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Development\MortgageProductManager\docs\"/>
    </mc:Choice>
  </mc:AlternateContent>
  <xr:revisionPtr revIDLastSave="0" documentId="13_ncr:1_{2070E6C3-40B1-4DEA-B73B-C877F2163B16}" xr6:coauthVersionLast="47" xr6:coauthVersionMax="47" xr10:uidLastSave="{00000000-0000-0000-0000-000000000000}"/>
  <bookViews>
    <workbookView xWindow="-28920" yWindow="3315" windowWidth="29040" windowHeight="15840" firstSheet="1" activeTab="1" xr2:uid="{00000000-000D-0000-FFFF-FFFF00000000}"/>
  </bookViews>
  <sheets>
    <sheet name="Copy &amp; Paste" sheetId="13" state="hidden" r:id="rId1"/>
    <sheet name="Kontent" sheetId="14" r:id="rId2"/>
    <sheet name="Product Launch Brief - PM" sheetId="1" r:id="rId3"/>
    <sheet name="Withdrawals - PM" sheetId="6" r:id="rId4"/>
    <sheet name="Sourcing Systems" sheetId="5" r:id="rId5"/>
    <sheet name="APRCs" sheetId="7" r:id="rId6"/>
    <sheet name="SF Product Sheet" sheetId="10" state="hidden" r:id="rId7"/>
    <sheet name="Product Guide" sheetId="11" state="hidden" r:id="rId8"/>
    <sheet name="APRC Lookups" sheetId="8" r:id="rId9"/>
    <sheet name="Lookups (Hidden)" sheetId="2" state="hidden" r:id="rId10"/>
    <sheet name="Product Guide Data (Hidden)" sheetId="12" state="hidden" r:id="rId11"/>
    <sheet name="MaxMin Loans" sheetId="9" r:id="rId12"/>
  </sheets>
  <definedNames>
    <definedName name="_xlnm._FilterDatabase" localSheetId="4" hidden="1">'Sourcing Systems'!$A$1:$WWL$1</definedName>
    <definedName name="Guide">'Product Guide Data (Hidden)'!$1:$1048576</definedName>
    <definedName name="lookup">'APRC Lookups'!$1:$1048576</definedName>
    <definedName name="Max">'Lookups (Hidden)'!$J:$K</definedName>
    <definedName name="Min">'Lookups (Hidden)'!$M:$N</definedName>
    <definedName name="_xlnm.Print_Area" localSheetId="7">'Product Guide'!$B$1:$L$349</definedName>
    <definedName name="Product">'Lookups (Hidden)'!$1:$1048576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4" l="1"/>
  <c r="B3" i="14"/>
  <c r="C3" i="14"/>
  <c r="D3" i="14"/>
  <c r="T3" i="14" s="1"/>
  <c r="E3" i="14"/>
  <c r="F3" i="14"/>
  <c r="G3" i="14"/>
  <c r="P3" i="14" s="1"/>
  <c r="H3" i="14"/>
  <c r="I3" i="14"/>
  <c r="N3" i="14"/>
  <c r="O3" i="14"/>
  <c r="R3" i="14" s="1"/>
  <c r="V3" i="14"/>
  <c r="X3" i="14"/>
  <c r="Y3" i="14"/>
  <c r="Z3" i="14"/>
  <c r="AA3" i="14"/>
  <c r="A4" i="14"/>
  <c r="B4" i="14"/>
  <c r="C4" i="14"/>
  <c r="D4" i="14"/>
  <c r="E4" i="14"/>
  <c r="F4" i="14"/>
  <c r="P4" i="14" s="1"/>
  <c r="G4" i="14"/>
  <c r="H4" i="14"/>
  <c r="I4" i="14"/>
  <c r="N4" i="14"/>
  <c r="O4" i="14"/>
  <c r="R4" i="14"/>
  <c r="T4" i="14"/>
  <c r="V4" i="14"/>
  <c r="X4" i="14"/>
  <c r="Y4" i="14"/>
  <c r="Z4" i="14"/>
  <c r="AA4" i="14"/>
  <c r="A5" i="14"/>
  <c r="B5" i="14"/>
  <c r="C5" i="14"/>
  <c r="P5" i="14" s="1"/>
  <c r="D5" i="14"/>
  <c r="T5" i="14" s="1"/>
  <c r="E5" i="14"/>
  <c r="F5" i="14"/>
  <c r="G5" i="14"/>
  <c r="H5" i="14"/>
  <c r="I5" i="14"/>
  <c r="N5" i="14"/>
  <c r="O5" i="14"/>
  <c r="R5" i="14" s="1"/>
  <c r="V5" i="14"/>
  <c r="X5" i="14"/>
  <c r="Y5" i="14"/>
  <c r="Z5" i="14"/>
  <c r="AA5" i="14"/>
  <c r="D2" i="14"/>
  <c r="C2" i="14"/>
  <c r="B2" i="14"/>
  <c r="A2" i="14"/>
  <c r="G2" i="14"/>
  <c r="H2" i="14"/>
  <c r="N2" i="14"/>
  <c r="V4" i="1"/>
  <c r="AA2" i="14"/>
  <c r="Z2" i="14"/>
  <c r="Y2" i="14"/>
  <c r="X2" i="14"/>
  <c r="V2" i="14"/>
  <c r="O2" i="14"/>
  <c r="R2" i="14" s="1"/>
  <c r="I2" i="14"/>
  <c r="F2" i="14"/>
  <c r="T2" i="14"/>
  <c r="C9" i="7"/>
  <c r="F13" i="7"/>
  <c r="H13" i="7"/>
  <c r="T21" i="7"/>
  <c r="T22" i="7"/>
  <c r="T23" i="7"/>
  <c r="T24" i="7"/>
  <c r="T25" i="7"/>
  <c r="T26" i="7"/>
  <c r="T27" i="7"/>
  <c r="T28" i="7"/>
  <c r="T29" i="7"/>
  <c r="T30" i="7"/>
  <c r="T31" i="7"/>
  <c r="T32" i="7"/>
  <c r="T33" i="7"/>
  <c r="T34" i="7"/>
  <c r="AJ23" i="5"/>
  <c r="AJ24" i="5"/>
  <c r="AJ25" i="5"/>
  <c r="AJ26" i="5"/>
  <c r="AJ27" i="5"/>
  <c r="AJ28" i="5"/>
  <c r="AJ29" i="5"/>
  <c r="AJ30" i="5"/>
  <c r="AJ31" i="5"/>
  <c r="AJ32" i="5"/>
  <c r="AJ33" i="5"/>
  <c r="M5" i="5"/>
  <c r="M6" i="5"/>
  <c r="M8" i="5"/>
  <c r="M9" i="5"/>
  <c r="M10" i="5"/>
  <c r="M11" i="5"/>
  <c r="M12" i="5"/>
  <c r="M13" i="5"/>
  <c r="M14" i="5"/>
  <c r="M15" i="5"/>
  <c r="M16" i="5"/>
  <c r="M17" i="5"/>
  <c r="M18" i="5"/>
  <c r="M19" i="5"/>
  <c r="M20" i="5"/>
  <c r="M21" i="5"/>
  <c r="M22" i="5"/>
  <c r="M23" i="5"/>
  <c r="M24" i="5"/>
  <c r="M25" i="5"/>
  <c r="M26" i="5"/>
  <c r="M27" i="5"/>
  <c r="M28" i="5"/>
  <c r="M29" i="5"/>
  <c r="M30" i="5"/>
  <c r="M31" i="5"/>
  <c r="M32" i="5"/>
  <c r="M3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R35" i="1"/>
  <c r="R34" i="1"/>
  <c r="R33" i="1"/>
  <c r="R32" i="1"/>
  <c r="R31" i="1"/>
  <c r="R30" i="1"/>
  <c r="R29" i="1"/>
  <c r="R28" i="1"/>
  <c r="R27" i="1"/>
  <c r="AJ3" i="5"/>
  <c r="AJ4" i="5"/>
  <c r="AJ5" i="5"/>
  <c r="AJ6" i="5"/>
  <c r="AJ7" i="5"/>
  <c r="AJ8" i="5"/>
  <c r="AJ9" i="5"/>
  <c r="AJ10" i="5"/>
  <c r="AJ11" i="5"/>
  <c r="AJ12" i="5"/>
  <c r="AJ13" i="5"/>
  <c r="AJ14" i="5"/>
  <c r="AJ15" i="5"/>
  <c r="AJ16" i="5"/>
  <c r="AJ17" i="5"/>
  <c r="AJ18" i="5"/>
  <c r="AJ19" i="5"/>
  <c r="AJ20" i="5"/>
  <c r="AJ21" i="5"/>
  <c r="AJ22" i="5"/>
  <c r="M3" i="5"/>
  <c r="B3" i="5"/>
  <c r="X25" i="1"/>
  <c r="W25" i="1"/>
  <c r="V25" i="1"/>
  <c r="U25" i="1"/>
  <c r="T25" i="1"/>
  <c r="R25" i="1"/>
  <c r="X24" i="1"/>
  <c r="W24" i="1"/>
  <c r="V24" i="1"/>
  <c r="U24" i="1"/>
  <c r="T24" i="1"/>
  <c r="R24" i="1"/>
  <c r="X23" i="1"/>
  <c r="W23" i="1"/>
  <c r="V23" i="1"/>
  <c r="U23" i="1"/>
  <c r="T23" i="1"/>
  <c r="R23" i="1"/>
  <c r="X22" i="1"/>
  <c r="W22" i="1"/>
  <c r="V22" i="1"/>
  <c r="U22" i="1"/>
  <c r="T22" i="1"/>
  <c r="R22" i="1"/>
  <c r="X21" i="1"/>
  <c r="W21" i="1"/>
  <c r="V21" i="1"/>
  <c r="U21" i="1"/>
  <c r="T21" i="1"/>
  <c r="R21" i="1"/>
  <c r="X20" i="1"/>
  <c r="W20" i="1"/>
  <c r="V20" i="1"/>
  <c r="U20" i="1"/>
  <c r="T20" i="1"/>
  <c r="R20" i="1"/>
  <c r="X7" i="1"/>
  <c r="W7" i="1"/>
  <c r="V7" i="1"/>
  <c r="U7" i="1"/>
  <c r="T7" i="1"/>
  <c r="R7" i="1"/>
  <c r="T5" i="1"/>
  <c r="U5" i="1"/>
  <c r="V5" i="1"/>
  <c r="W5" i="1"/>
  <c r="X5" i="1"/>
  <c r="T6" i="1"/>
  <c r="M4" i="5" s="1"/>
  <c r="U6" i="1"/>
  <c r="N4" i="5" s="1"/>
  <c r="V6" i="1"/>
  <c r="O4" i="5" s="1"/>
  <c r="W6" i="1"/>
  <c r="X6" i="1"/>
  <c r="T8" i="1"/>
  <c r="U8" i="1"/>
  <c r="V8" i="1"/>
  <c r="W8" i="1"/>
  <c r="X8" i="1"/>
  <c r="T9" i="1"/>
  <c r="M7" i="5" s="1"/>
  <c r="U9" i="1"/>
  <c r="N7" i="5" s="1"/>
  <c r="V9" i="1"/>
  <c r="W9" i="1"/>
  <c r="X9" i="1"/>
  <c r="T10" i="1"/>
  <c r="U10" i="1"/>
  <c r="V10" i="1"/>
  <c r="W10" i="1"/>
  <c r="X10" i="1"/>
  <c r="T11" i="1"/>
  <c r="U11" i="1"/>
  <c r="V11" i="1"/>
  <c r="W11" i="1"/>
  <c r="X11" i="1"/>
  <c r="T12" i="1"/>
  <c r="U12" i="1"/>
  <c r="V12" i="1"/>
  <c r="W12" i="1"/>
  <c r="X12" i="1"/>
  <c r="T13" i="1"/>
  <c r="U13" i="1"/>
  <c r="V13" i="1"/>
  <c r="W13" i="1"/>
  <c r="X13" i="1"/>
  <c r="T14" i="1"/>
  <c r="U14" i="1"/>
  <c r="V14" i="1"/>
  <c r="W14" i="1"/>
  <c r="X14" i="1"/>
  <c r="T15" i="1"/>
  <c r="U15" i="1"/>
  <c r="V15" i="1"/>
  <c r="W15" i="1"/>
  <c r="X15" i="1"/>
  <c r="T16" i="1"/>
  <c r="U16" i="1"/>
  <c r="V16" i="1"/>
  <c r="W16" i="1"/>
  <c r="X16" i="1"/>
  <c r="T17" i="1"/>
  <c r="U17" i="1"/>
  <c r="V17" i="1"/>
  <c r="W17" i="1"/>
  <c r="X17" i="1"/>
  <c r="T18" i="1"/>
  <c r="U18" i="1"/>
  <c r="V18" i="1"/>
  <c r="W18" i="1"/>
  <c r="X18" i="1"/>
  <c r="T19" i="1"/>
  <c r="U19" i="1"/>
  <c r="V19" i="1"/>
  <c r="W19" i="1"/>
  <c r="X19" i="1"/>
  <c r="T26" i="1"/>
  <c r="U26" i="1"/>
  <c r="V26" i="1"/>
  <c r="W26" i="1"/>
  <c r="X26" i="1"/>
  <c r="T27" i="1"/>
  <c r="U27" i="1"/>
  <c r="V27" i="1"/>
  <c r="W27" i="1"/>
  <c r="X27" i="1"/>
  <c r="T28" i="1"/>
  <c r="U28" i="1"/>
  <c r="V28" i="1"/>
  <c r="W28" i="1"/>
  <c r="X28" i="1"/>
  <c r="T29" i="1"/>
  <c r="U29" i="1"/>
  <c r="V29" i="1"/>
  <c r="W29" i="1"/>
  <c r="X29" i="1"/>
  <c r="T30" i="1"/>
  <c r="U30" i="1"/>
  <c r="V30" i="1"/>
  <c r="W30" i="1"/>
  <c r="X30" i="1"/>
  <c r="T31" i="1"/>
  <c r="U31" i="1"/>
  <c r="V31" i="1"/>
  <c r="W31" i="1"/>
  <c r="X31" i="1"/>
  <c r="T32" i="1"/>
  <c r="U32" i="1"/>
  <c r="V32" i="1"/>
  <c r="W32" i="1"/>
  <c r="X32" i="1"/>
  <c r="T33" i="1"/>
  <c r="U33" i="1"/>
  <c r="V33" i="1"/>
  <c r="W33" i="1"/>
  <c r="X33" i="1"/>
  <c r="T34" i="1"/>
  <c r="U34" i="1"/>
  <c r="V34" i="1"/>
  <c r="W34" i="1"/>
  <c r="X34" i="1"/>
  <c r="T35" i="1"/>
  <c r="U35" i="1"/>
  <c r="V35" i="1"/>
  <c r="W35" i="1"/>
  <c r="X35" i="1"/>
  <c r="T36" i="1"/>
  <c r="U36" i="1"/>
  <c r="V36" i="1"/>
  <c r="W36" i="1"/>
  <c r="X36" i="1"/>
  <c r="T37" i="1"/>
  <c r="U37" i="1"/>
  <c r="V37" i="1"/>
  <c r="W37" i="1"/>
  <c r="X37" i="1"/>
  <c r="T38" i="1"/>
  <c r="U38" i="1"/>
  <c r="V38" i="1"/>
  <c r="W38" i="1"/>
  <c r="X38" i="1"/>
  <c r="T39" i="1"/>
  <c r="U39" i="1"/>
  <c r="V39" i="1"/>
  <c r="W39" i="1"/>
  <c r="X39" i="1"/>
  <c r="T40" i="1"/>
  <c r="U40" i="1"/>
  <c r="V40" i="1"/>
  <c r="W40" i="1"/>
  <c r="X40" i="1"/>
  <c r="T41" i="1"/>
  <c r="U41" i="1"/>
  <c r="V41" i="1"/>
  <c r="W41" i="1"/>
  <c r="X41" i="1"/>
  <c r="T42" i="1"/>
  <c r="U42" i="1"/>
  <c r="V42" i="1"/>
  <c r="W42" i="1"/>
  <c r="X42" i="1"/>
  <c r="T43" i="1"/>
  <c r="U43" i="1"/>
  <c r="V43" i="1"/>
  <c r="W43" i="1"/>
  <c r="X43" i="1"/>
  <c r="T44" i="1"/>
  <c r="U44" i="1"/>
  <c r="V44" i="1"/>
  <c r="W44" i="1"/>
  <c r="X44" i="1"/>
  <c r="T45" i="1"/>
  <c r="U45" i="1"/>
  <c r="V45" i="1"/>
  <c r="W45" i="1"/>
  <c r="X45" i="1"/>
  <c r="T46" i="1"/>
  <c r="U46" i="1"/>
  <c r="V46" i="1"/>
  <c r="W46" i="1"/>
  <c r="X46" i="1"/>
  <c r="T47" i="1"/>
  <c r="U47" i="1"/>
  <c r="V47" i="1"/>
  <c r="W47" i="1"/>
  <c r="X47" i="1"/>
  <c r="T48" i="1"/>
  <c r="U48" i="1"/>
  <c r="V48" i="1"/>
  <c r="W48" i="1"/>
  <c r="X48" i="1"/>
  <c r="T49" i="1"/>
  <c r="U49" i="1"/>
  <c r="V49" i="1"/>
  <c r="W49" i="1"/>
  <c r="X49" i="1"/>
  <c r="T50" i="1"/>
  <c r="U50" i="1"/>
  <c r="V50" i="1"/>
  <c r="W50" i="1"/>
  <c r="X50" i="1"/>
  <c r="T51" i="1"/>
  <c r="U51" i="1"/>
  <c r="V51" i="1"/>
  <c r="W51" i="1"/>
  <c r="X51" i="1"/>
  <c r="T52" i="1"/>
  <c r="U52" i="1"/>
  <c r="V52" i="1"/>
  <c r="W52" i="1"/>
  <c r="X52" i="1"/>
  <c r="T53" i="1"/>
  <c r="U53" i="1"/>
  <c r="V53" i="1"/>
  <c r="W53" i="1"/>
  <c r="X53" i="1"/>
  <c r="T54" i="1"/>
  <c r="U54" i="1"/>
  <c r="V54" i="1"/>
  <c r="W54" i="1"/>
  <c r="X54" i="1"/>
  <c r="T55" i="1"/>
  <c r="U55" i="1"/>
  <c r="V55" i="1"/>
  <c r="W55" i="1"/>
  <c r="X55" i="1"/>
  <c r="T56" i="1"/>
  <c r="U56" i="1"/>
  <c r="V56" i="1"/>
  <c r="W56" i="1"/>
  <c r="X56" i="1"/>
  <c r="AJ34" i="5"/>
  <c r="AJ35" i="5" a="1"/>
  <c r="AJ35" i="5"/>
  <c r="AJ36" i="5"/>
  <c r="AJ37" i="5" a="1"/>
  <c r="AJ37" i="5"/>
  <c r="AJ38" i="5"/>
  <c r="AJ39" i="5" a="1"/>
  <c r="AJ39" i="5"/>
  <c r="AJ40" i="5"/>
  <c r="AJ41" i="5" a="1"/>
  <c r="AJ41" i="5"/>
  <c r="AJ42" i="5"/>
  <c r="AJ43" i="5" a="1"/>
  <c r="AJ43" i="5"/>
  <c r="AJ44" i="5"/>
  <c r="AJ45" i="5" a="1"/>
  <c r="AJ45" i="5"/>
  <c r="AJ46" i="5"/>
  <c r="AJ47" i="5" a="1"/>
  <c r="AJ47" i="5"/>
  <c r="AJ48" i="5"/>
  <c r="AJ49" i="5" a="1"/>
  <c r="AJ49" i="5"/>
  <c r="AJ50" i="5"/>
  <c r="AJ51" i="5" a="1"/>
  <c r="AJ51" i="5"/>
  <c r="AJ52" i="5"/>
  <c r="AJ53" i="5" a="1"/>
  <c r="AJ53" i="5"/>
  <c r="AJ54" i="5"/>
  <c r="AJ55" i="5" a="1"/>
  <c r="AJ55" i="5"/>
  <c r="AJ56" i="5"/>
  <c r="AJ2" i="5"/>
  <c r="AI2" i="5" s="1"/>
  <c r="AG4" i="5"/>
  <c r="AG5" i="5"/>
  <c r="AG6" i="5"/>
  <c r="AG7" i="5"/>
  <c r="AG8" i="5"/>
  <c r="AG9" i="5"/>
  <c r="AG10" i="5"/>
  <c r="AG11" i="5"/>
  <c r="AG12" i="5"/>
  <c r="AG13" i="5"/>
  <c r="AG14" i="5"/>
  <c r="AG15" i="5"/>
  <c r="AG16" i="5"/>
  <c r="AG17" i="5"/>
  <c r="AG18" i="5"/>
  <c r="AG19" i="5"/>
  <c r="AG20" i="5"/>
  <c r="AG21" i="5"/>
  <c r="AG22" i="5"/>
  <c r="AG23" i="5"/>
  <c r="AG24" i="5"/>
  <c r="AG25" i="5"/>
  <c r="AG26" i="5"/>
  <c r="AG27" i="5"/>
  <c r="AG28" i="5"/>
  <c r="AG29" i="5"/>
  <c r="AG30" i="5"/>
  <c r="AG31" i="5"/>
  <c r="AG32" i="5"/>
  <c r="AG33" i="5"/>
  <c r="AG34" i="5"/>
  <c r="AG35" i="5"/>
  <c r="AG36" i="5"/>
  <c r="AG37" i="5"/>
  <c r="AG38" i="5"/>
  <c r="AG39" i="5"/>
  <c r="AG40" i="5"/>
  <c r="AG41" i="5"/>
  <c r="AG42" i="5"/>
  <c r="AG43" i="5"/>
  <c r="AG44" i="5"/>
  <c r="AG45" i="5"/>
  <c r="AG46" i="5"/>
  <c r="AG47" i="5"/>
  <c r="AG48" i="5"/>
  <c r="AG49" i="5"/>
  <c r="AG50" i="5"/>
  <c r="AG51" i="5"/>
  <c r="AG52" i="5"/>
  <c r="AG53" i="5"/>
  <c r="AG54" i="5"/>
  <c r="AG55" i="5"/>
  <c r="AG3" i="5"/>
  <c r="U3" i="5" s="1"/>
  <c r="AG2" i="5"/>
  <c r="H3" i="7"/>
  <c r="H4" i="7"/>
  <c r="H5" i="7"/>
  <c r="H6" i="7"/>
  <c r="H7" i="7"/>
  <c r="H8" i="7"/>
  <c r="H9" i="7"/>
  <c r="H10" i="7"/>
  <c r="H11" i="7"/>
  <c r="H12"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2" i="7"/>
  <c r="I2" i="5"/>
  <c r="Z24" i="5"/>
  <c r="Z34" i="5"/>
  <c r="Z35" i="5"/>
  <c r="Z36" i="5"/>
  <c r="Z37" i="5"/>
  <c r="Z38" i="5"/>
  <c r="Z39" i="5"/>
  <c r="Z40" i="5"/>
  <c r="Z41" i="5"/>
  <c r="Z42" i="5"/>
  <c r="Z43" i="5"/>
  <c r="Z44" i="5"/>
  <c r="Z45" i="5"/>
  <c r="Z46" i="5"/>
  <c r="Z47" i="5"/>
  <c r="Z48" i="5"/>
  <c r="Z49" i="5"/>
  <c r="Z50" i="5"/>
  <c r="Z51" i="5"/>
  <c r="Z52" i="5"/>
  <c r="Z53" i="5"/>
  <c r="Z54" i="5"/>
  <c r="Z55"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3" i="5"/>
  <c r="T2"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3" i="5"/>
  <c r="Q2"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3" i="5"/>
  <c r="J2"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3" i="5"/>
  <c r="F2" i="5"/>
  <c r="S2" i="5" s="1"/>
  <c r="B2" i="5"/>
  <c r="A2" i="5" s="1"/>
  <c r="K2" i="5"/>
  <c r="L2"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3" i="5"/>
  <c r="N5" i="5"/>
  <c r="N6"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3" i="5"/>
  <c r="M34" i="5"/>
  <c r="M35" i="5" a="1"/>
  <c r="M35" i="5"/>
  <c r="M36" i="5"/>
  <c r="M37" i="5" a="1"/>
  <c r="M37" i="5"/>
  <c r="M38" i="5"/>
  <c r="M39" i="5" a="1"/>
  <c r="M39" i="5"/>
  <c r="M40" i="5"/>
  <c r="M41" i="5" a="1"/>
  <c r="M41" i="5"/>
  <c r="M42" i="5"/>
  <c r="M43" i="5" a="1"/>
  <c r="M43" i="5"/>
  <c r="M44" i="5"/>
  <c r="M45" i="5" a="1"/>
  <c r="M45" i="5"/>
  <c r="M46" i="5"/>
  <c r="M47" i="5" a="1"/>
  <c r="M47" i="5"/>
  <c r="M48" i="5"/>
  <c r="M49" i="5" a="1"/>
  <c r="M49" i="5"/>
  <c r="M50" i="5"/>
  <c r="M51" i="5" a="1"/>
  <c r="M51" i="5"/>
  <c r="M52" i="5"/>
  <c r="M53" i="5" a="1"/>
  <c r="M53" i="5"/>
  <c r="M54" i="5"/>
  <c r="M55" i="5" a="1"/>
  <c r="M55"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3" i="5"/>
  <c r="A3" i="7"/>
  <c r="B3" i="7"/>
  <c r="C3" i="7"/>
  <c r="D3" i="7"/>
  <c r="E3" i="7"/>
  <c r="A4" i="7"/>
  <c r="B4" i="7" s="1"/>
  <c r="C4" i="7"/>
  <c r="D4" i="7"/>
  <c r="E4" i="7"/>
  <c r="A5" i="7"/>
  <c r="B5" i="7"/>
  <c r="C5" i="7"/>
  <c r="D5" i="7"/>
  <c r="E5" i="7"/>
  <c r="A6" i="7"/>
  <c r="B6" i="7"/>
  <c r="C6" i="7"/>
  <c r="D6" i="7"/>
  <c r="E6" i="7"/>
  <c r="A7" i="7"/>
  <c r="B7" i="7" s="1"/>
  <c r="C7" i="7"/>
  <c r="D7" i="7"/>
  <c r="E7" i="7"/>
  <c r="A8" i="7"/>
  <c r="B8" i="7"/>
  <c r="C8" i="7"/>
  <c r="D8" i="7"/>
  <c r="E8" i="7"/>
  <c r="A9" i="7"/>
  <c r="B9" i="7"/>
  <c r="D9" i="7"/>
  <c r="E9" i="7"/>
  <c r="A10" i="7"/>
  <c r="B10" i="7"/>
  <c r="C10" i="7"/>
  <c r="D10" i="7"/>
  <c r="E10" i="7"/>
  <c r="A11" i="7"/>
  <c r="B11" i="7"/>
  <c r="C11" i="7"/>
  <c r="D11" i="7"/>
  <c r="E11" i="7"/>
  <c r="A12" i="7"/>
  <c r="B12" i="7"/>
  <c r="C12" i="7"/>
  <c r="D12" i="7"/>
  <c r="E12" i="7"/>
  <c r="A13" i="7"/>
  <c r="B13" i="7"/>
  <c r="C13" i="7"/>
  <c r="D13" i="7"/>
  <c r="E13" i="7"/>
  <c r="A14" i="7"/>
  <c r="B14" i="7"/>
  <c r="C14" i="7"/>
  <c r="D14" i="7"/>
  <c r="E14" i="7"/>
  <c r="A15" i="7"/>
  <c r="B15" i="7"/>
  <c r="C15" i="7"/>
  <c r="D15" i="7"/>
  <c r="E15" i="7"/>
  <c r="A16" i="7"/>
  <c r="B16" i="7"/>
  <c r="C16" i="7"/>
  <c r="D16" i="7"/>
  <c r="E16" i="7"/>
  <c r="A17" i="7"/>
  <c r="B17" i="7"/>
  <c r="C17" i="7"/>
  <c r="D17" i="7"/>
  <c r="E17" i="7"/>
  <c r="A18" i="7"/>
  <c r="B18" i="7"/>
  <c r="C18" i="7"/>
  <c r="D18" i="7"/>
  <c r="E18" i="7"/>
  <c r="A19" i="7"/>
  <c r="B19" i="7"/>
  <c r="C19" i="7"/>
  <c r="D19" i="7"/>
  <c r="E19" i="7"/>
  <c r="A20" i="7"/>
  <c r="B20" i="7"/>
  <c r="C20" i="7"/>
  <c r="D20" i="7"/>
  <c r="E20" i="7"/>
  <c r="A21" i="7"/>
  <c r="B21" i="7"/>
  <c r="C21" i="7"/>
  <c r="D21" i="7"/>
  <c r="E21" i="7"/>
  <c r="A22" i="7"/>
  <c r="B22" i="7"/>
  <c r="C22" i="7"/>
  <c r="D22" i="7"/>
  <c r="E22" i="7"/>
  <c r="A23" i="7"/>
  <c r="B23" i="7"/>
  <c r="C23" i="7"/>
  <c r="D23" i="7"/>
  <c r="E23" i="7"/>
  <c r="A24" i="7"/>
  <c r="B24" i="7"/>
  <c r="C24" i="7"/>
  <c r="D24" i="7"/>
  <c r="E24" i="7"/>
  <c r="F24" i="7"/>
  <c r="G24" i="7"/>
  <c r="A25" i="7"/>
  <c r="B25" i="7"/>
  <c r="C25" i="7"/>
  <c r="D25" i="7"/>
  <c r="E25" i="7"/>
  <c r="A26" i="7"/>
  <c r="B26" i="7"/>
  <c r="C26" i="7"/>
  <c r="D26" i="7"/>
  <c r="E26" i="7"/>
  <c r="F26" i="7"/>
  <c r="G26" i="7"/>
  <c r="A27" i="7"/>
  <c r="B27" i="7"/>
  <c r="C27" i="7"/>
  <c r="D27" i="7"/>
  <c r="E27" i="7"/>
  <c r="F27" i="7"/>
  <c r="G27" i="7"/>
  <c r="A28" i="7"/>
  <c r="B28" i="7"/>
  <c r="C28" i="7"/>
  <c r="D28" i="7"/>
  <c r="E28" i="7"/>
  <c r="F28" i="7"/>
  <c r="G28" i="7"/>
  <c r="A29" i="7"/>
  <c r="B29" i="7"/>
  <c r="C29" i="7"/>
  <c r="D29" i="7"/>
  <c r="E29" i="7"/>
  <c r="F29" i="7"/>
  <c r="G29" i="7"/>
  <c r="A30" i="7"/>
  <c r="B30" i="7"/>
  <c r="C30" i="7"/>
  <c r="D30" i="7"/>
  <c r="E30" i="7"/>
  <c r="F30" i="7"/>
  <c r="G30" i="7"/>
  <c r="A31" i="7"/>
  <c r="B31" i="7"/>
  <c r="C31" i="7"/>
  <c r="D31" i="7"/>
  <c r="E31" i="7"/>
  <c r="F31" i="7"/>
  <c r="G31" i="7"/>
  <c r="A32" i="7"/>
  <c r="B32" i="7"/>
  <c r="C32" i="7"/>
  <c r="D32" i="7"/>
  <c r="E32" i="7"/>
  <c r="F32" i="7"/>
  <c r="G32" i="7"/>
  <c r="A33" i="7"/>
  <c r="B33" i="7"/>
  <c r="C33" i="7"/>
  <c r="D33" i="7"/>
  <c r="E33" i="7"/>
  <c r="F33" i="7"/>
  <c r="G33" i="7"/>
  <c r="A34" i="7"/>
  <c r="B34" i="7"/>
  <c r="C34" i="7"/>
  <c r="D34" i="7"/>
  <c r="E34" i="7"/>
  <c r="F34" i="7"/>
  <c r="G34" i="7"/>
  <c r="A35" i="7"/>
  <c r="B35" i="7"/>
  <c r="C35" i="7"/>
  <c r="D35" i="7"/>
  <c r="E35" i="7"/>
  <c r="F35" i="7"/>
  <c r="G35" i="7"/>
  <c r="A36" i="7"/>
  <c r="B36" i="7"/>
  <c r="C36" i="7"/>
  <c r="D36" i="7"/>
  <c r="E36" i="7"/>
  <c r="F36" i="7"/>
  <c r="G36" i="7"/>
  <c r="A37" i="7"/>
  <c r="B37" i="7"/>
  <c r="C37" i="7"/>
  <c r="D37" i="7"/>
  <c r="E37" i="7"/>
  <c r="F37" i="7"/>
  <c r="G37" i="7"/>
  <c r="A38" i="7"/>
  <c r="B38" i="7"/>
  <c r="C38" i="7"/>
  <c r="D38" i="7"/>
  <c r="E38" i="7"/>
  <c r="F38" i="7"/>
  <c r="G38" i="7"/>
  <c r="A39" i="7"/>
  <c r="B39" i="7"/>
  <c r="C39" i="7"/>
  <c r="D39" i="7"/>
  <c r="E39" i="7"/>
  <c r="F39" i="7"/>
  <c r="G39" i="7"/>
  <c r="A40" i="7"/>
  <c r="B40" i="7"/>
  <c r="C40" i="7"/>
  <c r="D40" i="7"/>
  <c r="E40" i="7"/>
  <c r="F40" i="7"/>
  <c r="G40" i="7"/>
  <c r="A41" i="7"/>
  <c r="B41" i="7"/>
  <c r="C41" i="7"/>
  <c r="D41" i="7"/>
  <c r="E41" i="7"/>
  <c r="F41" i="7"/>
  <c r="G41" i="7"/>
  <c r="R4" i="1"/>
  <c r="T4" i="1"/>
  <c r="M2" i="5" s="1"/>
  <c r="U4" i="1"/>
  <c r="N2" i="5" s="1"/>
  <c r="O2" i="5"/>
  <c r="W4" i="1"/>
  <c r="X4" i="1"/>
  <c r="C2" i="7"/>
  <c r="A2" i="7"/>
  <c r="B2" i="7" s="1"/>
  <c r="J24" i="7"/>
  <c r="K24" i="7"/>
  <c r="J25" i="7"/>
  <c r="J26" i="7"/>
  <c r="K26" i="7"/>
  <c r="J27" i="7"/>
  <c r="K27" i="7"/>
  <c r="J28" i="7"/>
  <c r="K28" i="7"/>
  <c r="J29" i="7"/>
  <c r="K29" i="7"/>
  <c r="J30" i="7"/>
  <c r="K30" i="7"/>
  <c r="J31" i="7"/>
  <c r="K31" i="7"/>
  <c r="J32" i="7"/>
  <c r="K32" i="7"/>
  <c r="J33" i="7"/>
  <c r="K33" i="7"/>
  <c r="J34" i="7"/>
  <c r="K34" i="7"/>
  <c r="J35" i="7"/>
  <c r="K35" i="7"/>
  <c r="J36" i="7"/>
  <c r="K36" i="7"/>
  <c r="J37" i="7"/>
  <c r="K37" i="7"/>
  <c r="J38" i="7"/>
  <c r="K38" i="7"/>
  <c r="J39" i="7"/>
  <c r="K39" i="7"/>
  <c r="J40" i="7"/>
  <c r="K40" i="7"/>
  <c r="J41" i="7"/>
  <c r="K41" i="7"/>
  <c r="J16" i="7"/>
  <c r="J17" i="7"/>
  <c r="J18" i="7"/>
  <c r="J19" i="7"/>
  <c r="J20" i="7"/>
  <c r="J21" i="7"/>
  <c r="J22" i="7"/>
  <c r="J23" i="7"/>
  <c r="J11" i="7"/>
  <c r="J12" i="7"/>
  <c r="J13" i="7"/>
  <c r="J14" i="7"/>
  <c r="J15" i="7"/>
  <c r="P2" i="14" l="1"/>
  <c r="V2" i="5"/>
  <c r="Y2" i="5"/>
  <c r="P2" i="5"/>
  <c r="AH2" i="5"/>
  <c r="U2" i="5"/>
  <c r="R2" i="5"/>
  <c r="M41" i="7"/>
  <c r="L41" i="7"/>
  <c r="M40" i="7"/>
  <c r="L40" i="7"/>
  <c r="M39" i="7"/>
  <c r="L39" i="7"/>
  <c r="M38" i="7"/>
  <c r="L38" i="7"/>
  <c r="M37" i="7"/>
  <c r="L37" i="7"/>
  <c r="M36" i="7"/>
  <c r="L36" i="7"/>
  <c r="M35" i="7"/>
  <c r="L35" i="7"/>
  <c r="M34" i="7"/>
  <c r="L34" i="7"/>
  <c r="M33" i="7"/>
  <c r="L33" i="7"/>
  <c r="M32" i="7"/>
  <c r="L32" i="7"/>
  <c r="M31" i="7"/>
  <c r="L31" i="7"/>
  <c r="M30" i="7"/>
  <c r="L30" i="7"/>
  <c r="M29" i="7"/>
  <c r="L29" i="7"/>
  <c r="M28" i="7"/>
  <c r="L28" i="7"/>
  <c r="M27" i="7"/>
  <c r="L27" i="7"/>
  <c r="M26" i="7"/>
  <c r="L26" i="7"/>
  <c r="M25" i="7"/>
  <c r="L25" i="7"/>
  <c r="M24" i="7"/>
  <c r="L24" i="7"/>
  <c r="M23" i="7"/>
  <c r="L23" i="7"/>
  <c r="M22" i="7"/>
  <c r="L22" i="7"/>
  <c r="M21" i="7"/>
  <c r="L21" i="7"/>
  <c r="M20" i="7"/>
  <c r="L20" i="7"/>
  <c r="T20" i="7" s="1"/>
  <c r="M19" i="7"/>
  <c r="L19" i="7"/>
  <c r="T19" i="7" s="1"/>
  <c r="M18" i="7"/>
  <c r="L18" i="7"/>
  <c r="T18" i="7" s="1"/>
  <c r="M17" i="7"/>
  <c r="L17" i="7"/>
  <c r="T17" i="7" s="1"/>
  <c r="M16" i="7"/>
  <c r="L16" i="7"/>
  <c r="T16" i="7" s="1"/>
  <c r="M15" i="7"/>
  <c r="L15" i="7"/>
  <c r="T15" i="7" s="1"/>
  <c r="M14" i="7"/>
  <c r="L14" i="7"/>
  <c r="T14" i="7" s="1"/>
  <c r="M13" i="7"/>
  <c r="L13" i="7"/>
  <c r="T13" i="7" s="1"/>
  <c r="M12" i="7"/>
  <c r="L12" i="7"/>
  <c r="T12" i="7" s="1"/>
  <c r="M11" i="7"/>
  <c r="L11" i="7"/>
  <c r="T11" i="7" s="1"/>
  <c r="M10" i="7"/>
  <c r="L10" i="7"/>
  <c r="T10" i="7" s="1"/>
  <c r="M9" i="7"/>
  <c r="L9" i="7"/>
  <c r="T9" i="7" s="1"/>
  <c r="M8" i="7"/>
  <c r="L8" i="7"/>
  <c r="T8" i="7" s="1"/>
  <c r="M7" i="7"/>
  <c r="L7" i="7"/>
  <c r="T7" i="7" s="1"/>
  <c r="M6" i="7"/>
  <c r="L6" i="7"/>
  <c r="T6" i="7" s="1"/>
  <c r="M5" i="7"/>
  <c r="L5" i="7"/>
  <c r="T5" i="7" s="1"/>
  <c r="M4" i="7"/>
  <c r="L4" i="7"/>
  <c r="T4" i="7" s="1"/>
  <c r="M3" i="7"/>
  <c r="L3" i="7"/>
  <c r="T3" i="7" s="1"/>
  <c r="M2" i="7"/>
  <c r="E2" i="14" s="1"/>
  <c r="L2" i="7"/>
  <c r="E2" i="7"/>
  <c r="D2" i="7"/>
  <c r="J5" i="7"/>
  <c r="J6" i="7"/>
  <c r="F25" i="7" l="1"/>
  <c r="G25" i="7"/>
  <c r="K25" i="7"/>
  <c r="F11" i="7"/>
  <c r="K11" i="7"/>
  <c r="F12" i="7"/>
  <c r="K12" i="7"/>
  <c r="G13" i="7"/>
  <c r="K13" i="7"/>
  <c r="F14" i="7"/>
  <c r="G14" i="7"/>
  <c r="K14" i="7"/>
  <c r="F21" i="7"/>
  <c r="G21" i="7"/>
  <c r="K21" i="7"/>
  <c r="F22" i="7"/>
  <c r="G22" i="7"/>
  <c r="K22" i="7"/>
  <c r="F23" i="7"/>
  <c r="G23" i="7"/>
  <c r="K23" i="7"/>
  <c r="F18" i="7"/>
  <c r="G18" i="7"/>
  <c r="K18" i="7"/>
  <c r="F19" i="7"/>
  <c r="G19" i="7"/>
  <c r="K19" i="7"/>
  <c r="F20" i="7"/>
  <c r="G20" i="7"/>
  <c r="K20" i="7"/>
  <c r="F17" i="7"/>
  <c r="G17" i="7"/>
  <c r="K17" i="7"/>
  <c r="F16" i="7"/>
  <c r="G16" i="7"/>
  <c r="K16" i="7"/>
  <c r="F15" i="7"/>
  <c r="G15" i="7"/>
  <c r="K15" i="7"/>
  <c r="K6" i="7"/>
  <c r="J9" i="7"/>
  <c r="J2" i="7"/>
  <c r="T2" i="7"/>
  <c r="F2" i="7" s="1"/>
  <c r="J3" i="7"/>
  <c r="J4" i="7"/>
  <c r="J7" i="7"/>
  <c r="K3" i="7"/>
  <c r="J8" i="7"/>
  <c r="J10" i="7"/>
  <c r="K8" i="7"/>
  <c r="K9" i="7"/>
  <c r="R5" i="1"/>
  <c r="R6" i="1"/>
  <c r="R8" i="1"/>
  <c r="R9" i="1"/>
  <c r="R10" i="1"/>
  <c r="R11" i="1"/>
  <c r="R12" i="1"/>
  <c r="R13" i="1"/>
  <c r="R14" i="1"/>
  <c r="R15" i="1"/>
  <c r="R16" i="1"/>
  <c r="R17" i="1"/>
  <c r="R18" i="1"/>
  <c r="R19" i="1"/>
  <c r="R26" i="1"/>
  <c r="R36" i="1"/>
  <c r="R37" i="1"/>
  <c r="R38" i="1"/>
  <c r="R39" i="1"/>
  <c r="R40" i="1"/>
  <c r="R41" i="1"/>
  <c r="R42" i="1"/>
  <c r="R43" i="1"/>
  <c r="R44" i="1"/>
  <c r="R45" i="1"/>
  <c r="R46" i="1"/>
  <c r="R47" i="1"/>
  <c r="R48" i="1"/>
  <c r="R49" i="1"/>
  <c r="R50" i="1"/>
  <c r="R51" i="1"/>
  <c r="R52" i="1"/>
  <c r="R53" i="1"/>
  <c r="R54" i="1"/>
  <c r="R55" i="1"/>
  <c r="R56" i="1"/>
  <c r="G2" i="7" l="1"/>
  <c r="K2" i="7"/>
  <c r="F10" i="7"/>
  <c r="G10" i="7"/>
  <c r="K10" i="7"/>
  <c r="F9" i="7"/>
  <c r="G9" i="7"/>
  <c r="F8" i="7"/>
  <c r="G8" i="7"/>
  <c r="F7" i="7"/>
  <c r="G7" i="7"/>
  <c r="K7" i="7"/>
  <c r="F6" i="7"/>
  <c r="G6" i="7"/>
  <c r="F5" i="7"/>
  <c r="G5" i="7"/>
  <c r="K5" i="7"/>
  <c r="F4" i="7"/>
  <c r="G4" i="7"/>
  <c r="K4" i="7"/>
  <c r="F3" i="7"/>
  <c r="G3" i="7"/>
  <c r="AE1" i="1"/>
  <c r="G2" i="1" s="1"/>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2" i="5"/>
  <c r="E33" i="5"/>
  <c r="E34" i="5"/>
  <c r="E35" i="5"/>
  <c r="E36" i="5"/>
  <c r="E37" i="5"/>
  <c r="E38" i="5"/>
  <c r="E39" i="5"/>
  <c r="E40" i="5"/>
  <c r="E41" i="5"/>
  <c r="E42" i="5"/>
  <c r="E43" i="5"/>
  <c r="E44" i="5"/>
  <c r="E45" i="5"/>
  <c r="E46" i="5"/>
  <c r="E47" i="5"/>
  <c r="E48" i="5"/>
  <c r="E49" i="5"/>
  <c r="E50" i="5"/>
  <c r="E51" i="5"/>
  <c r="E52" i="5"/>
  <c r="E53" i="5"/>
  <c r="E54" i="5"/>
  <c r="E55" i="5"/>
  <c r="R3" i="5" l="1"/>
  <c r="V3" i="5"/>
  <c r="R4" i="5"/>
  <c r="V4" i="5"/>
  <c r="AI4" i="5"/>
  <c r="R5" i="5"/>
  <c r="V5" i="5"/>
  <c r="G24" i="5"/>
  <c r="G35" i="5"/>
  <c r="G36" i="5"/>
  <c r="G37" i="5"/>
  <c r="G38" i="5"/>
  <c r="G39" i="5"/>
  <c r="G40" i="5"/>
  <c r="G41" i="5"/>
  <c r="G42" i="5"/>
  <c r="G43" i="5"/>
  <c r="G44" i="5"/>
  <c r="G45" i="5"/>
  <c r="G46" i="5"/>
  <c r="G47" i="5"/>
  <c r="G48" i="5"/>
  <c r="G49" i="5"/>
  <c r="G50" i="5"/>
  <c r="G51" i="5"/>
  <c r="G52" i="5"/>
  <c r="G53" i="5"/>
  <c r="G54" i="5"/>
  <c r="G55" i="5"/>
  <c r="B35" i="5"/>
  <c r="B36" i="5"/>
  <c r="B37" i="5"/>
  <c r="B38" i="5"/>
  <c r="B39" i="5"/>
  <c r="B40" i="5"/>
  <c r="X40" i="5" s="1"/>
  <c r="B41" i="5"/>
  <c r="B42" i="5"/>
  <c r="B43" i="5"/>
  <c r="B44" i="5"/>
  <c r="B45" i="5"/>
  <c r="B46" i="5"/>
  <c r="B47" i="5"/>
  <c r="B48" i="5"/>
  <c r="B49" i="5"/>
  <c r="B50" i="5"/>
  <c r="B51" i="5"/>
  <c r="B52" i="5"/>
  <c r="B53" i="5"/>
  <c r="B54" i="5"/>
  <c r="B55" i="5"/>
  <c r="A8" i="5"/>
  <c r="A9" i="5"/>
  <c r="A10" i="5"/>
  <c r="A16" i="5"/>
  <c r="A21" i="5"/>
  <c r="A22" i="5"/>
  <c r="A32" i="5"/>
  <c r="P32" i="5" s="1"/>
  <c r="A33" i="5"/>
  <c r="P33" i="5" s="1"/>
  <c r="A40" i="5"/>
  <c r="P40" i="5" s="1"/>
  <c r="P22" i="5" l="1"/>
  <c r="U22" i="5"/>
  <c r="P21" i="5"/>
  <c r="U21" i="5"/>
  <c r="P16" i="5"/>
  <c r="U16" i="5"/>
  <c r="P10" i="5"/>
  <c r="U10" i="5"/>
  <c r="P9" i="5"/>
  <c r="U9" i="5"/>
  <c r="P8" i="5"/>
  <c r="U8" i="5"/>
  <c r="A55" i="5"/>
  <c r="P55" i="5" s="1"/>
  <c r="X55" i="5"/>
  <c r="A54" i="5"/>
  <c r="P54" i="5" s="1"/>
  <c r="X54" i="5"/>
  <c r="A53" i="5"/>
  <c r="P53" i="5" s="1"/>
  <c r="X53" i="5"/>
  <c r="A52" i="5"/>
  <c r="P52" i="5" s="1"/>
  <c r="X52" i="5"/>
  <c r="A51" i="5"/>
  <c r="P51" i="5" s="1"/>
  <c r="X51" i="5"/>
  <c r="A50" i="5"/>
  <c r="P50" i="5" s="1"/>
  <c r="X50" i="5"/>
  <c r="A49" i="5"/>
  <c r="P49" i="5" s="1"/>
  <c r="X49" i="5"/>
  <c r="A48" i="5"/>
  <c r="P48" i="5" s="1"/>
  <c r="X48" i="5"/>
  <c r="A47" i="5"/>
  <c r="P47" i="5" s="1"/>
  <c r="X47" i="5"/>
  <c r="A46" i="5"/>
  <c r="P46" i="5" s="1"/>
  <c r="X46" i="5"/>
  <c r="A45" i="5"/>
  <c r="P45" i="5" s="1"/>
  <c r="X45" i="5"/>
  <c r="A44" i="5"/>
  <c r="P44" i="5" s="1"/>
  <c r="X44" i="5"/>
  <c r="A43" i="5"/>
  <c r="P43" i="5" s="1"/>
  <c r="X43" i="5"/>
  <c r="A42" i="5"/>
  <c r="P42" i="5" s="1"/>
  <c r="X42" i="5"/>
  <c r="A41" i="5"/>
  <c r="P41" i="5" s="1"/>
  <c r="X41" i="5"/>
  <c r="A39" i="5"/>
  <c r="P39" i="5" s="1"/>
  <c r="X39" i="5"/>
  <c r="A38" i="5"/>
  <c r="P38" i="5" s="1"/>
  <c r="X38" i="5"/>
  <c r="A37" i="5"/>
  <c r="P37" i="5" s="1"/>
  <c r="X37" i="5"/>
  <c r="A36" i="5"/>
  <c r="P36" i="5" s="1"/>
  <c r="X36" i="5"/>
  <c r="A35" i="5"/>
  <c r="P35" i="5" s="1"/>
  <c r="X35" i="5"/>
  <c r="A34" i="5"/>
  <c r="P34" i="5" s="1"/>
  <c r="X34" i="5"/>
  <c r="A31" i="5"/>
  <c r="P31" i="5" s="1"/>
  <c r="A30" i="5"/>
  <c r="P30" i="5" s="1"/>
  <c r="A29" i="5"/>
  <c r="P29" i="5" s="1"/>
  <c r="A28" i="5"/>
  <c r="P28" i="5" s="1"/>
  <c r="A27" i="5"/>
  <c r="P27" i="5" s="1"/>
  <c r="A26" i="5"/>
  <c r="P26" i="5" s="1"/>
  <c r="A25" i="5"/>
  <c r="P25" i="5" s="1"/>
  <c r="A24" i="5"/>
  <c r="P24" i="5" s="1"/>
  <c r="X24" i="5"/>
  <c r="A23" i="5"/>
  <c r="A20" i="5"/>
  <c r="A19" i="5"/>
  <c r="A18" i="5"/>
  <c r="A17" i="5"/>
  <c r="A15" i="5"/>
  <c r="A14" i="5"/>
  <c r="A13" i="5"/>
  <c r="A12" i="5"/>
  <c r="A11" i="5"/>
  <c r="A7" i="5"/>
  <c r="A6" i="5"/>
  <c r="A5" i="5"/>
  <c r="U50" i="5"/>
  <c r="U49" i="5"/>
  <c r="U48" i="5"/>
  <c r="U42" i="5"/>
  <c r="U41" i="5"/>
  <c r="U40" i="5"/>
  <c r="U34" i="5"/>
  <c r="U33" i="5"/>
  <c r="U32" i="5"/>
  <c r="U26" i="5"/>
  <c r="U25" i="5"/>
  <c r="U24" i="5"/>
  <c r="U55" i="5"/>
  <c r="U54" i="5"/>
  <c r="U53" i="5"/>
  <c r="U52" i="5"/>
  <c r="U51" i="5"/>
  <c r="U47" i="5"/>
  <c r="U46" i="5"/>
  <c r="U45" i="5"/>
  <c r="U44" i="5"/>
  <c r="U43" i="5"/>
  <c r="U39" i="5"/>
  <c r="U38" i="5"/>
  <c r="U37" i="5"/>
  <c r="U36" i="5"/>
  <c r="U35" i="5"/>
  <c r="U31" i="5"/>
  <c r="U30" i="5"/>
  <c r="U29" i="5"/>
  <c r="U28" i="5"/>
  <c r="U27" i="5"/>
  <c r="S5" i="5"/>
  <c r="S4" i="5"/>
  <c r="S3" i="5"/>
  <c r="AH5" i="5"/>
  <c r="Y5" i="5"/>
  <c r="A4" i="5"/>
  <c r="Y4" i="5"/>
  <c r="A3" i="5"/>
  <c r="P3" i="5" s="1"/>
  <c r="Y3" i="5"/>
  <c r="P4" i="5" l="1"/>
  <c r="U4" i="5"/>
  <c r="P5" i="5"/>
  <c r="U5" i="5"/>
  <c r="P6" i="5"/>
  <c r="U6" i="5"/>
  <c r="P7" i="5"/>
  <c r="U7" i="5"/>
  <c r="P11" i="5"/>
  <c r="U11" i="5"/>
  <c r="P12" i="5"/>
  <c r="U12" i="5"/>
  <c r="P13" i="5"/>
  <c r="U13" i="5"/>
  <c r="P14" i="5"/>
  <c r="U14" i="5"/>
  <c r="P15" i="5"/>
  <c r="U15" i="5"/>
  <c r="P17" i="5"/>
  <c r="U17" i="5"/>
  <c r="P18" i="5"/>
  <c r="U18" i="5"/>
  <c r="P19" i="5"/>
  <c r="U19" i="5"/>
  <c r="P20" i="5"/>
  <c r="U20" i="5"/>
  <c r="P23" i="5"/>
  <c r="U23" i="5"/>
  <c r="D24" i="5"/>
  <c r="D34" i="5"/>
  <c r="D35" i="5"/>
  <c r="D36" i="5"/>
  <c r="D37" i="5"/>
  <c r="D38" i="5"/>
  <c r="D39" i="5"/>
  <c r="D40" i="5"/>
  <c r="D41" i="5"/>
  <c r="D42" i="5"/>
  <c r="D43" i="5"/>
  <c r="D44" i="5"/>
  <c r="D45" i="5"/>
  <c r="D46" i="5"/>
  <c r="D47" i="5"/>
  <c r="D48" i="5"/>
  <c r="D49" i="5"/>
  <c r="D50" i="5"/>
  <c r="D51" i="5"/>
  <c r="D52" i="5"/>
  <c r="D53" i="5"/>
  <c r="D54" i="5"/>
  <c r="D55"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2" i="12"/>
  <c r="A34" i="12" l="1"/>
  <c r="E3" i="12" l="1"/>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2" i="12"/>
  <c r="B4" i="12"/>
  <c r="A4" i="12"/>
  <c r="C4" i="12"/>
  <c r="D4" i="12"/>
  <c r="F4" i="12"/>
  <c r="G4" i="12"/>
  <c r="H4" i="12"/>
  <c r="I4" i="12"/>
  <c r="J4" i="12"/>
  <c r="K4" i="12"/>
  <c r="B5" i="12"/>
  <c r="A5" i="12"/>
  <c r="C5" i="12"/>
  <c r="D5" i="12"/>
  <c r="F5" i="12"/>
  <c r="G5" i="12"/>
  <c r="H5" i="12"/>
  <c r="I5" i="12"/>
  <c r="J5" i="12"/>
  <c r="K5" i="12"/>
  <c r="B6" i="12"/>
  <c r="A6" i="12"/>
  <c r="C6" i="12"/>
  <c r="D6" i="12"/>
  <c r="F6" i="12"/>
  <c r="G6" i="12"/>
  <c r="H6" i="12"/>
  <c r="I6" i="12"/>
  <c r="J6" i="12"/>
  <c r="K6" i="12"/>
  <c r="B7" i="12"/>
  <c r="A7" i="12"/>
  <c r="C7" i="12"/>
  <c r="D7" i="12"/>
  <c r="F7" i="12"/>
  <c r="G7" i="12"/>
  <c r="H7" i="12"/>
  <c r="I7" i="12"/>
  <c r="J7" i="12"/>
  <c r="K7" i="12"/>
  <c r="B8" i="12"/>
  <c r="A8" i="12"/>
  <c r="C8" i="12"/>
  <c r="D8" i="12"/>
  <c r="F8" i="12"/>
  <c r="G8" i="12"/>
  <c r="H8" i="12"/>
  <c r="I8" i="12"/>
  <c r="J8" i="12"/>
  <c r="K8" i="12"/>
  <c r="B9" i="12"/>
  <c r="A9" i="12"/>
  <c r="C9" i="12"/>
  <c r="D9" i="12"/>
  <c r="F9" i="12"/>
  <c r="G9" i="12"/>
  <c r="H9" i="12"/>
  <c r="I9" i="12"/>
  <c r="J9" i="12"/>
  <c r="K9" i="12"/>
  <c r="B10" i="12"/>
  <c r="A10" i="12"/>
  <c r="C10" i="12"/>
  <c r="D10" i="12"/>
  <c r="F10" i="12"/>
  <c r="G10" i="12"/>
  <c r="H10" i="12"/>
  <c r="I10" i="12"/>
  <c r="J10" i="12"/>
  <c r="K10" i="12"/>
  <c r="B11" i="12"/>
  <c r="A11" i="12"/>
  <c r="C11" i="12"/>
  <c r="D11" i="12"/>
  <c r="F11" i="12"/>
  <c r="G11" i="12"/>
  <c r="H11" i="12"/>
  <c r="I11" i="12"/>
  <c r="J11" i="12"/>
  <c r="K11" i="12"/>
  <c r="B12" i="12"/>
  <c r="A12" i="12"/>
  <c r="C12" i="12"/>
  <c r="D12" i="12"/>
  <c r="F12" i="12"/>
  <c r="G12" i="12"/>
  <c r="H12" i="12"/>
  <c r="I12" i="12"/>
  <c r="J12" i="12"/>
  <c r="K12" i="12"/>
  <c r="B13" i="12"/>
  <c r="A13" i="12"/>
  <c r="C13" i="12"/>
  <c r="D13" i="12"/>
  <c r="F13" i="12"/>
  <c r="G13" i="12"/>
  <c r="H13" i="12"/>
  <c r="I13" i="12"/>
  <c r="J13" i="12"/>
  <c r="K13" i="12"/>
  <c r="B14" i="12"/>
  <c r="A14" i="12"/>
  <c r="C14" i="12"/>
  <c r="D14" i="12"/>
  <c r="F14" i="12"/>
  <c r="G14" i="12"/>
  <c r="H14" i="12"/>
  <c r="I14" i="12"/>
  <c r="J14" i="12"/>
  <c r="K14" i="12"/>
  <c r="B15" i="12"/>
  <c r="A15" i="12"/>
  <c r="C15" i="12"/>
  <c r="D15" i="12"/>
  <c r="F15" i="12"/>
  <c r="G15" i="12"/>
  <c r="H15" i="12"/>
  <c r="I15" i="12"/>
  <c r="J15" i="12"/>
  <c r="K15" i="12"/>
  <c r="B16" i="12"/>
  <c r="A16" i="12"/>
  <c r="C16" i="12"/>
  <c r="D16" i="12"/>
  <c r="F16" i="12"/>
  <c r="G16" i="12"/>
  <c r="H16" i="12"/>
  <c r="I16" i="12"/>
  <c r="J16" i="12"/>
  <c r="K16" i="12"/>
  <c r="B17" i="12"/>
  <c r="A17" i="12"/>
  <c r="C17" i="12"/>
  <c r="D17" i="12"/>
  <c r="F17" i="12"/>
  <c r="G17" i="12"/>
  <c r="H17" i="12"/>
  <c r="I17" i="12"/>
  <c r="J17" i="12"/>
  <c r="K17" i="12"/>
  <c r="B18" i="12"/>
  <c r="A18" i="12"/>
  <c r="C18" i="12"/>
  <c r="D18" i="12"/>
  <c r="F18" i="12"/>
  <c r="G18" i="12"/>
  <c r="H18" i="12"/>
  <c r="I18" i="12"/>
  <c r="J18" i="12"/>
  <c r="K18" i="12"/>
  <c r="B19" i="12"/>
  <c r="A19" i="12"/>
  <c r="C19" i="12"/>
  <c r="D19" i="12"/>
  <c r="F19" i="12"/>
  <c r="G19" i="12"/>
  <c r="H19" i="12"/>
  <c r="I19" i="12"/>
  <c r="J19" i="12"/>
  <c r="K19" i="12"/>
  <c r="B20" i="12"/>
  <c r="A20" i="12"/>
  <c r="C20" i="12"/>
  <c r="D20" i="12"/>
  <c r="F20" i="12"/>
  <c r="G20" i="12"/>
  <c r="H20" i="12"/>
  <c r="I20" i="12"/>
  <c r="J20" i="12"/>
  <c r="K20" i="12"/>
  <c r="B21" i="12"/>
  <c r="A21" i="12"/>
  <c r="C21" i="12"/>
  <c r="D21" i="12"/>
  <c r="F21" i="12"/>
  <c r="G21" i="12"/>
  <c r="H21" i="12"/>
  <c r="I21" i="12"/>
  <c r="J21" i="12"/>
  <c r="K21" i="12"/>
  <c r="B22" i="12"/>
  <c r="A22" i="12"/>
  <c r="C22" i="12"/>
  <c r="D22" i="12"/>
  <c r="F22" i="12"/>
  <c r="G22" i="12"/>
  <c r="H22" i="12"/>
  <c r="I22" i="12"/>
  <c r="J22" i="12"/>
  <c r="K22" i="12"/>
  <c r="B23" i="12"/>
  <c r="A23" i="12"/>
  <c r="C23" i="12"/>
  <c r="D23" i="12"/>
  <c r="F23" i="12"/>
  <c r="G23" i="12"/>
  <c r="H23" i="12"/>
  <c r="I23" i="12"/>
  <c r="J23" i="12"/>
  <c r="K23" i="12"/>
  <c r="B24" i="12"/>
  <c r="A24" i="12"/>
  <c r="C24" i="12"/>
  <c r="D24" i="12"/>
  <c r="F24" i="12"/>
  <c r="G24" i="12"/>
  <c r="H24" i="12"/>
  <c r="I24" i="12"/>
  <c r="J24" i="12"/>
  <c r="K24" i="12"/>
  <c r="B25" i="12"/>
  <c r="A25" i="12"/>
  <c r="C25" i="12"/>
  <c r="D25" i="12"/>
  <c r="F25" i="12"/>
  <c r="G25" i="12"/>
  <c r="H25" i="12"/>
  <c r="I25" i="12"/>
  <c r="J25" i="12"/>
  <c r="K25" i="12"/>
  <c r="B26" i="12"/>
  <c r="A26" i="12"/>
  <c r="C26" i="12"/>
  <c r="D26" i="12"/>
  <c r="F26" i="12"/>
  <c r="G26" i="12"/>
  <c r="H26" i="12"/>
  <c r="I26" i="12"/>
  <c r="J26" i="12"/>
  <c r="K26" i="12"/>
  <c r="B27" i="12"/>
  <c r="A27" i="12"/>
  <c r="C27" i="12"/>
  <c r="D27" i="12"/>
  <c r="F27" i="12"/>
  <c r="G27" i="12"/>
  <c r="H27" i="12"/>
  <c r="I27" i="12"/>
  <c r="J27" i="12"/>
  <c r="K27" i="12"/>
  <c r="B28" i="12"/>
  <c r="A28" i="12"/>
  <c r="C28" i="12"/>
  <c r="D28" i="12"/>
  <c r="F28" i="12"/>
  <c r="G28" i="12"/>
  <c r="H28" i="12"/>
  <c r="I28" i="12"/>
  <c r="J28" i="12"/>
  <c r="K28" i="12"/>
  <c r="B29" i="12"/>
  <c r="A29" i="12"/>
  <c r="C29" i="12"/>
  <c r="D29" i="12"/>
  <c r="F29" i="12"/>
  <c r="G29" i="12"/>
  <c r="H29" i="12"/>
  <c r="I29" i="12"/>
  <c r="J29" i="12"/>
  <c r="K29" i="12"/>
  <c r="B30" i="12"/>
  <c r="A30" i="12"/>
  <c r="C30" i="12"/>
  <c r="D30" i="12"/>
  <c r="F30" i="12"/>
  <c r="G30" i="12"/>
  <c r="H30" i="12"/>
  <c r="I30" i="12"/>
  <c r="J30" i="12"/>
  <c r="K30" i="12"/>
  <c r="B31" i="12"/>
  <c r="A31" i="12"/>
  <c r="C31" i="12"/>
  <c r="D31" i="12"/>
  <c r="F31" i="12"/>
  <c r="G31" i="12"/>
  <c r="H31" i="12"/>
  <c r="I31" i="12"/>
  <c r="J31" i="12"/>
  <c r="K31" i="12"/>
  <c r="B32" i="12"/>
  <c r="A32" i="12"/>
  <c r="C32" i="12"/>
  <c r="D32" i="12"/>
  <c r="F32" i="12"/>
  <c r="G32" i="12"/>
  <c r="H32" i="12"/>
  <c r="I32" i="12"/>
  <c r="J32" i="12"/>
  <c r="K32" i="12"/>
  <c r="B33" i="12"/>
  <c r="A33" i="12"/>
  <c r="C33" i="12"/>
  <c r="D33" i="12"/>
  <c r="F33" i="12"/>
  <c r="G33" i="12"/>
  <c r="H33" i="12"/>
  <c r="I33" i="12"/>
  <c r="J33" i="12"/>
  <c r="K33" i="12"/>
  <c r="B34" i="12"/>
  <c r="C34" i="12"/>
  <c r="D34" i="12"/>
  <c r="F34" i="12"/>
  <c r="G34" i="12"/>
  <c r="H34" i="12"/>
  <c r="I34" i="12"/>
  <c r="J34" i="12"/>
  <c r="K34" i="12"/>
  <c r="B35" i="12"/>
  <c r="A35" i="12"/>
  <c r="C35" i="12"/>
  <c r="D35" i="12"/>
  <c r="F35" i="12"/>
  <c r="G35" i="12"/>
  <c r="H35" i="12"/>
  <c r="I35" i="12"/>
  <c r="J35" i="12"/>
  <c r="K35" i="12"/>
  <c r="B36" i="12"/>
  <c r="A36" i="12"/>
  <c r="C36" i="12"/>
  <c r="D36" i="12"/>
  <c r="F36" i="12"/>
  <c r="G36" i="12"/>
  <c r="H36" i="12"/>
  <c r="I36" i="12"/>
  <c r="J36" i="12"/>
  <c r="K36" i="12"/>
  <c r="B37" i="12"/>
  <c r="A37" i="12"/>
  <c r="C37" i="12"/>
  <c r="D37" i="12"/>
  <c r="F37" i="12"/>
  <c r="G37" i="12"/>
  <c r="H37" i="12"/>
  <c r="I37" i="12"/>
  <c r="J37" i="12"/>
  <c r="K37" i="12"/>
  <c r="B38" i="12"/>
  <c r="A38" i="12"/>
  <c r="C38" i="12"/>
  <c r="D38" i="12"/>
  <c r="F38" i="12"/>
  <c r="G38" i="12"/>
  <c r="H38" i="12"/>
  <c r="I38" i="12"/>
  <c r="J38" i="12"/>
  <c r="K38" i="12"/>
  <c r="B39" i="12"/>
  <c r="A39" i="12"/>
  <c r="C39" i="12"/>
  <c r="D39" i="12"/>
  <c r="F39" i="12"/>
  <c r="G39" i="12"/>
  <c r="H39" i="12"/>
  <c r="I39" i="12"/>
  <c r="J39" i="12"/>
  <c r="K39" i="12"/>
  <c r="B40" i="12"/>
  <c r="A40" i="12"/>
  <c r="C40" i="12"/>
  <c r="D40" i="12"/>
  <c r="F40" i="12"/>
  <c r="G40" i="12"/>
  <c r="H40" i="12"/>
  <c r="I40" i="12"/>
  <c r="J40" i="12"/>
  <c r="K40" i="12"/>
  <c r="B41" i="12"/>
  <c r="A41" i="12"/>
  <c r="C41" i="12"/>
  <c r="D41" i="12"/>
  <c r="F41" i="12"/>
  <c r="G41" i="12"/>
  <c r="H41" i="12"/>
  <c r="I41" i="12"/>
  <c r="J41" i="12"/>
  <c r="K41" i="12"/>
  <c r="B42" i="12"/>
  <c r="A42" i="12"/>
  <c r="C42" i="12"/>
  <c r="D42" i="12"/>
  <c r="F42" i="12"/>
  <c r="G42" i="12"/>
  <c r="H42" i="12"/>
  <c r="I42" i="12"/>
  <c r="J42" i="12"/>
  <c r="K42" i="12"/>
  <c r="B43" i="12"/>
  <c r="A43" i="12"/>
  <c r="C43" i="12"/>
  <c r="D43" i="12"/>
  <c r="F43" i="12"/>
  <c r="G43" i="12"/>
  <c r="H43" i="12"/>
  <c r="I43" i="12"/>
  <c r="J43" i="12"/>
  <c r="K43" i="12"/>
  <c r="B44" i="12"/>
  <c r="A44" i="12"/>
  <c r="C44" i="12"/>
  <c r="D44" i="12"/>
  <c r="F44" i="12"/>
  <c r="G44" i="12"/>
  <c r="H44" i="12"/>
  <c r="I44" i="12"/>
  <c r="J44" i="12"/>
  <c r="K44" i="12"/>
  <c r="B45" i="12"/>
  <c r="A45" i="12"/>
  <c r="C45" i="12"/>
  <c r="D45" i="12"/>
  <c r="F45" i="12"/>
  <c r="G45" i="12"/>
  <c r="H45" i="12"/>
  <c r="I45" i="12"/>
  <c r="J45" i="12"/>
  <c r="K45" i="12"/>
  <c r="B46" i="12"/>
  <c r="A46" i="12"/>
  <c r="C46" i="12"/>
  <c r="D46" i="12"/>
  <c r="F46" i="12"/>
  <c r="G46" i="12"/>
  <c r="H46" i="12"/>
  <c r="I46" i="12"/>
  <c r="J46" i="12"/>
  <c r="K46" i="12"/>
  <c r="B47" i="12"/>
  <c r="A47" i="12"/>
  <c r="C47" i="12"/>
  <c r="D47" i="12"/>
  <c r="F47" i="12"/>
  <c r="G47" i="12"/>
  <c r="H47" i="12"/>
  <c r="I47" i="12"/>
  <c r="J47" i="12"/>
  <c r="K47" i="12"/>
  <c r="B48" i="12"/>
  <c r="A48" i="12"/>
  <c r="C48" i="12"/>
  <c r="D48" i="12"/>
  <c r="F48" i="12"/>
  <c r="G48" i="12"/>
  <c r="H48" i="12"/>
  <c r="I48" i="12"/>
  <c r="J48" i="12"/>
  <c r="K48" i="12"/>
  <c r="B49" i="12"/>
  <c r="A49" i="12"/>
  <c r="C49" i="12"/>
  <c r="D49" i="12"/>
  <c r="F49" i="12"/>
  <c r="G49" i="12"/>
  <c r="H49" i="12"/>
  <c r="I49" i="12"/>
  <c r="J49" i="12"/>
  <c r="K49" i="12"/>
  <c r="B50" i="12"/>
  <c r="A50" i="12"/>
  <c r="C50" i="12"/>
  <c r="D50" i="12"/>
  <c r="F50" i="12"/>
  <c r="G50" i="12"/>
  <c r="H50" i="12"/>
  <c r="I50" i="12"/>
  <c r="J50" i="12"/>
  <c r="K50" i="12"/>
  <c r="B51" i="12"/>
  <c r="A51" i="12"/>
  <c r="C51" i="12"/>
  <c r="D51" i="12"/>
  <c r="F51" i="12"/>
  <c r="G51" i="12"/>
  <c r="H51" i="12"/>
  <c r="I51" i="12"/>
  <c r="J51" i="12"/>
  <c r="K51" i="12"/>
  <c r="B52" i="12"/>
  <c r="A52" i="12"/>
  <c r="C52" i="12"/>
  <c r="D52" i="12"/>
  <c r="F52" i="12"/>
  <c r="G52" i="12"/>
  <c r="H52" i="12"/>
  <c r="I52" i="12"/>
  <c r="J52" i="12"/>
  <c r="K52" i="12"/>
  <c r="B53" i="12"/>
  <c r="A53" i="12"/>
  <c r="C53" i="12"/>
  <c r="D53" i="12"/>
  <c r="F53" i="12"/>
  <c r="G53" i="12"/>
  <c r="H53" i="12"/>
  <c r="I53" i="12"/>
  <c r="J53" i="12"/>
  <c r="K53" i="12"/>
  <c r="B54" i="12"/>
  <c r="A54" i="12"/>
  <c r="C54" i="12"/>
  <c r="D54" i="12"/>
  <c r="F54" i="12"/>
  <c r="G54" i="12"/>
  <c r="H54" i="12"/>
  <c r="I54" i="12"/>
  <c r="J54" i="12"/>
  <c r="K54" i="12"/>
  <c r="B55" i="12"/>
  <c r="A55" i="12"/>
  <c r="C55" i="12"/>
  <c r="D55" i="12"/>
  <c r="F55" i="12"/>
  <c r="G55" i="12"/>
  <c r="H55" i="12"/>
  <c r="I55" i="12"/>
  <c r="J55" i="12"/>
  <c r="K55" i="12"/>
  <c r="B56" i="12"/>
  <c r="A56" i="12"/>
  <c r="C56" i="12"/>
  <c r="D56" i="12"/>
  <c r="F56" i="12"/>
  <c r="G56" i="12"/>
  <c r="H56" i="12"/>
  <c r="I56" i="12"/>
  <c r="J56" i="12"/>
  <c r="K56" i="12"/>
  <c r="B57" i="12"/>
  <c r="A57" i="12"/>
  <c r="C57" i="12"/>
  <c r="D57" i="12"/>
  <c r="F57" i="12"/>
  <c r="G57" i="12"/>
  <c r="H57" i="12"/>
  <c r="I57" i="12"/>
  <c r="J57" i="12"/>
  <c r="K57" i="12"/>
  <c r="B58" i="12"/>
  <c r="A58" i="12"/>
  <c r="C58" i="12"/>
  <c r="D58" i="12"/>
  <c r="F58" i="12"/>
  <c r="G58" i="12"/>
  <c r="H58" i="12"/>
  <c r="I58" i="12"/>
  <c r="J58" i="12"/>
  <c r="K58" i="12"/>
  <c r="B59" i="12"/>
  <c r="A59" i="12"/>
  <c r="C59" i="12"/>
  <c r="D59" i="12"/>
  <c r="F59" i="12"/>
  <c r="G59" i="12"/>
  <c r="H59" i="12"/>
  <c r="I59" i="12"/>
  <c r="J59" i="12"/>
  <c r="K59" i="12"/>
  <c r="B60" i="12"/>
  <c r="A60" i="12"/>
  <c r="C60" i="12"/>
  <c r="D60" i="12"/>
  <c r="F60" i="12"/>
  <c r="G60" i="12"/>
  <c r="H60" i="12"/>
  <c r="I60" i="12"/>
  <c r="J60" i="12"/>
  <c r="K60" i="12"/>
  <c r="B61" i="12"/>
  <c r="A61" i="12"/>
  <c r="C61" i="12"/>
  <c r="D61" i="12"/>
  <c r="F61" i="12"/>
  <c r="G61" i="12"/>
  <c r="H61" i="12"/>
  <c r="I61" i="12"/>
  <c r="J61" i="12"/>
  <c r="K61" i="12"/>
  <c r="B62" i="12"/>
  <c r="A62" i="12"/>
  <c r="C62" i="12"/>
  <c r="D62" i="12"/>
  <c r="F62" i="12"/>
  <c r="G62" i="12"/>
  <c r="H62" i="12"/>
  <c r="I62" i="12"/>
  <c r="J62" i="12"/>
  <c r="K62" i="12"/>
  <c r="B63" i="12"/>
  <c r="A63" i="12"/>
  <c r="C63" i="12"/>
  <c r="D63" i="12"/>
  <c r="F63" i="12"/>
  <c r="G63" i="12"/>
  <c r="H63" i="12"/>
  <c r="I63" i="12"/>
  <c r="J63" i="12"/>
  <c r="K63" i="12"/>
  <c r="B64" i="12"/>
  <c r="A64" i="12"/>
  <c r="C64" i="12"/>
  <c r="D64" i="12"/>
  <c r="F64" i="12"/>
  <c r="G64" i="12"/>
  <c r="H64" i="12"/>
  <c r="I64" i="12"/>
  <c r="J64" i="12"/>
  <c r="K64" i="12"/>
  <c r="D3" i="12"/>
  <c r="B3" i="12"/>
  <c r="A3" i="12"/>
  <c r="C3" i="12"/>
  <c r="F3" i="12"/>
  <c r="G3" i="12"/>
  <c r="H3" i="12"/>
  <c r="I3" i="12"/>
  <c r="J3" i="12"/>
  <c r="K3" i="12"/>
  <c r="K2" i="12"/>
  <c r="J2" i="12"/>
  <c r="I2" i="12"/>
  <c r="H2" i="12"/>
  <c r="G2" i="12"/>
  <c r="F2" i="12"/>
  <c r="D2" i="12"/>
  <c r="A2" i="12"/>
  <c r="B2" i="12"/>
  <c r="C2" i="12"/>
  <c r="D229" i="11" l="1"/>
  <c r="B224" i="11"/>
  <c r="L343" i="11"/>
  <c r="K343" i="11"/>
  <c r="J343" i="11"/>
  <c r="I343" i="11"/>
  <c r="H343" i="11"/>
  <c r="G343" i="11"/>
  <c r="F343" i="11"/>
  <c r="E343" i="11"/>
  <c r="D343" i="11"/>
  <c r="C343" i="11"/>
  <c r="B343" i="11"/>
  <c r="K338" i="11"/>
  <c r="J338" i="11"/>
  <c r="I338" i="11"/>
  <c r="H338" i="11"/>
  <c r="G338" i="11"/>
  <c r="F338" i="11"/>
  <c r="E338" i="11"/>
  <c r="D338" i="11"/>
  <c r="C338" i="11"/>
  <c r="B338" i="11"/>
  <c r="L332" i="11"/>
  <c r="K332" i="11"/>
  <c r="J332" i="11"/>
  <c r="I332" i="11"/>
  <c r="H332" i="11"/>
  <c r="G332" i="11"/>
  <c r="F332" i="11"/>
  <c r="E332" i="11"/>
  <c r="D332" i="11"/>
  <c r="C332" i="11"/>
  <c r="B332" i="11"/>
  <c r="L338" i="11"/>
  <c r="L303" i="11"/>
  <c r="K326" i="11"/>
  <c r="J326" i="11"/>
  <c r="I326" i="11"/>
  <c r="H326" i="11"/>
  <c r="G326" i="11"/>
  <c r="F326" i="11"/>
  <c r="E326" i="11"/>
  <c r="D326" i="11"/>
  <c r="C326" i="11"/>
  <c r="B326" i="11"/>
  <c r="L321" i="11"/>
  <c r="K321" i="11"/>
  <c r="J321" i="11"/>
  <c r="I321" i="11"/>
  <c r="H321" i="11"/>
  <c r="G321" i="11"/>
  <c r="F321" i="11"/>
  <c r="E321" i="11"/>
  <c r="D321" i="11"/>
  <c r="C321" i="11"/>
  <c r="B321" i="11"/>
  <c r="L308" i="11"/>
  <c r="K308" i="11"/>
  <c r="J308" i="11"/>
  <c r="I308" i="11"/>
  <c r="H308" i="11"/>
  <c r="G308" i="11"/>
  <c r="F308" i="11"/>
  <c r="E308" i="11"/>
  <c r="D308" i="11"/>
  <c r="C308" i="11"/>
  <c r="B308" i="11"/>
  <c r="K303" i="11"/>
  <c r="J303" i="11"/>
  <c r="I303" i="11"/>
  <c r="H303" i="11"/>
  <c r="G303" i="11"/>
  <c r="F303" i="11"/>
  <c r="E303" i="11"/>
  <c r="D303" i="11"/>
  <c r="C303" i="11"/>
  <c r="B303" i="11"/>
  <c r="L297" i="11"/>
  <c r="K297" i="11"/>
  <c r="J297" i="11"/>
  <c r="I297" i="11"/>
  <c r="H297" i="11"/>
  <c r="G297" i="11"/>
  <c r="F297" i="11"/>
  <c r="E297" i="11"/>
  <c r="D297" i="11"/>
  <c r="C297" i="11"/>
  <c r="B297" i="11"/>
  <c r="L292" i="11"/>
  <c r="K292" i="11"/>
  <c r="J292" i="11"/>
  <c r="I292" i="11"/>
  <c r="H292" i="11"/>
  <c r="G292" i="11"/>
  <c r="F292" i="11"/>
  <c r="E292" i="11"/>
  <c r="D292" i="11"/>
  <c r="C292" i="11"/>
  <c r="B292" i="11"/>
  <c r="L287" i="11"/>
  <c r="K287" i="11"/>
  <c r="J287" i="11"/>
  <c r="I287" i="11"/>
  <c r="H287" i="11"/>
  <c r="G287" i="11"/>
  <c r="F287" i="11"/>
  <c r="E287" i="11"/>
  <c r="D287" i="11"/>
  <c r="C287" i="11"/>
  <c r="B287" i="11"/>
  <c r="L282" i="11"/>
  <c r="K282" i="11"/>
  <c r="J282" i="11"/>
  <c r="I282" i="11"/>
  <c r="H282" i="11"/>
  <c r="G282" i="11"/>
  <c r="F282" i="11"/>
  <c r="E282" i="11"/>
  <c r="D282" i="11"/>
  <c r="C282" i="11"/>
  <c r="B282" i="11"/>
  <c r="L277" i="11"/>
  <c r="K277" i="11"/>
  <c r="J277" i="11"/>
  <c r="I277" i="11"/>
  <c r="H277" i="11"/>
  <c r="G277" i="11"/>
  <c r="F277" i="11"/>
  <c r="E277" i="11"/>
  <c r="D277" i="11"/>
  <c r="C277" i="11"/>
  <c r="B277" i="11"/>
  <c r="L272" i="11"/>
  <c r="K272" i="11"/>
  <c r="J272" i="11"/>
  <c r="I272" i="11"/>
  <c r="H272" i="11"/>
  <c r="G272" i="11"/>
  <c r="F272" i="11"/>
  <c r="E272" i="11"/>
  <c r="D272" i="11"/>
  <c r="C272" i="11"/>
  <c r="B272" i="11"/>
  <c r="L259" i="11"/>
  <c r="K259" i="11"/>
  <c r="J259" i="11"/>
  <c r="I259" i="11"/>
  <c r="H259" i="11"/>
  <c r="G259" i="11"/>
  <c r="F259" i="11"/>
  <c r="E259" i="11"/>
  <c r="D259" i="11"/>
  <c r="C259" i="11"/>
  <c r="B259" i="11"/>
  <c r="L254" i="11"/>
  <c r="K254" i="11"/>
  <c r="J254" i="11"/>
  <c r="I254" i="11"/>
  <c r="H254" i="11"/>
  <c r="G254" i="11"/>
  <c r="F254" i="11"/>
  <c r="E254" i="11"/>
  <c r="D254" i="11"/>
  <c r="C254" i="11"/>
  <c r="B254" i="11"/>
  <c r="L240" i="11"/>
  <c r="K240" i="11"/>
  <c r="J240" i="11"/>
  <c r="I240" i="11"/>
  <c r="H240" i="11"/>
  <c r="G240" i="11"/>
  <c r="F240" i="11"/>
  <c r="E240" i="11"/>
  <c r="D240" i="11"/>
  <c r="C240" i="11"/>
  <c r="B240" i="11"/>
  <c r="L235" i="11"/>
  <c r="K235" i="11"/>
  <c r="J235" i="11"/>
  <c r="I235" i="11"/>
  <c r="H235" i="11"/>
  <c r="G235" i="11"/>
  <c r="F235" i="11"/>
  <c r="E235" i="11"/>
  <c r="D235" i="11"/>
  <c r="C235" i="11"/>
  <c r="B235" i="11"/>
  <c r="L229" i="11"/>
  <c r="K229" i="11"/>
  <c r="J229" i="11"/>
  <c r="I229" i="11"/>
  <c r="H229" i="11"/>
  <c r="G229" i="11"/>
  <c r="F229" i="11"/>
  <c r="E229" i="11"/>
  <c r="C229" i="11"/>
  <c r="B229" i="11"/>
  <c r="L213" i="11"/>
  <c r="K213" i="11"/>
  <c r="J213" i="11"/>
  <c r="I213" i="11"/>
  <c r="H213" i="11"/>
  <c r="G213" i="11"/>
  <c r="F213" i="11"/>
  <c r="E213" i="11"/>
  <c r="D213" i="11"/>
  <c r="C213" i="11"/>
  <c r="B213" i="11"/>
  <c r="L208" i="11"/>
  <c r="K208" i="11"/>
  <c r="J208" i="11"/>
  <c r="I208" i="11"/>
  <c r="H208" i="11"/>
  <c r="G208" i="11"/>
  <c r="F208" i="11"/>
  <c r="E208" i="11"/>
  <c r="D208" i="11"/>
  <c r="C208" i="11"/>
  <c r="B208" i="11"/>
  <c r="L203" i="11"/>
  <c r="K203" i="11"/>
  <c r="J203" i="11"/>
  <c r="I203" i="11"/>
  <c r="H203" i="11"/>
  <c r="G203" i="11"/>
  <c r="F203" i="11"/>
  <c r="E203" i="11"/>
  <c r="D203" i="11"/>
  <c r="C203" i="11"/>
  <c r="B203" i="11"/>
  <c r="L198" i="11"/>
  <c r="K198" i="11"/>
  <c r="J198" i="11"/>
  <c r="I198" i="11"/>
  <c r="H198" i="11"/>
  <c r="G198" i="11"/>
  <c r="F198" i="11"/>
  <c r="E198" i="11"/>
  <c r="D198" i="11"/>
  <c r="C198" i="11"/>
  <c r="B198" i="11"/>
  <c r="L185" i="11"/>
  <c r="K185" i="11"/>
  <c r="J185" i="11"/>
  <c r="I185" i="11"/>
  <c r="H185" i="11"/>
  <c r="G185" i="11"/>
  <c r="F185" i="11"/>
  <c r="E185" i="11"/>
  <c r="D185" i="11"/>
  <c r="C185" i="11"/>
  <c r="B185" i="11"/>
  <c r="L180" i="11"/>
  <c r="K180" i="11"/>
  <c r="J180" i="11"/>
  <c r="I180" i="11"/>
  <c r="H180" i="11"/>
  <c r="G180" i="11"/>
  <c r="F180" i="11"/>
  <c r="E180" i="11"/>
  <c r="D180" i="11"/>
  <c r="C180" i="11"/>
  <c r="B180" i="11"/>
  <c r="L175" i="11"/>
  <c r="K175" i="11"/>
  <c r="J175" i="11"/>
  <c r="I175" i="11"/>
  <c r="H175" i="11"/>
  <c r="G175" i="11"/>
  <c r="F175" i="11"/>
  <c r="E175" i="11"/>
  <c r="D175" i="11"/>
  <c r="C175" i="11"/>
  <c r="B175" i="11"/>
  <c r="L161" i="11"/>
  <c r="K161" i="11"/>
  <c r="J161" i="11"/>
  <c r="I161" i="11"/>
  <c r="H161" i="11"/>
  <c r="G161" i="11"/>
  <c r="F161" i="11"/>
  <c r="E161" i="11"/>
  <c r="D161" i="11"/>
  <c r="C161" i="11"/>
  <c r="B161" i="11"/>
  <c r="L156" i="11"/>
  <c r="K156" i="11"/>
  <c r="J156" i="11"/>
  <c r="I156" i="11"/>
  <c r="H156" i="11"/>
  <c r="G156" i="11"/>
  <c r="F156" i="11"/>
  <c r="E156" i="11"/>
  <c r="D156" i="11"/>
  <c r="C156" i="11"/>
  <c r="B156" i="11"/>
  <c r="L138" i="11"/>
  <c r="K138" i="11"/>
  <c r="J138" i="11"/>
  <c r="I138" i="11"/>
  <c r="H138" i="11"/>
  <c r="G138" i="11"/>
  <c r="F138" i="11"/>
  <c r="E138" i="11"/>
  <c r="D138" i="11"/>
  <c r="C138" i="11"/>
  <c r="B138" i="11"/>
  <c r="L144" i="11"/>
  <c r="K144" i="11"/>
  <c r="J144" i="11"/>
  <c r="I144" i="11"/>
  <c r="H144" i="11"/>
  <c r="G144" i="11"/>
  <c r="F144" i="11"/>
  <c r="E144" i="11"/>
  <c r="D144" i="11"/>
  <c r="C144" i="11"/>
  <c r="B144" i="11"/>
  <c r="L126" i="11"/>
  <c r="K126" i="11"/>
  <c r="J126" i="11"/>
  <c r="I126" i="11"/>
  <c r="H126" i="11"/>
  <c r="G126" i="11"/>
  <c r="F126" i="11"/>
  <c r="E126" i="11"/>
  <c r="D126" i="11"/>
  <c r="C126" i="11"/>
  <c r="L120" i="11"/>
  <c r="K120" i="11"/>
  <c r="J120" i="11"/>
  <c r="I120" i="11"/>
  <c r="H120" i="11"/>
  <c r="G120" i="11"/>
  <c r="F120" i="11"/>
  <c r="E120" i="11"/>
  <c r="D120" i="11"/>
  <c r="C120" i="11"/>
  <c r="L107" i="11"/>
  <c r="K107" i="11"/>
  <c r="J107" i="11"/>
  <c r="I107" i="11"/>
  <c r="H107" i="11"/>
  <c r="G107" i="11"/>
  <c r="F107" i="11"/>
  <c r="E107" i="11"/>
  <c r="D107" i="11"/>
  <c r="C107" i="11"/>
  <c r="B107" i="11"/>
  <c r="L102" i="11"/>
  <c r="K102" i="11"/>
  <c r="J102" i="11"/>
  <c r="I102" i="11"/>
  <c r="H102" i="11"/>
  <c r="G102" i="11"/>
  <c r="F102" i="11"/>
  <c r="E102" i="11"/>
  <c r="D102" i="11"/>
  <c r="C102" i="11"/>
  <c r="B102" i="11"/>
  <c r="L89" i="11"/>
  <c r="K89" i="11"/>
  <c r="J89" i="11"/>
  <c r="I89" i="11"/>
  <c r="H89" i="11"/>
  <c r="G89" i="11"/>
  <c r="F89" i="11"/>
  <c r="E89" i="11"/>
  <c r="D89" i="11"/>
  <c r="C89" i="11"/>
  <c r="B89" i="11"/>
  <c r="L80" i="11"/>
  <c r="K80" i="11"/>
  <c r="J80" i="11"/>
  <c r="I80" i="11"/>
  <c r="H80" i="11"/>
  <c r="G80" i="11"/>
  <c r="F80" i="11"/>
  <c r="E80" i="11"/>
  <c r="D80" i="11"/>
  <c r="C80" i="11"/>
  <c r="B80" i="11"/>
  <c r="L75" i="11"/>
  <c r="K75" i="11"/>
  <c r="J75" i="11"/>
  <c r="I75" i="11"/>
  <c r="H75" i="11"/>
  <c r="G75" i="11"/>
  <c r="F75" i="11"/>
  <c r="E75" i="11"/>
  <c r="D75" i="11"/>
  <c r="C75" i="11"/>
  <c r="B75" i="11"/>
  <c r="L69" i="11"/>
  <c r="K69" i="11"/>
  <c r="J69" i="11"/>
  <c r="I69" i="11"/>
  <c r="H69" i="11"/>
  <c r="G69" i="11"/>
  <c r="F69" i="11"/>
  <c r="E69" i="11"/>
  <c r="D69" i="11"/>
  <c r="C69" i="11"/>
  <c r="B69" i="11"/>
  <c r="L64" i="11"/>
  <c r="K64" i="11"/>
  <c r="J64" i="11"/>
  <c r="I64" i="11"/>
  <c r="H64" i="11"/>
  <c r="G64" i="11"/>
  <c r="F64" i="11"/>
  <c r="E64" i="11"/>
  <c r="D64" i="11"/>
  <c r="C64" i="11"/>
  <c r="B64" i="11"/>
  <c r="L59" i="11"/>
  <c r="K59" i="11"/>
  <c r="J59" i="11"/>
  <c r="I59" i="11"/>
  <c r="H59" i="11"/>
  <c r="G59" i="11"/>
  <c r="F59" i="11"/>
  <c r="E59" i="11"/>
  <c r="D59" i="11"/>
  <c r="C59" i="11"/>
  <c r="B59" i="11"/>
  <c r="L53" i="11"/>
  <c r="K53" i="11"/>
  <c r="J53" i="11"/>
  <c r="I53" i="11"/>
  <c r="H53" i="11"/>
  <c r="G53" i="11"/>
  <c r="F53" i="11"/>
  <c r="E53" i="11"/>
  <c r="D53" i="11"/>
  <c r="C53" i="11"/>
  <c r="B53" i="11"/>
  <c r="L47" i="11"/>
  <c r="K47" i="11"/>
  <c r="J47" i="11"/>
  <c r="I47" i="11"/>
  <c r="H47" i="11"/>
  <c r="G47" i="11"/>
  <c r="F47" i="11"/>
  <c r="E47" i="11"/>
  <c r="D47" i="11"/>
  <c r="C47" i="11"/>
  <c r="B47" i="11"/>
  <c r="L42" i="11"/>
  <c r="K42" i="11"/>
  <c r="J42" i="11"/>
  <c r="I42" i="11"/>
  <c r="H42" i="11"/>
  <c r="G42" i="11"/>
  <c r="F42" i="11"/>
  <c r="E42" i="11"/>
  <c r="D42" i="11"/>
  <c r="C42" i="11"/>
  <c r="B42" i="11"/>
  <c r="L30" i="11"/>
  <c r="K30" i="11"/>
  <c r="J30" i="11"/>
  <c r="I30" i="11"/>
  <c r="H30" i="11"/>
  <c r="G30" i="11"/>
  <c r="F30" i="11"/>
  <c r="E30" i="11"/>
  <c r="D30" i="11"/>
  <c r="C30" i="11"/>
  <c r="B30" i="11"/>
  <c r="L24" i="11"/>
  <c r="K24" i="11"/>
  <c r="J24" i="11"/>
  <c r="I24" i="11"/>
  <c r="H24" i="11"/>
  <c r="G24" i="11"/>
  <c r="F24" i="11"/>
  <c r="E24" i="11"/>
  <c r="D24" i="11"/>
  <c r="C24" i="11"/>
  <c r="B24" i="11"/>
  <c r="L18" i="11"/>
  <c r="K18" i="11"/>
  <c r="J18" i="11"/>
  <c r="I18" i="11"/>
  <c r="H18" i="11"/>
  <c r="G18" i="11"/>
  <c r="F18" i="11"/>
  <c r="E18" i="11"/>
  <c r="D18" i="11"/>
  <c r="C18" i="11"/>
  <c r="B18" i="11"/>
  <c r="L12" i="11"/>
  <c r="K12" i="11"/>
  <c r="J12" i="11"/>
  <c r="I12" i="11"/>
  <c r="H12" i="11"/>
  <c r="G12" i="11"/>
  <c r="F12" i="11"/>
  <c r="E12" i="11"/>
  <c r="D12" i="11"/>
  <c r="C12" i="11"/>
  <c r="B12" i="11"/>
  <c r="L326" i="11"/>
  <c r="B126" i="11"/>
  <c r="B120" i="11"/>
  <c r="E224" i="11"/>
  <c r="L224" i="11"/>
  <c r="D224" i="11"/>
  <c r="K224" i="11"/>
  <c r="C224" i="11"/>
  <c r="J224" i="11"/>
  <c r="I224" i="11"/>
  <c r="H224" i="11"/>
  <c r="G224" i="11"/>
  <c r="F224" i="11"/>
  <c r="R29" i="5" l="1"/>
  <c r="R13" i="5"/>
  <c r="R52" i="5"/>
  <c r="R44" i="5"/>
  <c r="R36" i="5"/>
  <c r="R28" i="5"/>
  <c r="R20" i="5"/>
  <c r="R12" i="5"/>
  <c r="R45" i="5"/>
  <c r="R21" i="5"/>
  <c r="R51" i="5"/>
  <c r="R43" i="5"/>
  <c r="R35" i="5"/>
  <c r="R27" i="5"/>
  <c r="R19" i="5"/>
  <c r="R11" i="5"/>
  <c r="R50" i="5"/>
  <c r="R26" i="5"/>
  <c r="R18" i="5"/>
  <c r="R49" i="5"/>
  <c r="R25" i="5"/>
  <c r="R17" i="5"/>
  <c r="R9" i="5"/>
  <c r="R33" i="5"/>
  <c r="R32" i="5"/>
  <c r="R24" i="5"/>
  <c r="R16" i="5"/>
  <c r="R8" i="5"/>
  <c r="R53" i="5"/>
  <c r="R42" i="5"/>
  <c r="R10" i="5"/>
  <c r="R48" i="5"/>
  <c r="R47" i="5"/>
  <c r="R23" i="5"/>
  <c r="R7" i="5"/>
  <c r="R37" i="5"/>
  <c r="R34" i="5"/>
  <c r="R41" i="5"/>
  <c r="R40" i="5"/>
  <c r="R55" i="5"/>
  <c r="R39" i="5"/>
  <c r="R31" i="5"/>
  <c r="R15" i="5"/>
  <c r="R54" i="5"/>
  <c r="R46" i="5"/>
  <c r="R38" i="5"/>
  <c r="R30" i="5"/>
  <c r="R22" i="5"/>
  <c r="R14" i="5"/>
  <c r="R6" i="5"/>
  <c r="V6" i="5" l="1"/>
  <c r="V7" i="5"/>
  <c r="V8" i="5"/>
  <c r="V9" i="5"/>
  <c r="V10" i="5"/>
  <c r="V11" i="5"/>
  <c r="V12" i="5"/>
  <c r="V13" i="5"/>
  <c r="V14" i="5"/>
  <c r="V18" i="5"/>
  <c r="V19" i="5"/>
  <c r="V20" i="5"/>
  <c r="V21" i="5"/>
  <c r="V22" i="5"/>
  <c r="V23" i="5"/>
  <c r="V24"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S6" i="5" l="1"/>
  <c r="S7" i="5"/>
  <c r="S8" i="5"/>
  <c r="S10" i="5"/>
  <c r="S11" i="5"/>
  <c r="S12" i="5"/>
  <c r="S13" i="5"/>
  <c r="S14" i="5"/>
  <c r="S15" i="5"/>
  <c r="S16" i="5"/>
  <c r="S17" i="5"/>
  <c r="S18" i="5"/>
  <c r="S21" i="5"/>
  <c r="S22" i="5"/>
  <c r="S23" i="5"/>
  <c r="S24" i="5"/>
  <c r="S25" i="5"/>
  <c r="S26" i="5"/>
  <c r="S27" i="5"/>
  <c r="S28" i="5"/>
  <c r="S29" i="5"/>
  <c r="S31" i="5"/>
  <c r="S32" i="5"/>
  <c r="S33" i="5"/>
  <c r="S37" i="5"/>
  <c r="S38" i="5"/>
  <c r="S39" i="5"/>
  <c r="S40" i="5"/>
  <c r="S41" i="5"/>
  <c r="S42" i="5"/>
  <c r="S44" i="5"/>
  <c r="S46" i="5"/>
  <c r="S47" i="5"/>
  <c r="S48" i="5"/>
  <c r="S49" i="5"/>
  <c r="S50" i="5"/>
  <c r="S52" i="5"/>
  <c r="S53" i="5"/>
  <c r="S54" i="5"/>
  <c r="S55" i="5"/>
  <c r="S9" i="5"/>
  <c r="S19" i="5"/>
  <c r="S20" i="5"/>
  <c r="S30" i="5"/>
  <c r="S34" i="5"/>
  <c r="S35" i="5"/>
  <c r="S36" i="5"/>
  <c r="S43" i="5"/>
  <c r="S45" i="5"/>
  <c r="S51" i="5"/>
  <c r="AI10" i="5" l="1"/>
  <c r="AI14" i="5"/>
  <c r="AI24" i="5"/>
  <c r="AI34" i="5"/>
  <c r="AI35" i="5"/>
  <c r="AI36" i="5"/>
  <c r="AI37" i="5"/>
  <c r="AI38" i="5"/>
  <c r="AI39" i="5"/>
  <c r="AI40" i="5"/>
  <c r="AI41" i="5"/>
  <c r="AI42" i="5"/>
  <c r="AI43" i="5"/>
  <c r="AI44" i="5"/>
  <c r="AI45" i="5"/>
  <c r="AI46" i="5"/>
  <c r="AI47" i="5"/>
  <c r="AI48" i="5"/>
  <c r="AI49" i="5"/>
  <c r="AI50" i="5"/>
  <c r="AI51" i="5"/>
  <c r="AI52" i="5"/>
  <c r="AI53" i="5"/>
  <c r="AI54" i="5"/>
  <c r="AI55" i="5"/>
  <c r="AE55" i="5" l="1"/>
  <c r="AF55" i="5" s="1"/>
  <c r="AE51" i="5"/>
  <c r="AF51" i="5" s="1"/>
  <c r="AE47" i="5"/>
  <c r="AF47" i="5" s="1"/>
  <c r="AE46" i="5"/>
  <c r="AF46" i="5" s="1"/>
  <c r="AE44" i="5"/>
  <c r="AF44" i="5" s="1"/>
  <c r="AE43" i="5"/>
  <c r="AF43" i="5" s="1"/>
  <c r="AE40" i="5"/>
  <c r="AF40" i="5" s="1"/>
  <c r="AE39" i="5"/>
  <c r="AF39" i="5" s="1"/>
  <c r="AE36" i="5"/>
  <c r="AF36" i="5" s="1"/>
  <c r="AE35" i="5"/>
  <c r="AF35" i="5" s="1"/>
  <c r="AE34" i="5"/>
  <c r="AF34" i="5" s="1"/>
  <c r="H52" i="5"/>
  <c r="AE52" i="5"/>
  <c r="AF52" i="5" s="1"/>
  <c r="H49" i="5"/>
  <c r="AE49" i="5"/>
  <c r="AF49" i="5" s="1"/>
  <c r="H41" i="5"/>
  <c r="AE41" i="5"/>
  <c r="AF41" i="5" s="1"/>
  <c r="H54" i="5"/>
  <c r="AE54" i="5"/>
  <c r="AF54" i="5" s="1"/>
  <c r="AE38" i="5"/>
  <c r="AF38" i="5" s="1"/>
  <c r="H48" i="5"/>
  <c r="AE48" i="5"/>
  <c r="AF48" i="5" s="1"/>
  <c r="H24" i="5"/>
  <c r="H53" i="5"/>
  <c r="AE53" i="5"/>
  <c r="AF53" i="5" s="1"/>
  <c r="H45" i="5"/>
  <c r="AE45" i="5"/>
  <c r="AF45" i="5" s="1"/>
  <c r="H37" i="5"/>
  <c r="AE37" i="5"/>
  <c r="AF37" i="5" s="1"/>
  <c r="AE50" i="5"/>
  <c r="AF50" i="5" s="1"/>
  <c r="AE42" i="5"/>
  <c r="AF42" i="5" s="1"/>
  <c r="H38" i="5"/>
  <c r="Y28" i="5"/>
  <c r="Y21" i="5"/>
  <c r="Y17" i="5"/>
  <c r="Y12" i="5"/>
  <c r="Y7" i="5"/>
  <c r="Y49" i="5"/>
  <c r="Y42" i="5"/>
  <c r="Y23" i="5"/>
  <c r="Y22" i="5"/>
  <c r="Y13" i="5"/>
  <c r="Y55" i="5"/>
  <c r="Y46" i="5"/>
  <c r="Y34" i="5"/>
  <c r="Y43" i="5"/>
  <c r="Y24" i="5"/>
  <c r="Y51" i="5"/>
  <c r="Y31" i="5"/>
  <c r="Y30" i="5"/>
  <c r="Y25" i="5"/>
  <c r="Y14" i="5"/>
  <c r="Y11" i="5"/>
  <c r="Y48" i="5"/>
  <c r="Y50" i="5"/>
  <c r="H44" i="5"/>
  <c r="Y44" i="5"/>
  <c r="Y37" i="5"/>
  <c r="Y19" i="5"/>
  <c r="Y9" i="5"/>
  <c r="Y47" i="5"/>
  <c r="Y16" i="5"/>
  <c r="Y35" i="5"/>
  <c r="H36" i="5"/>
  <c r="Y36" i="5"/>
  <c r="Y29" i="5"/>
  <c r="Y18" i="5"/>
  <c r="Y52" i="5"/>
  <c r="H46" i="5"/>
  <c r="Y39" i="5"/>
  <c r="Y38" i="5"/>
  <c r="Y32" i="5"/>
  <c r="Y26" i="5"/>
  <c r="Y15" i="5"/>
  <c r="Y54" i="5"/>
  <c r="Y40" i="5"/>
  <c r="Y41" i="5"/>
  <c r="Y8" i="5"/>
  <c r="Y53" i="5"/>
  <c r="Y45" i="5"/>
  <c r="H40" i="5"/>
  <c r="Y33" i="5"/>
  <c r="Y27" i="5"/>
  <c r="Y20" i="5"/>
  <c r="Y10" i="5"/>
  <c r="Y6" i="5"/>
  <c r="H43" i="5"/>
  <c r="H35" i="5"/>
  <c r="H51" i="5"/>
  <c r="H55" i="5"/>
  <c r="H50" i="5"/>
  <c r="H47" i="5"/>
  <c r="H42" i="5"/>
  <c r="H39" i="5"/>
  <c r="AH33" i="5" l="1"/>
  <c r="AH27" i="5"/>
  <c r="AH9" i="5"/>
  <c r="AH21" i="5"/>
  <c r="AH37" i="5"/>
  <c r="AH53" i="5"/>
  <c r="AH30" i="5"/>
  <c r="AH22" i="5"/>
  <c r="AH38" i="5"/>
  <c r="AH46" i="5"/>
  <c r="AH39" i="5"/>
  <c r="AH18" i="5"/>
  <c r="AH19" i="5"/>
  <c r="AH24" i="5"/>
  <c r="AH51" i="5"/>
  <c r="AH52" i="5"/>
  <c r="AH40" i="5"/>
  <c r="AH47" i="5"/>
  <c r="AH50" i="5"/>
  <c r="AH36" i="5"/>
  <c r="AH8" i="5"/>
  <c r="AH25" i="5"/>
  <c r="AH41" i="5"/>
  <c r="AH17" i="5"/>
  <c r="AH12" i="5"/>
  <c r="AH35" i="5"/>
  <c r="AH29" i="5"/>
  <c r="AH45" i="5"/>
  <c r="AH16" i="5"/>
  <c r="AH26" i="5"/>
  <c r="AH23" i="5"/>
  <c r="AH13" i="5"/>
  <c r="AH42" i="5"/>
  <c r="AH49" i="5"/>
  <c r="AH20" i="5"/>
  <c r="AH44" i="5"/>
  <c r="AH43" i="5"/>
  <c r="AH32" i="5"/>
  <c r="AH48" i="5"/>
  <c r="AH54" i="5"/>
  <c r="AH34" i="5"/>
  <c r="AH15" i="5"/>
  <c r="AH31" i="5"/>
  <c r="AH55" i="5"/>
  <c r="AH28" i="5"/>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F3" authorId="0" shapeId="0" xr:uid="{00000000-0006-0000-0100-000001000000}">
      <text>
        <r>
          <rPr>
            <b/>
            <sz val="9"/>
            <color indexed="81"/>
            <rFont val="Tahoma"/>
            <family val="2"/>
          </rPr>
          <t>Eg. 2 Year Fixed Rate</t>
        </r>
        <r>
          <rPr>
            <sz val="9"/>
            <color indexed="81"/>
            <rFont val="Tahoma"/>
            <family val="2"/>
          </rPr>
          <t xml:space="preserve">
</t>
        </r>
      </text>
    </comment>
    <comment ref="I3" authorId="0" shapeId="0" xr:uid="{00000000-0006-0000-0100-000002000000}">
      <text>
        <r>
          <rPr>
            <b/>
            <sz val="9"/>
            <color indexed="81"/>
            <rFont val="Tahoma"/>
            <family val="2"/>
          </rPr>
          <t>85%&gt; products entitled to MIG 009 Canopius XOL 2020</t>
        </r>
      </text>
    </comment>
    <comment ref="K3" authorId="0" shapeId="0" xr:uid="{00000000-0006-0000-0100-000003000000}">
      <text>
        <r>
          <rPr>
            <b/>
            <sz val="9"/>
            <color indexed="81"/>
            <rFont val="Tahoma"/>
            <family val="2"/>
          </rPr>
          <t xml:space="preserve">If a product has an early repayment charge, a 10% overpayment incentive must also be applied. </t>
        </r>
      </text>
    </comment>
    <comment ref="P3" authorId="0" shapeId="0" xr:uid="{00000000-0006-0000-0100-000004000000}">
      <text>
        <r>
          <rPr>
            <sz val="11"/>
            <color theme="1"/>
            <rFont val="Calibri"/>
            <family val="2"/>
            <scheme val="minor"/>
          </rPr>
          <t xml:space="preserve">*If Free Legals is added please use the 
</t>
        </r>
        <r>
          <rPr>
            <b/>
            <sz val="11"/>
            <color theme="1"/>
            <rFont val="Calibri"/>
            <family val="2"/>
            <scheme val="minor"/>
          </rPr>
          <t xml:space="preserve">'Your standard legal fees paid if use nominated sol' </t>
        </r>
        <r>
          <rPr>
            <sz val="11"/>
            <color theme="1"/>
            <rFont val="Calibri"/>
            <family val="2"/>
            <scheme val="minor"/>
          </rPr>
          <t>incentive.</t>
        </r>
      </text>
    </comment>
    <comment ref="T3" authorId="0" shapeId="0" xr:uid="{00000000-0006-0000-0100-000005000000}">
      <text>
        <r>
          <rPr>
            <b/>
            <sz val="9"/>
            <color indexed="81"/>
            <rFont val="Tahoma"/>
            <family val="2"/>
          </rPr>
          <t>Help to Buy (Remortgage) product should not be available for FTB and Home Mover</t>
        </r>
        <r>
          <rPr>
            <sz val="9"/>
            <color indexed="81"/>
            <rFont val="Tahoma"/>
            <family val="2"/>
          </rPr>
          <t xml:space="preserve">
</t>
        </r>
      </text>
    </comment>
    <comment ref="Y3" authorId="0" shapeId="0" xr:uid="{00000000-0006-0000-0100-000006000000}">
      <text>
        <r>
          <rPr>
            <b/>
            <sz val="9"/>
            <color indexed="81"/>
            <rFont val="Tahoma"/>
            <family val="2"/>
          </rPr>
          <t xml:space="preserve">Please include any incentives currently not included, relevant information and links to additional documents required for the request.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Keith Maloney</author>
  </authors>
  <commentList>
    <comment ref="A1" authorId="0" shapeId="0" xr:uid="{00000000-0006-0000-0300-000001000000}">
      <text>
        <r>
          <rPr>
            <b/>
            <sz val="9"/>
            <color indexed="81"/>
            <rFont val="Tahoma"/>
            <family val="2"/>
          </rPr>
          <t>Windows User:</t>
        </r>
        <r>
          <rPr>
            <sz val="9"/>
            <color indexed="81"/>
            <rFont val="Tahoma"/>
            <family val="2"/>
          </rPr>
          <t xml:space="preserve">
This is where you would add the product requirement i.e. remove product and New product.</t>
        </r>
      </text>
    </comment>
    <comment ref="B1" authorId="0" shapeId="0" xr:uid="{00000000-0006-0000-0300-000002000000}">
      <text>
        <r>
          <rPr>
            <b/>
            <sz val="9"/>
            <color indexed="81"/>
            <rFont val="Tahoma"/>
            <family val="2"/>
          </rPr>
          <t>Windows User:</t>
        </r>
        <r>
          <rPr>
            <sz val="9"/>
            <color indexed="81"/>
            <rFont val="Tahoma"/>
            <family val="2"/>
          </rPr>
          <t xml:space="preserve">
Date of when product would go live</t>
        </r>
      </text>
    </comment>
    <comment ref="D1" authorId="1" shapeId="0" xr:uid="{00000000-0006-0000-0300-000003000000}">
      <text>
        <r>
          <rPr>
            <b/>
            <sz val="9"/>
            <color indexed="81"/>
            <rFont val="Tahoma"/>
            <family val="2"/>
          </rPr>
          <t>Keith Maloney:</t>
        </r>
        <r>
          <rPr>
            <sz val="9"/>
            <color indexed="81"/>
            <rFont val="Tahoma"/>
            <family val="2"/>
          </rPr>
          <t xml:space="preserve">
Taken from product guide</t>
        </r>
      </text>
    </comment>
    <comment ref="F1" authorId="0" shapeId="0" xr:uid="{00000000-0006-0000-0300-000004000000}">
      <text>
        <r>
          <rPr>
            <b/>
            <sz val="9"/>
            <color indexed="81"/>
            <rFont val="Tahoma"/>
            <family val="2"/>
          </rPr>
          <t>Windows User:</t>
        </r>
        <r>
          <rPr>
            <sz val="9"/>
            <color indexed="81"/>
            <rFont val="Tahoma"/>
            <family val="2"/>
          </rPr>
          <t xml:space="preserve">
Type i.e. discount product, fixed </t>
        </r>
      </text>
    </comment>
    <comment ref="H1" authorId="0" shapeId="0" xr:uid="{00000000-0006-0000-0300-000005000000}">
      <text>
        <r>
          <rPr>
            <b/>
            <sz val="9"/>
            <color indexed="81"/>
            <rFont val="Tahoma"/>
            <family val="2"/>
          </rPr>
          <t xml:space="preserve">Windows User:
</t>
        </r>
        <r>
          <rPr>
            <sz val="9"/>
            <color indexed="81"/>
            <rFont val="Tahoma"/>
            <family val="2"/>
          </rPr>
          <t>BOE / LIBOR/EUROBOR</t>
        </r>
      </text>
    </comment>
    <comment ref="K1" authorId="0" shapeId="0" xr:uid="{00000000-0006-0000-0300-000006000000}">
      <text>
        <r>
          <rPr>
            <b/>
            <sz val="9"/>
            <color indexed="81"/>
            <rFont val="Tahoma"/>
            <family val="2"/>
          </rPr>
          <t>Windows User:</t>
        </r>
        <r>
          <rPr>
            <sz val="9"/>
            <color indexed="81"/>
            <rFont val="Tahoma"/>
            <family val="2"/>
          </rPr>
          <t xml:space="preserve">
Fixed end date or 2/3 years </t>
        </r>
      </text>
    </comment>
    <comment ref="L1" authorId="0" shapeId="0" xr:uid="{00000000-0006-0000-0300-000007000000}">
      <text>
        <r>
          <rPr>
            <b/>
            <sz val="9"/>
            <color indexed="81"/>
            <rFont val="Tahoma"/>
            <family val="2"/>
          </rPr>
          <t>Windows User:</t>
        </r>
        <r>
          <rPr>
            <sz val="9"/>
            <color indexed="81"/>
            <rFont val="Tahoma"/>
            <family val="2"/>
          </rPr>
          <t xml:space="preserve">
Full Product display name that you like it displayed as on Trigold</t>
        </r>
      </text>
    </comment>
    <comment ref="M1" authorId="0" shapeId="0" xr:uid="{00000000-0006-0000-0300-000008000000}">
      <text>
        <r>
          <rPr>
            <b/>
            <sz val="9"/>
            <color indexed="81"/>
            <rFont val="Tahoma"/>
            <family val="2"/>
          </rPr>
          <t>Windows User:</t>
        </r>
        <r>
          <rPr>
            <sz val="9"/>
            <color indexed="81"/>
            <rFont val="Tahoma"/>
            <family val="2"/>
          </rPr>
          <t xml:space="preserve">
Y or N</t>
        </r>
      </text>
    </comment>
    <comment ref="N1" authorId="0" shapeId="0" xr:uid="{00000000-0006-0000-0300-000009000000}">
      <text>
        <r>
          <rPr>
            <b/>
            <sz val="9"/>
            <color indexed="81"/>
            <rFont val="Tahoma"/>
            <family val="2"/>
          </rPr>
          <t>Windows User:</t>
        </r>
        <r>
          <rPr>
            <sz val="9"/>
            <color indexed="81"/>
            <rFont val="Tahoma"/>
            <family val="2"/>
          </rPr>
          <t xml:space="preserve">
Y or N</t>
        </r>
      </text>
    </comment>
    <comment ref="O1" authorId="0" shapeId="0" xr:uid="{00000000-0006-0000-0300-00000A000000}">
      <text>
        <r>
          <rPr>
            <b/>
            <sz val="9"/>
            <color indexed="81"/>
            <rFont val="Tahoma"/>
            <family val="2"/>
          </rPr>
          <t>Windows User:</t>
        </r>
        <r>
          <rPr>
            <sz val="9"/>
            <color indexed="81"/>
            <rFont val="Tahoma"/>
            <family val="2"/>
          </rPr>
          <t xml:space="preserve">
Y or N</t>
        </r>
      </text>
    </comment>
    <comment ref="Q1" authorId="0" shapeId="0" xr:uid="{00000000-0006-0000-0300-00000B000000}">
      <text>
        <r>
          <rPr>
            <b/>
            <sz val="9"/>
            <color indexed="81"/>
            <rFont val="Tahoma"/>
            <family val="2"/>
          </rPr>
          <t>Windows User:</t>
        </r>
        <r>
          <rPr>
            <sz val="9"/>
            <color indexed="81"/>
            <rFont val="Tahoma"/>
            <family val="2"/>
          </rPr>
          <t xml:space="preserve">
Purchase, Remortgage, BTL Purchase BTL, Remortgage</t>
        </r>
      </text>
    </comment>
    <comment ref="R1" authorId="0" shapeId="0" xr:uid="{00000000-0006-0000-0300-00000C000000}">
      <text>
        <r>
          <rPr>
            <b/>
            <sz val="9"/>
            <color indexed="81"/>
            <rFont val="Tahoma"/>
            <family val="2"/>
          </rPr>
          <t>Windows User:</t>
        </r>
        <r>
          <rPr>
            <sz val="9"/>
            <color indexed="81"/>
            <rFont val="Tahoma"/>
            <family val="2"/>
          </rPr>
          <t xml:space="preserve">
C&amp;I, Interest Only, Part and Part</t>
        </r>
      </text>
    </comment>
    <comment ref="Y1" authorId="0" shapeId="0" xr:uid="{00000000-0006-0000-0300-00000D000000}">
      <text>
        <r>
          <rPr>
            <b/>
            <sz val="9"/>
            <color indexed="81"/>
            <rFont val="Tahoma"/>
            <family val="2"/>
          </rPr>
          <t>Windows User:</t>
        </r>
        <r>
          <rPr>
            <sz val="9"/>
            <color indexed="81"/>
            <rFont val="Tahoma"/>
            <family val="2"/>
          </rPr>
          <t xml:space="preserve">
I.E. SVR, Base rate Tracker</t>
        </r>
      </text>
    </comment>
    <comment ref="AI1" authorId="0" shapeId="0" xr:uid="{00000000-0006-0000-0300-00000E000000}">
      <text>
        <r>
          <rPr>
            <b/>
            <sz val="9"/>
            <color indexed="81"/>
            <rFont val="Tahoma"/>
            <family val="2"/>
          </rPr>
          <t>Windows User:</t>
        </r>
        <r>
          <rPr>
            <sz val="9"/>
            <color indexed="81"/>
            <rFont val="Tahoma"/>
            <family val="2"/>
          </rPr>
          <t xml:space="preserve">
Cash value or % of loan amount</t>
        </r>
      </text>
    </comment>
    <comment ref="AJ1" authorId="0" shapeId="0" xr:uid="{00000000-0006-0000-0300-00000F000000}">
      <text>
        <r>
          <rPr>
            <b/>
            <sz val="9"/>
            <color indexed="81"/>
            <rFont val="Tahoma"/>
            <family val="2"/>
          </rPr>
          <t>Windows User:</t>
        </r>
        <r>
          <rPr>
            <sz val="9"/>
            <color indexed="81"/>
            <rFont val="Tahoma"/>
            <family val="2"/>
          </rPr>
          <t xml:space="preserve">
Include Purchase/Remortgage Legal Fees, Valuations</t>
        </r>
      </text>
    </comment>
    <comment ref="AK1" authorId="0" shapeId="0" xr:uid="{00000000-0006-0000-0300-000010000000}">
      <text>
        <r>
          <rPr>
            <b/>
            <sz val="9"/>
            <color indexed="81"/>
            <rFont val="Tahoma"/>
            <family val="2"/>
          </rPr>
          <t>Windows User:</t>
        </r>
        <r>
          <rPr>
            <sz val="9"/>
            <color indexed="81"/>
            <rFont val="Tahoma"/>
            <family val="2"/>
          </rPr>
          <t xml:space="preserve">
Include anything such as completion deadlines, clawback of fees BTL Rental Income Calculation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X1" authorId="0" shapeId="0" xr:uid="{00000000-0006-0000-0500-000001000000}">
      <text>
        <r>
          <rPr>
            <sz val="9"/>
            <color indexed="81"/>
            <rFont val="Tahoma"/>
            <family val="2"/>
          </rPr>
          <t xml:space="preserve">
Overpayments
5.99 Self Build Prod (Unlimited OP)</t>
        </r>
      </text>
    </comment>
    <comment ref="AT1" authorId="0" shapeId="0" xr:uid="{00000000-0006-0000-0500-000002000000}">
      <text>
        <r>
          <rPr>
            <b/>
            <sz val="9"/>
            <color indexed="81"/>
            <rFont val="Tahoma"/>
            <family val="2"/>
          </rPr>
          <t>Keith Maloney:</t>
        </r>
        <r>
          <rPr>
            <sz val="9"/>
            <color indexed="81"/>
            <rFont val="Tahoma"/>
            <family val="2"/>
          </rPr>
          <t xml:space="preserve">
Repayment or IO
IO, BTL, LL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Keith Maloney</author>
  </authors>
  <commentList>
    <comment ref="K6" authorId="0" shapeId="0" xr:uid="{00000000-0006-0000-0800-000001000000}">
      <text>
        <r>
          <rPr>
            <b/>
            <sz val="9"/>
            <color indexed="81"/>
            <rFont val="Tahoma"/>
            <family val="2"/>
          </rPr>
          <t>Max loan on 80 is £1m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<sst xmlns="http://schemas.openxmlformats.org/spreadsheetml/2006/main" count="2364" uniqueCount="611">
  <si>
    <t>N.B - this option will only work when you open the file in 'Desktop App'</t>
  </si>
  <si>
    <t>Product Launch Brief</t>
  </si>
  <si>
    <t>Products to Launch:</t>
  </si>
  <si>
    <t>Section to be completed by Coordinators</t>
  </si>
  <si>
    <t>Product</t>
  </si>
  <si>
    <t>Product Manager</t>
  </si>
  <si>
    <t>Date of Request</t>
  </si>
  <si>
    <t>Requested Launch Date</t>
  </si>
  <si>
    <t>Product Maturity Date</t>
  </si>
  <si>
    <t>Product Name</t>
  </si>
  <si>
    <t>Product Type</t>
  </si>
  <si>
    <t xml:space="preserve">Rate </t>
  </si>
  <si>
    <t>Max LTV%</t>
  </si>
  <si>
    <t>Completion Fee</t>
  </si>
  <si>
    <t>Early Repayment Charge</t>
  </si>
  <si>
    <t>Collar Rate</t>
  </si>
  <si>
    <t>NIM (Inc ECL)</t>
  </si>
  <si>
    <t>ROCE (Inc ECL)</t>
  </si>
  <si>
    <t>Tranche</t>
  </si>
  <si>
    <t>Incentives</t>
  </si>
  <si>
    <t>Communications</t>
  </si>
  <si>
    <t>SVR</t>
  </si>
  <si>
    <t>IO Available?</t>
  </si>
  <si>
    <t>FTB</t>
  </si>
  <si>
    <t>Home Movers</t>
  </si>
  <si>
    <t>Existing Borrower?</t>
  </si>
  <si>
    <t xml:space="preserve">Remortgage </t>
  </si>
  <si>
    <t>Direct / Non-Direct</t>
  </si>
  <si>
    <t>Request Comments</t>
  </si>
  <si>
    <t>New ID Code for eMAP</t>
  </si>
  <si>
    <t>New Product Code</t>
  </si>
  <si>
    <t>Completed By:</t>
  </si>
  <si>
    <t xml:space="preserve"> </t>
  </si>
  <si>
    <t>2 Year Fixed</t>
  </si>
  <si>
    <t>Residential</t>
  </si>
  <si>
    <t>2/1%</t>
  </si>
  <si>
    <t>10% overpayments per annum</t>
  </si>
  <si>
    <t>No</t>
  </si>
  <si>
    <t>FIIX018</t>
  </si>
  <si>
    <t>Free standard valuation up to £500k + 10% overpayments per annum</t>
  </si>
  <si>
    <t>FIIX019</t>
  </si>
  <si>
    <t>5 Year Fixed</t>
  </si>
  <si>
    <t>5/4/3/2/1%</t>
  </si>
  <si>
    <t>FIIX020</t>
  </si>
  <si>
    <t>FIIX021</t>
  </si>
  <si>
    <t>FIIX022</t>
  </si>
  <si>
    <t>FIIX023</t>
  </si>
  <si>
    <t>FIIX024</t>
  </si>
  <si>
    <t>FIIX025</t>
  </si>
  <si>
    <t>Free standard valuation up to £500k, £250 cashback + 10% overpayments per annum</t>
  </si>
  <si>
    <t>FIIX026</t>
  </si>
  <si>
    <t>Residential - Existing Customer only</t>
  </si>
  <si>
    <t>Yes</t>
  </si>
  <si>
    <t>RETN349</t>
  </si>
  <si>
    <t>RETN350</t>
  </si>
  <si>
    <t>Deposit Unlock</t>
  </si>
  <si>
    <t>DEPU100</t>
  </si>
  <si>
    <t>DEPU101</t>
  </si>
  <si>
    <t>2 Year Variable</t>
  </si>
  <si>
    <t>Large Loan</t>
  </si>
  <si>
    <t>n/a</t>
  </si>
  <si>
    <t>EBRT186</t>
  </si>
  <si>
    <t>FIIX12</t>
  </si>
  <si>
    <t>FIIX13</t>
  </si>
  <si>
    <t>EBRT187</t>
  </si>
  <si>
    <t>FIIX14</t>
  </si>
  <si>
    <t>FIIX15</t>
  </si>
  <si>
    <t>EBRT188</t>
  </si>
  <si>
    <t>FIIX16</t>
  </si>
  <si>
    <t>FIIX17</t>
  </si>
  <si>
    <t>Large Loan - Existing Customer only</t>
  </si>
  <si>
    <t>RETN340</t>
  </si>
  <si>
    <t>RETN341</t>
  </si>
  <si>
    <t>RETN342</t>
  </si>
  <si>
    <t>RETN343</t>
  </si>
  <si>
    <t>RETN344</t>
  </si>
  <si>
    <t>RETN345</t>
  </si>
  <si>
    <t>RETN346</t>
  </si>
  <si>
    <t>RETN347</t>
  </si>
  <si>
    <t>RETN348</t>
  </si>
  <si>
    <t xml:space="preserve">Old Product Code </t>
  </si>
  <si>
    <t>Tranche Code</t>
  </si>
  <si>
    <t>Product End Date</t>
  </si>
  <si>
    <t>Withdrawn by:</t>
  </si>
  <si>
    <t>EFII935</t>
  </si>
  <si>
    <t>EFII936</t>
  </si>
  <si>
    <t>EFII937</t>
  </si>
  <si>
    <t>EFII938</t>
  </si>
  <si>
    <t>EFII939</t>
  </si>
  <si>
    <t>EFII941</t>
  </si>
  <si>
    <t>EFII942</t>
  </si>
  <si>
    <t>FIIX008</t>
  </si>
  <si>
    <t>FIIX009</t>
  </si>
  <si>
    <t>RETN299</t>
  </si>
  <si>
    <t>RETN300</t>
  </si>
  <si>
    <t>DEPU096</t>
  </si>
  <si>
    <t>DEPU097</t>
  </si>
  <si>
    <t>EBRT183</t>
  </si>
  <si>
    <t>EFII949</t>
  </si>
  <si>
    <t>FIIX005</t>
  </si>
  <si>
    <t>EBRT184</t>
  </si>
  <si>
    <t>EFII950</t>
  </si>
  <si>
    <t>FIIX006</t>
  </si>
  <si>
    <t>EBRT185</t>
  </si>
  <si>
    <t>EFII951</t>
  </si>
  <si>
    <t>FIIX007</t>
  </si>
  <si>
    <t>RETN330</t>
  </si>
  <si>
    <t>RETN302</t>
  </si>
  <si>
    <t>RETN331</t>
  </si>
  <si>
    <t>RETN332</t>
  </si>
  <si>
    <t>RETN303</t>
  </si>
  <si>
    <t>RETN333</t>
  </si>
  <si>
    <t>RETN334</t>
  </si>
  <si>
    <t>RETN304</t>
  </si>
  <si>
    <t>RETN335</t>
  </si>
  <si>
    <t xml:space="preserve">Changes made to product </t>
  </si>
  <si>
    <t>Live Date</t>
  </si>
  <si>
    <t>Old Product Rate</t>
  </si>
  <si>
    <t>Old Product Code</t>
  </si>
  <si>
    <t>Discount</t>
  </si>
  <si>
    <t>Loading</t>
  </si>
  <si>
    <t xml:space="preserve">Collar % </t>
  </si>
  <si>
    <t>Pay Rate %</t>
  </si>
  <si>
    <t>Rate End Date</t>
  </si>
  <si>
    <t>Product Description</t>
  </si>
  <si>
    <t>Home Mover</t>
  </si>
  <si>
    <t>Existing Borrower</t>
  </si>
  <si>
    <t>IO Available</t>
  </si>
  <si>
    <t>Application Type</t>
  </si>
  <si>
    <t xml:space="preserve">Repayment Basis
</t>
  </si>
  <si>
    <t>Min LTV %</t>
  </si>
  <si>
    <t>Max LTV %</t>
  </si>
  <si>
    <t>Minimum Loan £</t>
  </si>
  <si>
    <t>Maximum Loan £</t>
  </si>
  <si>
    <t>First Reversion Rate %</t>
  </si>
  <si>
    <t>Final Reversion Rate %</t>
  </si>
  <si>
    <t>Reversion Rate Type</t>
  </si>
  <si>
    <t>ERC rank 1</t>
  </si>
  <si>
    <t>ERC rank 2</t>
  </si>
  <si>
    <t>ERC rank 3</t>
  </si>
  <si>
    <t>ERC rank 4</t>
  </si>
  <si>
    <t>ERC rank 5</t>
  </si>
  <si>
    <t>Booking Fee £</t>
  </si>
  <si>
    <t>Added to loan Y/N</t>
  </si>
  <si>
    <t>Product Fee £</t>
  </si>
  <si>
    <t>Added to Loan Y/N</t>
  </si>
  <si>
    <t>Cashback</t>
  </si>
  <si>
    <t>Notes</t>
  </si>
  <si>
    <t>Network Availability</t>
  </si>
  <si>
    <t>NA</t>
  </si>
  <si>
    <t>Type</t>
  </si>
  <si>
    <t>LTV</t>
  </si>
  <si>
    <t>Fee</t>
  </si>
  <si>
    <t>Fee Value</t>
  </si>
  <si>
    <t>Balance</t>
  </si>
  <si>
    <t>Term</t>
  </si>
  <si>
    <t>Rate</t>
  </si>
  <si>
    <t>APRC</t>
  </si>
  <si>
    <t>Special Instructions</t>
  </si>
  <si>
    <t xml:space="preserve">Basic Val Fee </t>
  </si>
  <si>
    <t>Product Term (Years)</t>
  </si>
  <si>
    <t>Lookup Data</t>
  </si>
  <si>
    <t>product_description</t>
  </si>
  <si>
    <t>lending_type</t>
  </si>
  <si>
    <t>product_code</t>
  </si>
  <si>
    <t>product_type</t>
  </si>
  <si>
    <t>rate1</t>
  </si>
  <si>
    <t>until1</t>
  </si>
  <si>
    <t>rate2</t>
  </si>
  <si>
    <t>until2</t>
  </si>
  <si>
    <t>rate3</t>
  </si>
  <si>
    <t>until3</t>
  </si>
  <si>
    <t>rate4</t>
  </si>
  <si>
    <t>until4</t>
  </si>
  <si>
    <t>rate5</t>
  </si>
  <si>
    <t>until5</t>
  </si>
  <si>
    <t>rate6</t>
  </si>
  <si>
    <t>until6</t>
  </si>
  <si>
    <t>rate7</t>
  </si>
  <si>
    <t>until7</t>
  </si>
  <si>
    <t>rate8</t>
  </si>
  <si>
    <t>until8</t>
  </si>
  <si>
    <t>revert_rate</t>
  </si>
  <si>
    <t>revert_rate_type</t>
  </si>
  <si>
    <t>initial_period</t>
  </si>
  <si>
    <t>overpay</t>
  </si>
  <si>
    <t>mortgage_type</t>
  </si>
  <si>
    <t>purchaser_type</t>
  </si>
  <si>
    <t>erc_rank_1</t>
  </si>
  <si>
    <t>erc_rank_2</t>
  </si>
  <si>
    <t>erc_rank_3</t>
  </si>
  <si>
    <t>erc_rank_4</t>
  </si>
  <si>
    <t>erc_rank_5</t>
  </si>
  <si>
    <t>erc_rank_6</t>
  </si>
  <si>
    <t>erc_rank_7</t>
  </si>
  <si>
    <t>erc_rank_8</t>
  </si>
  <si>
    <t>erc_rank_9</t>
  </si>
  <si>
    <t>erc_rank_10</t>
  </si>
  <si>
    <t>early_repayment_charges_erc_applied</t>
  </si>
  <si>
    <t>erc_description</t>
  </si>
  <si>
    <t>cashback</t>
  </si>
  <si>
    <t>free_legal</t>
  </si>
  <si>
    <t>free_val</t>
  </si>
  <si>
    <t>min_loan_policy</t>
  </si>
  <si>
    <t>max_loan_policy</t>
  </si>
  <si>
    <t>max_ltv</t>
  </si>
  <si>
    <t>aprc</t>
  </si>
  <si>
    <t>aprc_repayment_type</t>
  </si>
  <si>
    <t>interest_only_allowed</t>
  </si>
  <si>
    <t>interest_only_proportion</t>
  </si>
  <si>
    <t>arrangement_fee</t>
  </si>
  <si>
    <t>booking_fee</t>
  </si>
  <si>
    <t>broker_fee</t>
  </si>
  <si>
    <t>chaps_fee</t>
  </si>
  <si>
    <t>completion_fee</t>
  </si>
  <si>
    <t>conveyancing_fee</t>
  </si>
  <si>
    <t>deeds_release_fee</t>
  </si>
  <si>
    <t>disbursement_fee</t>
  </si>
  <si>
    <t>higher_lending_fee</t>
  </si>
  <si>
    <t>mortgage_discharge_fee</t>
  </si>
  <si>
    <t>product_fee_amount_payable</t>
  </si>
  <si>
    <t>procuration_fee</t>
  </si>
  <si>
    <t>valuation_fee_amount_payable</t>
  </si>
  <si>
    <t>processing_fee_amount_payable</t>
  </si>
  <si>
    <t>redemption_administration_charge_amount_payable</t>
  </si>
  <si>
    <t>first_time_buyer</t>
  </si>
  <si>
    <t>Expat not in UK</t>
  </si>
  <si>
    <t>Second Residential</t>
  </si>
  <si>
    <t>Joint Borrower-Sole Proprietor</t>
  </si>
  <si>
    <t>Help to Buy</t>
  </si>
  <si>
    <t>Shared Ownership</t>
  </si>
  <si>
    <t>Right to Buy</t>
  </si>
  <si>
    <t>Self Build</t>
  </si>
  <si>
    <t>Retirement Interest Only RIO</t>
  </si>
  <si>
    <t>Minimum Income</t>
  </si>
  <si>
    <t>Limited Company Buy to Let</t>
  </si>
  <si>
    <t>Holiday Let Air BB</t>
  </si>
  <si>
    <t>Regulated Buy to Let</t>
  </si>
  <si>
    <t>HMO</t>
  </si>
  <si>
    <t>let to buy</t>
  </si>
  <si>
    <t>portfolio landlord</t>
  </si>
  <si>
    <t>MIG Paid by NBS</t>
  </si>
  <si>
    <t>2 Year Discounted Rate - Repayment</t>
  </si>
  <si>
    <t>EDIS163</t>
  </si>
  <si>
    <t>1.30</t>
  </si>
  <si>
    <t>3.96</t>
  </si>
  <si>
    <t>10%</t>
  </si>
  <si>
    <t>Purchase, Remortgage</t>
  </si>
  <si>
    <t>FirstTimeBuyer, HomeMover</t>
  </si>
  <si>
    <t>YES</t>
  </si>
  <si>
    <t>1% to 31/07/2024</t>
  </si>
  <si>
    <t>NO</t>
  </si>
  <si>
    <t>Standard Variable Rate  - Repayment</t>
  </si>
  <si>
    <t>VARI910</t>
  </si>
  <si>
    <t>Variable</t>
  </si>
  <si>
    <t>EDIS166</t>
  </si>
  <si>
    <t>5 Year Fixed Rate  - Repayment</t>
  </si>
  <si>
    <t>EFII133</t>
  </si>
  <si>
    <t>Fixed</t>
  </si>
  <si>
    <t>5% to 31/07/2023
4% to 31/07/2024
3% to 31/07/2025
2% to 31/07/2026
1% to 31/07/2027</t>
  </si>
  <si>
    <t>EDIS164</t>
  </si>
  <si>
    <t xml:space="preserve">Discount </t>
  </si>
  <si>
    <t>2 Year Fixed Rate  - Repayment</t>
  </si>
  <si>
    <t>EFII126</t>
  </si>
  <si>
    <t>2% to 31/7/2023
1% to 31/7/2024</t>
  </si>
  <si>
    <t>EFII134</t>
  </si>
  <si>
    <t>EDIS165</t>
  </si>
  <si>
    <t>EFII128</t>
  </si>
  <si>
    <t>EFII129</t>
  </si>
  <si>
    <t>EFII136</t>
  </si>
  <si>
    <t>EFII137</t>
  </si>
  <si>
    <t xml:space="preserve">5 Year Fixed Rate - North East Exclusive Repayment </t>
  </si>
  <si>
    <t>EFII140</t>
  </si>
  <si>
    <t xml:space="preserve">2 Year Fixed Rate - Lifetime ISA Exclusive Repayment </t>
  </si>
  <si>
    <t>LISA010</t>
  </si>
  <si>
    <t xml:space="preserve">5 Year Fixed Rate - Lifetime ISA Exclusive Repayment </t>
  </si>
  <si>
    <t>LISA011</t>
  </si>
  <si>
    <t xml:space="preserve">2 Year Fxed Rate - Repayment </t>
  </si>
  <si>
    <t>GFHS005</t>
  </si>
  <si>
    <t>Purchase only</t>
  </si>
  <si>
    <t>FirstTimeBuyer,HomeMover</t>
  </si>
  <si>
    <t>2% to 30/06/2023
1% to 30/06/2024</t>
  </si>
  <si>
    <t xml:space="preserve">5 Year Fxed Rate - Repayment </t>
  </si>
  <si>
    <t>GFHS006</t>
  </si>
  <si>
    <t>2.45</t>
  </si>
  <si>
    <t>5% to 30/06/2023
4% to 30/06/2024
3% to 30/06/2025
2% to 30/06/2026
1% to 30/06/2027</t>
  </si>
  <si>
    <t xml:space="preserve">2 Year Fixed Rate - Repayment </t>
  </si>
  <si>
    <t>DEPU010</t>
  </si>
  <si>
    <t>2.79</t>
  </si>
  <si>
    <t xml:space="preserve">5 Year Fixed Rate - Repayment </t>
  </si>
  <si>
    <t>DEPU009</t>
  </si>
  <si>
    <t xml:space="preserve">Purchase only </t>
  </si>
  <si>
    <t>2 Year Fixed Rate  - Self Employed Repayment</t>
  </si>
  <si>
    <t>SEMP089</t>
  </si>
  <si>
    <t>SEMP088</t>
  </si>
  <si>
    <t>2 Year Fixed Rate  - Interest Only</t>
  </si>
  <si>
    <t>EFII121</t>
  </si>
  <si>
    <t>2.75</t>
  </si>
  <si>
    <t>5 Year Fixed Rate  - Interest Only</t>
  </si>
  <si>
    <t>EFII123</t>
  </si>
  <si>
    <t>EFII124</t>
  </si>
  <si>
    <t>JMSP096</t>
  </si>
  <si>
    <t>JMSP097</t>
  </si>
  <si>
    <t>2.80</t>
  </si>
  <si>
    <t>JMSP098</t>
  </si>
  <si>
    <t>JMSP099</t>
  </si>
  <si>
    <t xml:space="preserve">2 Year Fixed Rate - Repayment &amp; Interest Only </t>
  </si>
  <si>
    <t>BuyToLet</t>
  </si>
  <si>
    <t>CON - EBTL528
BUS - EBTL529</t>
  </si>
  <si>
    <t>2% to 31/8/2023
1% to 31/8/2024</t>
  </si>
  <si>
    <t>25,000 (Single)
30,000 (Joint)</t>
  </si>
  <si>
    <t>CON - EBTL530
BUS - EBTL527</t>
  </si>
  <si>
    <t>5 Year Fixed Rate - Repayment &amp; Interest Only</t>
  </si>
  <si>
    <t>CON - EBTL526
BUS - EBTL531</t>
  </si>
  <si>
    <t>5% to 31/08/2023
4% to 31/08/2024
3% to 31/08/2025
2% to 31/08/2026
1% to 31/08/2027</t>
  </si>
  <si>
    <t>CON - EBTL532
BUS - EBTL525</t>
  </si>
  <si>
    <t>EFII138</t>
  </si>
  <si>
    <t>2 Year Fixed Rate  - Help to Buy (Remortgage Only)</t>
  </si>
  <si>
    <t>EFII139</t>
  </si>
  <si>
    <t xml:space="preserve">Remortgage Only </t>
  </si>
  <si>
    <t xml:space="preserve">2 Year Discounted Rate - Repayment &amp; Interest Only </t>
  </si>
  <si>
    <t>EDIS153</t>
  </si>
  <si>
    <t>1.75</t>
  </si>
  <si>
    <t>2% to 28/02/2023
1% to 29/02/2024</t>
  </si>
  <si>
    <t>EDIS154</t>
  </si>
  <si>
    <t>1.9</t>
  </si>
  <si>
    <t xml:space="preserve">2 Year Discounted Rate - Repayment &amp; Interest Only  </t>
  </si>
  <si>
    <t>EDIS155</t>
  </si>
  <si>
    <t>2.00</t>
  </si>
  <si>
    <t>EFII082</t>
  </si>
  <si>
    <t>2.39</t>
  </si>
  <si>
    <t>EFII081</t>
  </si>
  <si>
    <t>2.40</t>
  </si>
  <si>
    <t>EFII080</t>
  </si>
  <si>
    <t>2.4</t>
  </si>
  <si>
    <t>EFII083</t>
  </si>
  <si>
    <t>2.65</t>
  </si>
  <si>
    <t>5% to 28/02/2023
4% to 29/02/2024
3% to 28/02/2025
2% to 28/02/2026
1% to 28/02/2027</t>
  </si>
  <si>
    <t>EFII084</t>
  </si>
  <si>
    <t>2 Year Variable Rate - Repayment &amp; Interest Only (Arrears Payment Only)</t>
  </si>
  <si>
    <t>SELF195
CUST161</t>
  </si>
  <si>
    <t>5.49</t>
  </si>
  <si>
    <t>1% to 31/06/2024</t>
  </si>
  <si>
    <t xml:space="preserve">2 Year Variable Rate - Repayment &amp; Interest Only </t>
  </si>
  <si>
    <t>SELF190
CUST159</t>
  </si>
  <si>
    <t>5.79</t>
  </si>
  <si>
    <t xml:space="preserve">2 Year Variable Rate - Repayment &amp; Interest Only (Self Build Only) </t>
  </si>
  <si>
    <t>SELF194</t>
  </si>
  <si>
    <t>5.69</t>
  </si>
  <si>
    <t>2 Year Variable Rate - Repayment &amp; Interest Only (Accelerate)</t>
  </si>
  <si>
    <t>SELF187
CUST164</t>
  </si>
  <si>
    <t>5.59</t>
  </si>
  <si>
    <t>2 Year Variable Rate - Self Build &amp; Custom Build</t>
  </si>
  <si>
    <t>SELF191
CUST163</t>
  </si>
  <si>
    <t>Mortgage Product Range</t>
  </si>
  <si>
    <t>Repayment range - Effective Thursday 17th March 2022</t>
  </si>
  <si>
    <t>Term and  Rate Type</t>
  </si>
  <si>
    <t>Initial Rate**</t>
  </si>
  <si>
    <t>Maturity Date</t>
  </si>
  <si>
    <t>Early Repayment Charge (ERC)</t>
  </si>
  <si>
    <t>Annual Percentage Rate of Charge (APRC) %</t>
  </si>
  <si>
    <t>Loan to Value    (LTV) %</t>
  </si>
  <si>
    <t>Reservation Fee</t>
  </si>
  <si>
    <t>Completion Fee*</t>
  </si>
  <si>
    <t>Minimum Loan Amount</t>
  </si>
  <si>
    <t>Maximum  Loan       Amount</t>
  </si>
  <si>
    <t xml:space="preserve">  Up to 80% LTV - Two Year Products</t>
  </si>
  <si>
    <t>Product Code EDIS163</t>
  </si>
  <si>
    <t xml:space="preserve">  Up to 80% LTV - Standard Variable Rate</t>
  </si>
  <si>
    <t>Product Code VARI910</t>
  </si>
  <si>
    <t xml:space="preserve">  Up to 85% LTV - Two Year Products</t>
  </si>
  <si>
    <t>Product Code EDIS166</t>
  </si>
  <si>
    <t xml:space="preserve">  Up to 85% LTV - Five Year Products</t>
  </si>
  <si>
    <t>Product Code EFII133</t>
  </si>
  <si>
    <t>* Completion fees may be added to the loan provided the maximum Loan to Value (LTV) is not exceeded.</t>
  </si>
  <si>
    <t>** Products will revert the to the Society's Standard Variable Rate (Currently 3.96%)</t>
  </si>
  <si>
    <t>***Loans up to £1,500,000 - 75% LTV   |    Loans up to £1,000,000 - 80% LTV</t>
  </si>
  <si>
    <t>Annual Percentage Rate of Charge (APRC)</t>
  </si>
  <si>
    <t>Loan to Value    (LTV)</t>
  </si>
  <si>
    <t xml:space="preserve">  Up to 90% LTV - Two Year Products</t>
  </si>
  <si>
    <t>Product Code EDIS164</t>
  </si>
  <si>
    <t>Product Code EFII126</t>
  </si>
  <si>
    <t xml:space="preserve">  Up to 90% LTV - Five Year Products</t>
  </si>
  <si>
    <t>Product Code EFII134</t>
  </si>
  <si>
    <t xml:space="preserve">  Up to 95% LTV - Two Year Products</t>
  </si>
  <si>
    <t>Product Code EDIS165</t>
  </si>
  <si>
    <t>Product Code EFII128</t>
  </si>
  <si>
    <t>Product Code EFII129</t>
  </si>
  <si>
    <t xml:space="preserve">  Up to 95% LTV - Five Year Products</t>
  </si>
  <si>
    <t>Product Code EFII136</t>
  </si>
  <si>
    <t>Product Code EFII137</t>
  </si>
  <si>
    <t>North East Exclusives - Effective Thursday 3rd February 2022</t>
  </si>
  <si>
    <t>Product Code EFII140</t>
  </si>
  <si>
    <t xml:space="preserve">We have developed an exclusive range of products, designed specifically to support our heartland, which includes the North East and parts of Cumbria. Our North East exclusive product range is available to customers purchasing or re-mortgaging a home in the following postcodes: NE, SR, DH, TD15, TD12, DL, TS or CA1-11.
</t>
  </si>
  <si>
    <t>Lifetime ISA Exclusive - Effective Wednesday 16th February 2022</t>
  </si>
  <si>
    <t>Product Code LISA010</t>
  </si>
  <si>
    <t>Product Code LISA011</t>
  </si>
  <si>
    <t xml:space="preserve">This product is exclusively available to existing Newcastle Building Society Lifetime ISA customers. The customer must have an active LISA account with the Society at the point of application.
</t>
  </si>
  <si>
    <t>Government First Homes range - Effective Wednesday 19th January 2022</t>
  </si>
  <si>
    <t xml:space="preserve">  Up to 75% LTV - Two Year Products</t>
  </si>
  <si>
    <t>Product Code GFHS005</t>
  </si>
  <si>
    <t xml:space="preserve">  Up to 75% LTV - Five Year Products</t>
  </si>
  <si>
    <t>Product Code GFHS006</t>
  </si>
  <si>
    <t>* Products will revert the to the Society's Standard Variable Rate (Currently 3.96%)</t>
  </si>
  <si>
    <t xml:space="preserve">These products are exclusively available to first time buyers and key workers who are eligible under the First Home Scheme to qualify for the discounted purchase price of the property.
</t>
  </si>
  <si>
    <t>Deposit Unlock range - Effective Thursday 3rd February 2022</t>
  </si>
  <si>
    <t>Product Code DEPU010</t>
  </si>
  <si>
    <t>Product Code DEPU009</t>
  </si>
  <si>
    <t>These products are exclusively available to customers who are purchasing a New Build property as part of the Deposit Unlock Scheme. The scheme is available through Barratts, Bellway, Keepmoat, Vistry, Crest Nicholson, Bewley Homes, Bloor Homes, Countryside Properties, Croudace Homes, Davidsons Developments, Fairview New Homes, Hill Holdings, Redrow Homes and Thakeham Homes.</t>
  </si>
  <si>
    <t>Self Employed range - Effective Tuesday 1st March 2022</t>
  </si>
  <si>
    <t>Product Code SEMP089</t>
  </si>
  <si>
    <t>Product Code SEMP088</t>
  </si>
  <si>
    <t>Interest Only range - Effective Thursday 3rd February 2022</t>
  </si>
  <si>
    <t>(These products should be used where the loan is arranged on a part Interest Only and part Repayment basis)</t>
  </si>
  <si>
    <t>Product Code EFII121</t>
  </si>
  <si>
    <t>Product Code EFII123</t>
  </si>
  <si>
    <t>Product Code EFII124</t>
  </si>
  <si>
    <t>Joint Mortgage Sole Proprietor range - Effective Thursday 3rd February 2022</t>
  </si>
  <si>
    <t>JMSP - Two Year Products</t>
  </si>
  <si>
    <t>Product Code JMSP096</t>
  </si>
  <si>
    <t>Product Code JMSP097</t>
  </si>
  <si>
    <t>Product Code JMSP098</t>
  </si>
  <si>
    <t>Product Code JMSP099</t>
  </si>
  <si>
    <t>Buy to Let range - Effective Friday 25th February 2022</t>
  </si>
  <si>
    <t xml:space="preserve"> Buy-To-Let (Consumer &amp; Business) - Two Year Products</t>
  </si>
  <si>
    <t>Product Code CON - EBTL528
BUS - EBTL529</t>
  </si>
  <si>
    <t>Product Code CON - EBTL530
BUS - EBTL527</t>
  </si>
  <si>
    <t xml:space="preserve"> Buy-To-Let (Consumer &amp; Business) - Five Year Products</t>
  </si>
  <si>
    <t>Product Code CON - EBTL526
BUS - EBTL531</t>
  </si>
  <si>
    <t>Product Code CON - EBTL532
BUS - EBTL525</t>
  </si>
  <si>
    <t>***Loans up to £1,000,000 - 70% LTV   |    Loans up to £750,000 - 75% LTV</t>
  </si>
  <si>
    <t>Help To Buy - Effective Thursday 3rd February 2022</t>
  </si>
  <si>
    <t>Help To Buy - Two Year Products</t>
  </si>
  <si>
    <t>Product Code EFII138</t>
  </si>
  <si>
    <t>Product Code EFII139</t>
  </si>
  <si>
    <t>Large Loan - Effective Wednesday 19th January 2022</t>
  </si>
  <si>
    <t>Large Loan - Two Year Products</t>
  </si>
  <si>
    <t>Product Code EDIS153</t>
  </si>
  <si>
    <t>Product Code EDIS154</t>
  </si>
  <si>
    <t>Product Code EDIS155</t>
  </si>
  <si>
    <t>Product Code EFII082</t>
  </si>
  <si>
    <t>Product Code EFII081</t>
  </si>
  <si>
    <t>Product Code EFII080</t>
  </si>
  <si>
    <t>Large Loan - Five Year Products</t>
  </si>
  <si>
    <t>Product Code EFII083</t>
  </si>
  <si>
    <t>Product Code EFII084</t>
  </si>
  <si>
    <t>Self Build &amp; Custom Build range - Effective Friday 25th February 2022</t>
  </si>
  <si>
    <t xml:space="preserve">  Self-Build &amp; Custom-Build</t>
  </si>
  <si>
    <t>Product Code SELF195
CUST161</t>
  </si>
  <si>
    <t>Product Code SELF190
CUST159</t>
  </si>
  <si>
    <t xml:space="preserve">  Self-Build Only</t>
  </si>
  <si>
    <t>Product Code SELF194</t>
  </si>
  <si>
    <t xml:space="preserve">  Self-Build &amp; Custom-Build - Accelerate products</t>
  </si>
  <si>
    <t>Product Code SELF187
CUST164</t>
  </si>
  <si>
    <t>Product Code SELF191
CUST163</t>
  </si>
  <si>
    <t xml:space="preserve">Average Property Value </t>
  </si>
  <si>
    <t>&lt;=80% LTV 2 Year fee assisted product</t>
  </si>
  <si>
    <t>&lt;=80% LTV 2 Year fee product</t>
  </si>
  <si>
    <t>&lt;=80% LTV 5 Year fee assisted product</t>
  </si>
  <si>
    <t>&lt;=80% LTV 5 Year fee product</t>
  </si>
  <si>
    <t>Last updated: 05/01/2024</t>
  </si>
  <si>
    <t>&lt;=85% LTV 2 Year fee assisted product</t>
  </si>
  <si>
    <t>&lt;=85% LTV 2 Year fee product</t>
  </si>
  <si>
    <t>&lt;=85% LTV 5 Year fee assisted product</t>
  </si>
  <si>
    <t>&lt;=85% LTV 5 Year fee product</t>
  </si>
  <si>
    <t>&lt;=90% LTV 2 Year fee assisted product</t>
  </si>
  <si>
    <t>&lt;=90% LTV 2 Year fee product</t>
  </si>
  <si>
    <t>&lt;=90% LTV 5 Year fee assisted product</t>
  </si>
  <si>
    <t>&lt;=90% LTV 5 Year fee product</t>
  </si>
  <si>
    <t>&lt;=95% LTV 2 Year fee assisted product</t>
  </si>
  <si>
    <t>&lt;=95% LTV 2 Year fee product</t>
  </si>
  <si>
    <t>&lt;=95% LTV 5 Year fee assisted product</t>
  </si>
  <si>
    <t>&lt;=95% LTV 5 Year fee product</t>
  </si>
  <si>
    <t>Interest Only fee assisted product</t>
  </si>
  <si>
    <t>Interest Only fee product</t>
  </si>
  <si>
    <t>Buy to Let fee assisted product</t>
  </si>
  <si>
    <t>Buy to Let fee product</t>
  </si>
  <si>
    <t>Self Build fee assisted product</t>
  </si>
  <si>
    <t>Self Build fee product</t>
  </si>
  <si>
    <t>Self Employed fee assisted product</t>
  </si>
  <si>
    <t>Self Employed fee product</t>
  </si>
  <si>
    <t>JMSP 2 Year fee product</t>
  </si>
  <si>
    <t>JMSP 5 Year fee product</t>
  </si>
  <si>
    <t>Large Loans</t>
  </si>
  <si>
    <t>Shared Ownership 2 Year fee product</t>
  </si>
  <si>
    <t>Shared Ownership 5 Year fee product</t>
  </si>
  <si>
    <t>Retention Fixed Rate</t>
  </si>
  <si>
    <t>Retention Variable Rate</t>
  </si>
  <si>
    <t>First Homes</t>
  </si>
  <si>
    <t>Retention BRT</t>
  </si>
  <si>
    <t>Retention Discount Rate</t>
  </si>
  <si>
    <t>Coordinator</t>
  </si>
  <si>
    <t xml:space="preserve">Bond </t>
  </si>
  <si>
    <t>Y</t>
  </si>
  <si>
    <t>LTV/type</t>
  </si>
  <si>
    <t>Max loan</t>
  </si>
  <si>
    <t>Min Loan</t>
  </si>
  <si>
    <t>ERC</t>
  </si>
  <si>
    <t>Ellie Burgess</t>
  </si>
  <si>
    <t>Jane Martin</t>
  </si>
  <si>
    <t>Mortgages</t>
  </si>
  <si>
    <t>ISA</t>
  </si>
  <si>
    <t>N</t>
  </si>
  <si>
    <t>1%,1%</t>
  </si>
  <si>
    <t>2 Year</t>
  </si>
  <si>
    <t>Residential - LISA Exclusive</t>
  </si>
  <si>
    <t>Elizabeth Askew</t>
  </si>
  <si>
    <t>Ryan Quinn</t>
  </si>
  <si>
    <t>Savings</t>
  </si>
  <si>
    <t>No fee</t>
  </si>
  <si>
    <t>Free standard valuation up to £500k</t>
  </si>
  <si>
    <t>5 Year</t>
  </si>
  <si>
    <t>Residential - NE Exclusive</t>
  </si>
  <si>
    <t>Rebecca Scott</t>
  </si>
  <si>
    <t>Karen Fisher</t>
  </si>
  <si>
    <t>Buy to Let</t>
  </si>
  <si>
    <t>BTL</t>
  </si>
  <si>
    <t>Free standard valuation up to £500k, £500 cashback</t>
  </si>
  <si>
    <t>Residential - Discounted Rate</t>
  </si>
  <si>
    <t>Self Employed</t>
  </si>
  <si>
    <t>JMSP</t>
  </si>
  <si>
    <t>3/2/1%</t>
  </si>
  <si>
    <t>5,4,3,2,1</t>
  </si>
  <si>
    <t>Residential - Interest Only</t>
  </si>
  <si>
    <t>Interest Only</t>
  </si>
  <si>
    <t>SB/CB</t>
  </si>
  <si>
    <t>Free standard valuation up to £500k, £500 cashback + 10% overpayments per annum</t>
  </si>
  <si>
    <t>Residential - Remortgage</t>
  </si>
  <si>
    <t xml:space="preserve">Joint Mortgage Sole Proprietor </t>
  </si>
  <si>
    <t>Retention</t>
  </si>
  <si>
    <t>Free standard valuation up to £500k, £1000 cashback + 10% overpayments per annum</t>
  </si>
  <si>
    <t>1 Year Fixed</t>
  </si>
  <si>
    <t>Free standard valuation up to £500k, Free Legals + 10% overpayments per annum</t>
  </si>
  <si>
    <t>BTL 80%</t>
  </si>
  <si>
    <t>Free standard valuation up to £500k, £200 cashback + 10% overpayments per annum</t>
  </si>
  <si>
    <t>2 Year Discount</t>
  </si>
  <si>
    <t>BTL 75%</t>
  </si>
  <si>
    <t>Joint Mortgage Sole Proprietor</t>
  </si>
  <si>
    <t>BTL 70%</t>
  </si>
  <si>
    <t>3 Year Fixed</t>
  </si>
  <si>
    <t>H2B</t>
  </si>
  <si>
    <t>Residential - Interest Only - Existing Customer only</t>
  </si>
  <si>
    <t>Self/custom build</t>
  </si>
  <si>
    <t>5 Year Discount</t>
  </si>
  <si>
    <t>Large Loan ≤ 65%</t>
  </si>
  <si>
    <t>Buy to Let - Existing Customer only</t>
  </si>
  <si>
    <t>5 Year Variable</t>
  </si>
  <si>
    <t>Large Loan ≤ 75%</t>
  </si>
  <si>
    <t>Help to Buy - Existing Customer only</t>
  </si>
  <si>
    <t>7 Year Fixed</t>
  </si>
  <si>
    <t>Large Loan 80%</t>
  </si>
  <si>
    <t>Joint Mortgage Sole Proprietor - Existing Customer only</t>
  </si>
  <si>
    <t>7 Year Discount</t>
  </si>
  <si>
    <t>Self Build - B/Store</t>
  </si>
  <si>
    <t>7 Year Variable</t>
  </si>
  <si>
    <t>Government First Home Scheme</t>
  </si>
  <si>
    <t>Self Build - B/Loan</t>
  </si>
  <si>
    <t>10 Year Fixed</t>
  </si>
  <si>
    <t>Custom Build - B/Store</t>
  </si>
  <si>
    <t>10 Year Discount</t>
  </si>
  <si>
    <t>Custom Build - B/Loan</t>
  </si>
  <si>
    <t>10 Year Variable</t>
  </si>
  <si>
    <t>Accelerate Custom Build B/Store</t>
  </si>
  <si>
    <t>Accelerate Custom Build B/Loan</t>
  </si>
  <si>
    <t>Accelerate Self Build B/Store</t>
  </si>
  <si>
    <t>Accelerate Self Build B/Loan</t>
  </si>
  <si>
    <t>Self Employed - Help to Buy</t>
  </si>
  <si>
    <t>Large Loan - Discounted Rate</t>
  </si>
  <si>
    <t>Residential - Base Rate Tracker</t>
  </si>
  <si>
    <t>Product Code</t>
  </si>
  <si>
    <t xml:space="preserve">Deposit Unlock </t>
  </si>
  <si>
    <t>Fees</t>
  </si>
  <si>
    <t>Heading</t>
  </si>
  <si>
    <t>Illustration</t>
  </si>
  <si>
    <t>FullDescription</t>
  </si>
  <si>
    <t>DetailsPage</t>
  </si>
  <si>
    <t>ClientType</t>
  </si>
  <si>
    <t>MortgageType</t>
  </si>
  <si>
    <t>InterestRates</t>
  </si>
  <si>
    <t>DailyInterestCalculation</t>
  </si>
  <si>
    <t>MinimumTerm</t>
  </si>
  <si>
    <t>ReservationFee</t>
  </si>
  <si>
    <t>CompletionFee</t>
  </si>
  <si>
    <t>CashbackAmount</t>
  </si>
  <si>
    <t>EarlyRepaymentCharge</t>
  </si>
  <si>
    <t>GoodToKnow</t>
  </si>
  <si>
    <t>TermsAndConditions</t>
  </si>
  <si>
    <t>AdditionalDownloads</t>
  </si>
  <si>
    <t>Holding value</t>
  </si>
  <si>
    <t>Interest is calculated on the balance of your account at the end of each day. Interest is accrued daily and added to your account balance on the last day of every month. Every cleared payment that is made reduces the mortgage balance and interest is recalculated on the reduced balance.</t>
  </si>
  <si>
    <t>Not used</t>
  </si>
  <si>
    <t>FreeValuation</t>
  </si>
  <si>
    <t>FreeLegals</t>
  </si>
  <si>
    <t>FreeOverpayments</t>
  </si>
  <si>
    <t>To do</t>
  </si>
  <si>
    <t>Placeholder, Elli to provide</t>
  </si>
  <si>
    <t>N/A</t>
  </si>
  <si>
    <t>Product to complete</t>
  </si>
  <si>
    <t>MaxLoanAmount</t>
  </si>
  <si>
    <t>MinLoanAmount</t>
  </si>
  <si>
    <t>Sum</t>
  </si>
  <si>
    <t>Average</t>
  </si>
  <si>
    <t>Running Total</t>
  </si>
  <si>
    <t>Count</t>
  </si>
  <si>
    <t>ProductName</t>
  </si>
  <si>
    <t>InitialInterestRate</t>
  </si>
  <si>
    <t>DealTerm</t>
  </si>
  <si>
    <t>RateType</t>
  </si>
  <si>
    <t>MaturityDate</t>
  </si>
  <si>
    <t>ProductCode</t>
  </si>
  <si>
    <t>StandardVariableRate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</si>
</sst>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43" formatCode="_-* #,##0.00_-;\-* #,##0.00_-;_-* &quot;-&quot;??_-;_-@_-"/>
    <numFmt numFmtId="164" formatCode="dd/mm/yyyy;@"/>
    <numFmt numFmtId="165" formatCode="&quot;£&quot;#,##0.00"/>
    <numFmt numFmtId="166" formatCode="&quot;£&quot;#,##0"/>
    <numFmt numFmtId="167" formatCode="0.0%"/>
    <numFmt numFmtId="168" formatCode="#,##0_ ;\-#,##0\ "/>
    <numFmt numFmtId="169" formatCode="&quot;£&quot;#,##0_);[Red]\(&quot;£&quot;#,##0\)"/>
  </numFmts>
  <fonts count="47">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9"/>
      <color indexed="81"/>
      <name val="Tahoma"/>
      <family val="2"/>
    </font>
    <font>
      <b/>
      <sz val="20"/>
      <color theme="0"/>
      <name val="Calibri"/>
      <family val="2"/>
      <scheme val="minor"/>
    </font>
    <font>
      <b/>
      <sz val="14"/>
      <color theme="0"/>
      <name val="Calibri"/>
      <family val="2"/>
      <scheme val="minor"/>
    </font>
    <font>
      <sz val="10"/>
      <name val="Arial"/>
      <family val="2"/>
    </font>
    <font>
      <sz val="8"/>
      <name val="Arial"/>
      <family val="2"/>
    </font>
    <font>
      <sz val="9"/>
      <color indexed="81"/>
      <name val="Tahoma"/>
      <family val="2"/>
    </font>
    <font>
      <sz val="8"/>
      <color theme="5"/>
      <name val="Arial"/>
      <family val="2"/>
    </font>
    <font>
      <sz val="8"/>
      <color rgb="FFFF0000"/>
      <name val="Arial"/>
      <family val="2"/>
    </font>
    <font>
      <sz val="8"/>
      <color theme="1"/>
      <name val="Arial"/>
      <family val="2"/>
    </font>
    <font>
      <b/>
      <sz val="16"/>
      <color theme="1"/>
      <name val="Calibri"/>
      <family val="2"/>
      <scheme val="minor"/>
    </font>
    <font>
      <sz val="16"/>
      <color theme="1"/>
      <name val="Calibri"/>
      <family val="2"/>
      <scheme val="minor"/>
    </font>
    <font>
      <sz val="11"/>
      <color theme="1"/>
      <name val="Calibri"/>
      <family val="2"/>
      <scheme val="minor"/>
    </font>
    <font>
      <sz val="10"/>
      <color theme="1"/>
      <name val="Segoe UI"/>
      <family val="2"/>
    </font>
    <font>
      <sz val="10"/>
      <color theme="1"/>
      <name val="Calibri"/>
      <family val="2"/>
      <scheme val="minor"/>
    </font>
    <font>
      <sz val="10"/>
      <color rgb="FF000000"/>
      <name val="Calibri"/>
      <family val="2"/>
    </font>
    <font>
      <sz val="10"/>
      <name val="Calibri"/>
      <family val="2"/>
      <scheme val="minor"/>
    </font>
    <font>
      <sz val="10"/>
      <color indexed="8"/>
      <name val="Calibri"/>
      <family val="2"/>
      <scheme val="minor"/>
    </font>
    <font>
      <sz val="12"/>
      <color theme="1"/>
      <name val="Calibri"/>
      <family val="2"/>
      <scheme val="minor"/>
    </font>
    <font>
      <sz val="40"/>
      <color rgb="FF004971"/>
      <name val="FS Albert ExtraBold"/>
    </font>
    <font>
      <b/>
      <sz val="18"/>
      <color rgb="FF769B31"/>
      <name val="FS Albert Bold"/>
    </font>
    <font>
      <sz val="14"/>
      <color theme="0"/>
      <name val="FS Albert ExtraBold"/>
    </font>
    <font>
      <b/>
      <sz val="14"/>
      <color theme="0"/>
      <name val="FS Albert ExtraBold"/>
    </font>
    <font>
      <sz val="14"/>
      <color theme="1"/>
      <name val="Calibri"/>
      <family val="2"/>
      <scheme val="minor"/>
    </font>
    <font>
      <sz val="14"/>
      <color theme="1"/>
      <name val="FS Albert Light"/>
    </font>
    <font>
      <sz val="14"/>
      <name val="FS Albert ExtraBold"/>
    </font>
    <font>
      <sz val="14"/>
      <color theme="1"/>
      <name val="FS Albert ExtraBold"/>
    </font>
    <font>
      <sz val="14"/>
      <color indexed="8"/>
      <name val="FS Albert Light"/>
    </font>
    <font>
      <sz val="23"/>
      <color rgb="FF769B31"/>
      <name val="FS Albert Light"/>
    </font>
    <font>
      <sz val="12"/>
      <color rgb="FF000000"/>
      <name val="Calibri"/>
      <family val="2"/>
      <scheme val="minor"/>
    </font>
    <font>
      <b/>
      <sz val="14"/>
      <color rgb="FF769B31"/>
      <name val="FS Albert Bold"/>
    </font>
    <font>
      <b/>
      <sz val="10"/>
      <color theme="0"/>
      <name val="FS Albert ExtraBold"/>
    </font>
    <font>
      <b/>
      <sz val="10"/>
      <color theme="1"/>
      <name val="Calibri"/>
      <family val="2"/>
      <scheme val="minor"/>
    </font>
    <font>
      <sz val="10"/>
      <color theme="1"/>
      <name val="FS Albert Light"/>
    </font>
    <font>
      <sz val="10"/>
      <color indexed="8"/>
      <name val="FS Albert Light"/>
    </font>
    <font>
      <sz val="10"/>
      <name val="FS Albert ExtraBold"/>
    </font>
    <font>
      <sz val="10"/>
      <color theme="1"/>
      <name val="FS Albert ExtraBold"/>
    </font>
    <font>
      <sz val="11"/>
      <color rgb="FF000000"/>
      <name val="Calibri"/>
      <family val="2"/>
    </font>
    <font>
      <sz val="12"/>
      <color rgb="FF1E1E1E"/>
      <name val="Segoe UI"/>
      <family val="2"/>
    </font>
    <font>
      <b/>
      <sz val="12"/>
      <color theme="1"/>
      <name val="Calibri"/>
      <family val="2"/>
      <scheme val="minor"/>
    </font>
    <font>
      <sz val="11"/>
      <color rgb="FF444444"/>
      <name val="Calibri"/>
      <family val="2"/>
      <charset val="1"/>
    </font>
    <font>
      <b/>
      <sz val="11"/>
      <color rgb="FF000000"/>
      <name val="Calibri"/>
      <family val="2"/>
    </font>
    <font>
      <sz val="11"/>
      <color rgb="FF000000"/>
      <name val="Calibri"/>
      <family val="2"/>
      <scheme val="minor"/>
    </font>
    <font>
      <b/>
      <sz val="11"/>
      <color rgb="FF000000"/>
      <name val="Aptos Narrow"/>
      <family val="2"/>
    </font>
  </fonts>
  <fills count="21">
    <fill>
      <patternFill patternType="none"/>
    </fill>
    <fill>
      <patternFill patternType="gray125"/>
    </fill>
    <fill>
      <patternFill patternType="solid">
        <fgColor rgb="FF00B0F0"/>
        <bgColor indexed="64"/>
      </patternFill>
    </fill>
    <fill>
      <patternFill patternType="solid">
        <fgColor rgb="FF002060"/>
        <bgColor indexed="64"/>
      </patternFill>
    </fill>
    <fill>
      <patternFill patternType="solid">
        <fgColor theme="9" tint="-0.499984740745262"/>
        <bgColor indexed="64"/>
      </patternFill>
    </fill>
    <fill>
      <patternFill patternType="solid">
        <fgColor theme="0" tint="-0.14999847407452621"/>
        <bgColor indexed="64"/>
      </patternFill>
    </fill>
    <fill>
      <patternFill patternType="solid">
        <fgColor theme="0" tint="-0.14999847407452621"/>
        <bgColor indexed="0"/>
      </patternFill>
    </fill>
    <fill>
      <patternFill patternType="solid">
        <fgColor theme="3"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2EFDA"/>
        <bgColor rgb="FF000000"/>
      </patternFill>
    </fill>
    <fill>
      <patternFill patternType="solid">
        <fgColor theme="9" tint="0.79995117038483843"/>
        <bgColor indexed="64"/>
      </patternFill>
    </fill>
    <fill>
      <patternFill patternType="solid">
        <fgColor rgb="FF004971"/>
        <bgColor indexed="64"/>
      </patternFill>
    </fill>
    <fill>
      <patternFill patternType="solid">
        <fgColor rgb="FF769B31"/>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ACB9CA"/>
        <bgColor indexed="64"/>
      </patternFill>
    </fill>
    <fill>
      <patternFill patternType="solid">
        <fgColor rgb="FFEDCCE7"/>
        <bgColor indexed="64"/>
      </patternFill>
    </fill>
    <fill>
      <patternFill patternType="solid">
        <fgColor theme="5" tint="0.39997558519241921"/>
        <bgColor indexed="64"/>
      </patternFill>
    </fill>
  </fills>
  <borders count="48">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theme="1" tint="0.499984740745262"/>
      </left>
      <right style="thin">
        <color theme="1" tint="0.499984740745262"/>
      </right>
      <top/>
      <bottom style="thin">
        <color theme="1" tint="0.499984740745262"/>
      </bottom>
      <diagonal/>
    </border>
    <border>
      <left style="medium">
        <color theme="1"/>
      </left>
      <right style="medium">
        <color theme="1"/>
      </right>
      <top style="medium">
        <color theme="1"/>
      </top>
      <bottom style="medium">
        <color theme="1"/>
      </bottom>
      <diagonal/>
    </border>
    <border>
      <left style="thin">
        <color indexed="64"/>
      </left>
      <right/>
      <top/>
      <bottom style="thin">
        <color indexed="64"/>
      </bottom>
      <diagonal/>
    </border>
    <border>
      <left style="thin">
        <color theme="1"/>
      </left>
      <right/>
      <top/>
      <bottom style="thin">
        <color theme="1"/>
      </bottom>
      <diagonal/>
    </border>
    <border>
      <left style="thin">
        <color indexed="64"/>
      </left>
      <right style="thin">
        <color indexed="64"/>
      </right>
      <top style="thin">
        <color indexed="64"/>
      </top>
      <bottom/>
      <diagonal/>
    </border>
    <border>
      <left/>
      <right style="thin">
        <color theme="0"/>
      </right>
      <top/>
      <bottom/>
      <diagonal/>
    </border>
    <border>
      <left style="thin">
        <color theme="0"/>
      </left>
      <right style="thin">
        <color theme="0" tint="-4.9989318521683403E-2"/>
      </right>
      <top/>
      <bottom/>
      <diagonal/>
    </border>
    <border>
      <left style="thin">
        <color theme="0" tint="-4.9989318521683403E-2"/>
      </left>
      <right style="thin">
        <color theme="0" tint="-4.9989318521683403E-2"/>
      </right>
      <top/>
      <bottom/>
      <diagonal/>
    </border>
    <border>
      <left/>
      <right/>
      <top/>
      <bottom style="medium">
        <color rgb="FF004971"/>
      </bottom>
      <diagonal/>
    </border>
    <border>
      <left/>
      <right/>
      <top style="medium">
        <color rgb="FF004971"/>
      </top>
      <bottom/>
      <diagonal/>
    </border>
    <border>
      <left/>
      <right/>
      <top style="thin">
        <color theme="0"/>
      </top>
      <bottom/>
      <diagonal/>
    </border>
    <border>
      <left/>
      <right style="thin">
        <color theme="0"/>
      </right>
      <top/>
      <bottom style="medium">
        <color rgb="FF004971"/>
      </bottom>
      <diagonal/>
    </border>
    <border>
      <left style="thin">
        <color theme="0"/>
      </left>
      <right style="thin">
        <color theme="0" tint="-4.9989318521683403E-2"/>
      </right>
      <top/>
      <bottom style="medium">
        <color rgb="FF004971"/>
      </bottom>
      <diagonal/>
    </border>
    <border>
      <left style="thin">
        <color theme="0" tint="-4.9989318521683403E-2"/>
      </left>
      <right style="thin">
        <color theme="0" tint="-4.9989318521683403E-2"/>
      </right>
      <top/>
      <bottom style="medium">
        <color rgb="FF004971"/>
      </bottom>
      <diagonal/>
    </border>
    <border>
      <left/>
      <right style="medium">
        <color theme="1"/>
      </right>
      <top style="medium">
        <color theme="1"/>
      </top>
      <bottom style="medium">
        <color theme="1"/>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theme="1"/>
      </right>
      <top style="medium">
        <color rgb="FF000000"/>
      </top>
      <bottom style="medium">
        <color rgb="FF000000"/>
      </bottom>
      <diagonal/>
    </border>
    <border>
      <left style="thin">
        <color theme="1"/>
      </left>
      <right style="thin">
        <color theme="1"/>
      </right>
      <top style="medium">
        <color rgb="FF000000"/>
      </top>
      <bottom style="medium">
        <color rgb="FF000000"/>
      </bottom>
      <diagonal/>
    </border>
    <border>
      <left style="thin">
        <color theme="1"/>
      </left>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thin">
        <color theme="1"/>
      </left>
      <right/>
      <top/>
      <bottom style="medium">
        <color rgb="FF000000"/>
      </bottom>
      <diagonal/>
    </border>
    <border>
      <left/>
      <right style="thin">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6">
    <xf numFmtId="0" fontId="0" fillId="0" borderId="0"/>
    <xf numFmtId="0" fontId="7" fillId="0" borderId="0"/>
    <xf numFmtId="0" fontId="3" fillId="0" borderId="0"/>
    <xf numFmtId="43" fontId="15" fillId="0" borderId="0" applyFont="0" applyFill="0" applyBorder="0" applyAlignment="0" applyProtection="0"/>
    <xf numFmtId="0" fontId="21" fillId="0" borderId="0"/>
    <xf numFmtId="9" fontId="15" fillId="0" borderId="0" applyFont="0" applyFill="0" applyBorder="0" applyAlignment="0" applyProtection="0"/>
  </cellStyleXfs>
  <cellXfs count="280">
    <xf numFmtId="0" fontId="0" fillId="0" borderId="0" xfId="0"/>
    <xf numFmtId="164" fontId="0" fillId="0" borderId="0" xfId="0" applyNumberFormat="1"/>
    <xf numFmtId="0" fontId="1" fillId="3" borderId="2" xfId="0" applyFont="1" applyFill="1" applyBorder="1" applyAlignment="1">
      <alignment horizontal="center" vertical="center" wrapText="1"/>
    </xf>
    <xf numFmtId="0" fontId="2" fillId="0" borderId="6" xfId="0" applyFont="1" applyBorder="1" applyAlignment="1">
      <alignment horizontal="center" vertical="center" wrapText="1"/>
    </xf>
    <xf numFmtId="0" fontId="1" fillId="4" borderId="1" xfId="0" applyFont="1" applyFill="1" applyBorder="1" applyAlignment="1">
      <alignment vertical="center"/>
    </xf>
    <xf numFmtId="0" fontId="1" fillId="3" borderId="9" xfId="0" applyFont="1" applyFill="1" applyBorder="1" applyAlignment="1">
      <alignment horizont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horizontal="left"/>
    </xf>
    <xf numFmtId="0" fontId="1" fillId="4" borderId="6" xfId="0" applyFont="1" applyFill="1" applyBorder="1" applyAlignment="1">
      <alignment horizontal="center" vertical="center" wrapText="1"/>
    </xf>
    <xf numFmtId="0" fontId="8" fillId="6" borderId="10" xfId="0" applyFont="1" applyFill="1" applyBorder="1" applyAlignment="1" applyProtection="1">
      <alignment horizontal="center" vertical="center" wrapText="1" readingOrder="1"/>
      <protection locked="0"/>
    </xf>
    <xf numFmtId="0" fontId="8" fillId="5" borderId="10" xfId="0" applyFont="1" applyFill="1" applyBorder="1" applyAlignment="1" applyProtection="1">
      <alignment horizontal="center" vertical="center" wrapText="1" readingOrder="1"/>
      <protection locked="0"/>
    </xf>
    <xf numFmtId="3" fontId="0" fillId="0" borderId="0" xfId="0" applyNumberFormat="1"/>
    <xf numFmtId="0" fontId="0" fillId="0" borderId="0" xfId="0" applyAlignment="1">
      <alignment horizontal="right"/>
    </xf>
    <xf numFmtId="3" fontId="0" fillId="0" borderId="0" xfId="0" applyNumberFormat="1" applyAlignment="1">
      <alignment horizontal="right"/>
    </xf>
    <xf numFmtId="0" fontId="10" fillId="5" borderId="11" xfId="0" applyFont="1" applyFill="1" applyBorder="1" applyAlignment="1">
      <alignment horizontal="center" vertical="center" wrapText="1"/>
    </xf>
    <xf numFmtId="0" fontId="10" fillId="5" borderId="11" xfId="0" applyFont="1" applyFill="1" applyBorder="1" applyAlignment="1">
      <alignment horizontal="center" vertical="center" wrapText="1" readingOrder="1"/>
    </xf>
    <xf numFmtId="0" fontId="2" fillId="0" borderId="0" xfId="0" applyFont="1"/>
    <xf numFmtId="0" fontId="8" fillId="5" borderId="11" xfId="0" applyFont="1" applyFill="1" applyBorder="1" applyAlignment="1" applyProtection="1">
      <alignment horizontal="center" vertical="center" wrapText="1" readingOrder="1"/>
      <protection locked="0"/>
    </xf>
    <xf numFmtId="0" fontId="8" fillId="5" borderId="10" xfId="0" applyFont="1" applyFill="1" applyBorder="1" applyAlignment="1" applyProtection="1">
      <alignment horizontal="center" wrapText="1" readingOrder="1"/>
      <protection locked="0"/>
    </xf>
    <xf numFmtId="0" fontId="8" fillId="5" borderId="10" xfId="0" applyFont="1" applyFill="1" applyBorder="1" applyAlignment="1" applyProtection="1">
      <alignment horizontal="center" vertical="center" readingOrder="1"/>
      <protection locked="0"/>
    </xf>
    <xf numFmtId="0" fontId="8" fillId="5" borderId="0" xfId="0" applyFont="1" applyFill="1" applyAlignment="1">
      <alignment vertical="center" wrapText="1" readingOrder="1"/>
    </xf>
    <xf numFmtId="14" fontId="8" fillId="7" borderId="0" xfId="0" applyNumberFormat="1" applyFont="1" applyFill="1"/>
    <xf numFmtId="0" fontId="8" fillId="7" borderId="0" xfId="0" applyFont="1" applyFill="1"/>
    <xf numFmtId="2" fontId="8" fillId="7" borderId="0" xfId="0" applyNumberFormat="1" applyFont="1" applyFill="1"/>
    <xf numFmtId="164" fontId="8" fillId="7" borderId="0" xfId="0" applyNumberFormat="1" applyFont="1" applyFill="1" applyAlignment="1">
      <alignment horizontal="center" readingOrder="1"/>
    </xf>
    <xf numFmtId="0" fontId="8" fillId="7" borderId="0" xfId="0" applyFont="1" applyFill="1" applyAlignment="1">
      <alignment horizontal="center"/>
    </xf>
    <xf numFmtId="0" fontId="8" fillId="0" borderId="0" xfId="0" applyFont="1"/>
    <xf numFmtId="2" fontId="8" fillId="0" borderId="0" xfId="0" applyNumberFormat="1" applyFont="1"/>
    <xf numFmtId="0" fontId="8" fillId="0" borderId="0" xfId="0" applyFont="1" applyAlignment="1">
      <alignment horizontal="center" readingOrder="1"/>
    </xf>
    <xf numFmtId="0" fontId="2" fillId="0" borderId="11" xfId="0" applyFont="1" applyBorder="1"/>
    <xf numFmtId="0" fontId="0" fillId="0" borderId="11" xfId="0" applyBorder="1"/>
    <xf numFmtId="2" fontId="8" fillId="6" borderId="10" xfId="0" applyNumberFormat="1" applyFont="1" applyFill="1" applyBorder="1" applyAlignment="1" applyProtection="1">
      <alignment horizontal="center" vertical="center" wrapText="1" readingOrder="1"/>
      <protection locked="0"/>
    </xf>
    <xf numFmtId="0" fontId="8" fillId="5" borderId="11" xfId="0" applyFont="1" applyFill="1" applyBorder="1" applyAlignment="1">
      <alignment horizontal="center" vertical="center" wrapText="1"/>
    </xf>
    <xf numFmtId="0" fontId="8" fillId="5" borderId="12" xfId="0" applyFont="1" applyFill="1" applyBorder="1" applyAlignment="1" applyProtection="1">
      <alignment horizontal="center" vertical="center" wrapText="1" readingOrder="1"/>
      <protection locked="0"/>
    </xf>
    <xf numFmtId="0" fontId="8" fillId="5" borderId="13" xfId="0" applyFont="1" applyFill="1" applyBorder="1" applyAlignment="1" applyProtection="1">
      <alignment horizontal="center" vertical="center" wrapText="1" readingOrder="1"/>
      <protection locked="0"/>
    </xf>
    <xf numFmtId="0" fontId="8" fillId="5" borderId="11" xfId="0" applyFont="1" applyFill="1" applyBorder="1" applyAlignment="1">
      <alignment horizontal="center" vertical="center" wrapText="1" readingOrder="1"/>
    </xf>
    <xf numFmtId="0" fontId="11" fillId="6" borderId="10" xfId="0" applyFont="1" applyFill="1" applyBorder="1" applyAlignment="1" applyProtection="1">
      <alignment horizontal="center" vertical="center" wrapText="1" readingOrder="1"/>
      <protection locked="0"/>
    </xf>
    <xf numFmtId="16" fontId="0" fillId="0" borderId="0" xfId="0" applyNumberFormat="1"/>
    <xf numFmtId="2" fontId="0" fillId="0" borderId="0" xfId="0" applyNumberFormat="1"/>
    <xf numFmtId="0" fontId="12" fillId="6" borderId="10" xfId="0" applyFont="1" applyFill="1" applyBorder="1" applyAlignment="1" applyProtection="1">
      <alignment horizontal="center" vertical="center" wrapText="1" readingOrder="1"/>
      <protection locked="0"/>
    </xf>
    <xf numFmtId="0" fontId="0" fillId="0" borderId="14" xfId="0" applyBorder="1"/>
    <xf numFmtId="9" fontId="0" fillId="0" borderId="0" xfId="0" applyNumberFormat="1" applyAlignment="1">
      <alignment horizontal="left"/>
    </xf>
    <xf numFmtId="2" fontId="0" fillId="8" borderId="11" xfId="0" applyNumberFormat="1" applyFill="1" applyBorder="1"/>
    <xf numFmtId="10" fontId="0" fillId="8" borderId="11" xfId="0" applyNumberFormat="1" applyFill="1" applyBorder="1"/>
    <xf numFmtId="0" fontId="0" fillId="8" borderId="11" xfId="0" applyFill="1" applyBorder="1"/>
    <xf numFmtId="0" fontId="2" fillId="0" borderId="15" xfId="0" applyFont="1" applyBorder="1" applyAlignment="1">
      <alignment horizontal="center" vertical="center" wrapText="1"/>
    </xf>
    <xf numFmtId="0" fontId="2" fillId="8" borderId="18" xfId="0" applyFont="1" applyFill="1" applyBorder="1" applyAlignment="1">
      <alignment horizontal="center" vertical="center" wrapText="1"/>
    </xf>
    <xf numFmtId="0" fontId="2" fillId="8" borderId="18" xfId="0" applyFont="1" applyFill="1" applyBorder="1" applyAlignment="1">
      <alignment horizontal="center" wrapText="1"/>
    </xf>
    <xf numFmtId="0" fontId="0" fillId="8" borderId="17" xfId="0" applyFill="1" applyBorder="1" applyAlignment="1">
      <alignment horizontal="center"/>
    </xf>
    <xf numFmtId="0" fontId="1" fillId="4" borderId="11" xfId="0" applyFont="1" applyFill="1" applyBorder="1" applyAlignment="1">
      <alignment horizontal="center" vertical="center" wrapText="1"/>
    </xf>
    <xf numFmtId="0" fontId="17" fillId="8" borderId="11" xfId="0" applyFont="1" applyFill="1" applyBorder="1" applyAlignment="1">
      <alignment horizontal="center" vertical="center" wrapText="1"/>
    </xf>
    <xf numFmtId="2" fontId="17" fillId="8" borderId="11" xfId="0" applyNumberFormat="1" applyFont="1" applyFill="1" applyBorder="1" applyAlignment="1">
      <alignment horizontal="center" vertical="center" wrapText="1"/>
    </xf>
    <xf numFmtId="0" fontId="18" fillId="10" borderId="11" xfId="0" applyFont="1" applyFill="1" applyBorder="1" applyAlignment="1">
      <alignment horizontal="center" vertical="center" wrapText="1"/>
    </xf>
    <xf numFmtId="0" fontId="17" fillId="8" borderId="21" xfId="0" applyFont="1" applyFill="1" applyBorder="1" applyAlignment="1">
      <alignment horizontal="center" vertical="center" wrapText="1"/>
    </xf>
    <xf numFmtId="165" fontId="17" fillId="8" borderId="11" xfId="0" applyNumberFormat="1" applyFont="1" applyFill="1" applyBorder="1" applyAlignment="1">
      <alignment horizontal="center" vertical="center" wrapText="1"/>
    </xf>
    <xf numFmtId="165" fontId="17" fillId="11" borderId="14" xfId="0" applyNumberFormat="1" applyFont="1" applyFill="1" applyBorder="1" applyAlignment="1">
      <alignment horizontal="center" vertical="center" wrapText="1"/>
    </xf>
    <xf numFmtId="0" fontId="17" fillId="0" borderId="11" xfId="0" applyFont="1" applyBorder="1" applyAlignment="1">
      <alignment horizontal="center" vertical="center"/>
    </xf>
    <xf numFmtId="2" fontId="19" fillId="0" borderId="11" xfId="0" applyNumberFormat="1" applyFont="1" applyBorder="1" applyAlignment="1">
      <alignment horizontal="center" vertical="center" wrapText="1"/>
    </xf>
    <xf numFmtId="49" fontId="17" fillId="0" borderId="11" xfId="0" applyNumberFormat="1" applyFont="1" applyBorder="1" applyAlignment="1">
      <alignment horizontal="center" vertical="center"/>
    </xf>
    <xf numFmtId="0" fontId="16" fillId="0" borderId="11"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18" fillId="0" borderId="11" xfId="0" applyFont="1" applyBorder="1" applyAlignment="1">
      <alignment wrapText="1"/>
    </xf>
    <xf numFmtId="2" fontId="20" fillId="0" borderId="11" xfId="0" applyNumberFormat="1" applyFont="1" applyBorder="1" applyAlignment="1">
      <alignment horizontal="center" vertical="center" wrapText="1"/>
    </xf>
    <xf numFmtId="2" fontId="17" fillId="0" borderId="11" xfId="0" applyNumberFormat="1" applyFont="1" applyBorder="1" applyAlignment="1">
      <alignment horizontal="center" vertical="center"/>
    </xf>
    <xf numFmtId="10" fontId="17" fillId="0" borderId="11" xfId="0" applyNumberFormat="1" applyFont="1" applyBorder="1" applyAlignment="1">
      <alignment horizontal="center" vertical="center"/>
    </xf>
    <xf numFmtId="0" fontId="17" fillId="0" borderId="0" xfId="0" applyFont="1" applyAlignment="1">
      <alignment horizontal="center" vertical="center"/>
    </xf>
    <xf numFmtId="0" fontId="0" fillId="0" borderId="11" xfId="0" applyBorder="1" applyAlignment="1">
      <alignment horizontal="center"/>
    </xf>
    <xf numFmtId="2" fontId="19" fillId="0" borderId="11" xfId="3" applyNumberFormat="1" applyFont="1" applyFill="1" applyBorder="1" applyAlignment="1">
      <alignment horizontal="center" vertical="center" wrapText="1"/>
    </xf>
    <xf numFmtId="9" fontId="0" fillId="0" borderId="11" xfId="0" applyNumberFormat="1" applyBorder="1" applyAlignment="1">
      <alignment horizontal="center" vertical="center"/>
    </xf>
    <xf numFmtId="0" fontId="17" fillId="0" borderId="11" xfId="0" applyFont="1" applyBorder="1" applyAlignment="1">
      <alignment horizontal="center" vertical="center" wrapText="1"/>
    </xf>
    <xf numFmtId="0" fontId="21" fillId="0" borderId="0" xfId="4" applyAlignment="1">
      <alignment vertical="center"/>
    </xf>
    <xf numFmtId="0" fontId="21" fillId="0" borderId="0" xfId="4"/>
    <xf numFmtId="0" fontId="22" fillId="0" borderId="0" xfId="4" applyFont="1" applyAlignment="1">
      <alignment vertical="center"/>
    </xf>
    <xf numFmtId="0" fontId="23" fillId="0" borderId="0" xfId="4" applyFont="1" applyAlignment="1">
      <alignment vertical="center"/>
    </xf>
    <xf numFmtId="0" fontId="21" fillId="12" borderId="0" xfId="4" applyFill="1" applyAlignment="1">
      <alignment vertical="center"/>
    </xf>
    <xf numFmtId="0" fontId="21" fillId="12" borderId="0" xfId="4" applyFill="1"/>
    <xf numFmtId="0" fontId="24" fillId="12" borderId="22" xfId="4" applyFont="1" applyFill="1" applyBorder="1" applyAlignment="1">
      <alignment horizontal="center" vertical="center" wrapText="1"/>
    </xf>
    <xf numFmtId="0" fontId="24" fillId="12" borderId="23" xfId="4" applyFont="1" applyFill="1" applyBorder="1" applyAlignment="1">
      <alignment horizontal="center" vertical="center"/>
    </xf>
    <xf numFmtId="0" fontId="24" fillId="12" borderId="24" xfId="4" applyFont="1" applyFill="1" applyBorder="1" applyAlignment="1">
      <alignment horizontal="center" vertical="center" wrapText="1"/>
    </xf>
    <xf numFmtId="0" fontId="24" fillId="12" borderId="0" xfId="4" applyFont="1" applyFill="1" applyAlignment="1">
      <alignment horizontal="center" vertical="center"/>
    </xf>
    <xf numFmtId="0" fontId="25" fillId="13" borderId="0" xfId="4" applyFont="1" applyFill="1" applyAlignment="1">
      <alignment vertical="center"/>
    </xf>
    <xf numFmtId="0" fontId="26" fillId="13" borderId="0" xfId="4" applyFont="1" applyFill="1"/>
    <xf numFmtId="0" fontId="26" fillId="0" borderId="0" xfId="4" applyFont="1" applyAlignment="1">
      <alignment vertical="center"/>
    </xf>
    <xf numFmtId="0" fontId="26" fillId="0" borderId="0" xfId="4" applyFont="1"/>
    <xf numFmtId="0" fontId="26" fillId="0" borderId="0" xfId="4" applyFont="1" applyAlignment="1">
      <alignment horizontal="left" vertical="center" wrapText="1"/>
    </xf>
    <xf numFmtId="0" fontId="26" fillId="0" borderId="0" xfId="4" applyFont="1" applyAlignment="1">
      <alignment horizontal="left" vertical="top" wrapText="1"/>
    </xf>
    <xf numFmtId="0" fontId="31" fillId="0" borderId="0" xfId="4" applyFont="1"/>
    <xf numFmtId="0" fontId="32" fillId="0" borderId="0" xfId="4" applyFont="1"/>
    <xf numFmtId="0" fontId="26" fillId="13" borderId="27" xfId="4" applyFont="1" applyFill="1" applyBorder="1"/>
    <xf numFmtId="0" fontId="26" fillId="13" borderId="26" xfId="4" applyFont="1" applyFill="1" applyBorder="1"/>
    <xf numFmtId="0" fontId="25" fillId="13" borderId="26" xfId="4" applyFont="1" applyFill="1" applyBorder="1" applyAlignment="1">
      <alignment vertical="center"/>
    </xf>
    <xf numFmtId="0" fontId="33" fillId="0" borderId="0" xfId="4" applyFont="1" applyAlignment="1">
      <alignment vertical="center"/>
    </xf>
    <xf numFmtId="0" fontId="24" fillId="12" borderId="28" xfId="4" applyFont="1" applyFill="1" applyBorder="1" applyAlignment="1">
      <alignment horizontal="center" vertical="center" wrapText="1"/>
    </xf>
    <xf numFmtId="0" fontId="24" fillId="12" borderId="29" xfId="4" applyFont="1" applyFill="1" applyBorder="1" applyAlignment="1">
      <alignment horizontal="center" vertical="center"/>
    </xf>
    <xf numFmtId="0" fontId="24" fillId="12" borderId="30" xfId="4" applyFont="1" applyFill="1" applyBorder="1" applyAlignment="1">
      <alignment horizontal="center" vertical="center" wrapText="1"/>
    </xf>
    <xf numFmtId="0" fontId="24" fillId="12" borderId="25" xfId="4" applyFont="1" applyFill="1" applyBorder="1" applyAlignment="1">
      <alignment horizontal="center" vertical="center"/>
    </xf>
    <xf numFmtId="0" fontId="21" fillId="14" borderId="0" xfId="4" applyFill="1"/>
    <xf numFmtId="0" fontId="26" fillId="14" borderId="0" xfId="4" applyFont="1" applyFill="1" applyAlignment="1">
      <alignment horizontal="left" vertical="top" wrapText="1"/>
    </xf>
    <xf numFmtId="0" fontId="35" fillId="0" borderId="0" xfId="0" applyFont="1" applyAlignment="1">
      <alignment wrapText="1"/>
    </xf>
    <xf numFmtId="0" fontId="17" fillId="0" borderId="0" xfId="0" applyFont="1"/>
    <xf numFmtId="0" fontId="17" fillId="0" borderId="0" xfId="0" applyFont="1" applyAlignment="1">
      <alignment horizontal="center"/>
    </xf>
    <xf numFmtId="2" fontId="17" fillId="0" borderId="0" xfId="0" applyNumberFormat="1" applyFont="1" applyAlignment="1">
      <alignment horizontal="center"/>
    </xf>
    <xf numFmtId="0" fontId="34" fillId="12" borderId="11" xfId="4" applyFont="1" applyFill="1" applyBorder="1" applyAlignment="1">
      <alignment horizontal="center" vertical="center" wrapText="1"/>
    </xf>
    <xf numFmtId="2" fontId="34" fillId="12" borderId="11" xfId="4" applyNumberFormat="1" applyFont="1" applyFill="1" applyBorder="1" applyAlignment="1">
      <alignment horizontal="center" vertical="center" wrapText="1"/>
    </xf>
    <xf numFmtId="0" fontId="36" fillId="14" borderId="11" xfId="4" applyFont="1" applyFill="1" applyBorder="1" applyAlignment="1">
      <alignment horizontal="center" vertical="center" wrapText="1"/>
    </xf>
    <xf numFmtId="0" fontId="37" fillId="0" borderId="11" xfId="4" applyFont="1" applyBorder="1" applyAlignment="1">
      <alignment horizontal="center" vertical="center" wrapText="1"/>
    </xf>
    <xf numFmtId="2" fontId="38" fillId="15" borderId="11" xfId="4" applyNumberFormat="1" applyFont="1" applyFill="1" applyBorder="1" applyAlignment="1">
      <alignment horizontal="center" vertical="center"/>
    </xf>
    <xf numFmtId="14" fontId="36" fillId="14" borderId="11" xfId="4" applyNumberFormat="1" applyFont="1" applyFill="1" applyBorder="1" applyAlignment="1">
      <alignment horizontal="center" vertical="center"/>
    </xf>
    <xf numFmtId="0" fontId="39" fillId="15" borderId="11" xfId="4" applyFont="1" applyFill="1" applyBorder="1" applyAlignment="1">
      <alignment horizontal="center" vertical="center" wrapText="1"/>
    </xf>
    <xf numFmtId="2" fontId="36" fillId="14" borderId="11" xfId="4" applyNumberFormat="1" applyFont="1" applyFill="1" applyBorder="1" applyAlignment="1">
      <alignment horizontal="center" vertical="center"/>
    </xf>
    <xf numFmtId="168" fontId="39" fillId="15" borderId="11" xfId="4" applyNumberFormat="1" applyFont="1" applyFill="1" applyBorder="1" applyAlignment="1">
      <alignment horizontal="center" vertical="center"/>
    </xf>
    <xf numFmtId="169" fontId="36" fillId="14" borderId="11" xfId="4" applyNumberFormat="1" applyFont="1" applyFill="1" applyBorder="1" applyAlignment="1">
      <alignment horizontal="center" vertical="center"/>
    </xf>
    <xf numFmtId="169" fontId="39" fillId="15" borderId="11" xfId="4" applyNumberFormat="1" applyFont="1" applyFill="1" applyBorder="1" applyAlignment="1">
      <alignment horizontal="center" vertical="center"/>
    </xf>
    <xf numFmtId="169" fontId="39" fillId="14" borderId="11" xfId="4" applyNumberFormat="1" applyFont="1" applyFill="1" applyBorder="1" applyAlignment="1">
      <alignment horizontal="center" vertical="center"/>
    </xf>
    <xf numFmtId="169" fontId="36" fillId="15" borderId="11" xfId="4" applyNumberFormat="1" applyFont="1" applyFill="1" applyBorder="1" applyAlignment="1">
      <alignment horizontal="center" vertical="center"/>
    </xf>
    <xf numFmtId="0" fontId="17" fillId="14" borderId="11" xfId="4" applyFont="1" applyFill="1" applyBorder="1" applyAlignment="1">
      <alignment horizontal="center" vertical="center" wrapText="1"/>
    </xf>
    <xf numFmtId="0" fontId="17" fillId="0" borderId="14" xfId="0" applyFont="1" applyBorder="1" applyAlignment="1">
      <alignment horizontal="center" vertical="center"/>
    </xf>
    <xf numFmtId="165" fontId="17" fillId="9" borderId="14" xfId="0" applyNumberFormat="1" applyFont="1" applyFill="1" applyBorder="1" applyAlignment="1">
      <alignment horizontal="center" vertical="center" wrapText="1"/>
    </xf>
    <xf numFmtId="164" fontId="17" fillId="8" borderId="11" xfId="0" applyNumberFormat="1" applyFont="1" applyFill="1" applyBorder="1" applyAlignment="1">
      <alignment horizontal="center" vertical="center" wrapText="1"/>
    </xf>
    <xf numFmtId="164" fontId="19" fillId="0" borderId="11" xfId="0" applyNumberFormat="1" applyFont="1" applyBorder="1" applyAlignment="1">
      <alignment horizontal="center" vertical="center" wrapText="1"/>
    </xf>
    <xf numFmtId="164" fontId="21" fillId="0" borderId="0" xfId="4" applyNumberFormat="1"/>
    <xf numFmtId="164" fontId="21" fillId="12" borderId="0" xfId="4" applyNumberFormat="1" applyFill="1"/>
    <xf numFmtId="164" fontId="24" fillId="12" borderId="24" xfId="4" applyNumberFormat="1" applyFont="1" applyFill="1" applyBorder="1" applyAlignment="1">
      <alignment horizontal="center" vertical="center"/>
    </xf>
    <xf numFmtId="164" fontId="26" fillId="13" borderId="0" xfId="4" applyNumberFormat="1" applyFont="1" applyFill="1"/>
    <xf numFmtId="164" fontId="26" fillId="0" borderId="0" xfId="4" applyNumberFormat="1" applyFont="1"/>
    <xf numFmtId="164" fontId="26" fillId="0" borderId="0" xfId="4" applyNumberFormat="1" applyFont="1" applyAlignment="1">
      <alignment horizontal="left" vertical="top" wrapText="1"/>
    </xf>
    <xf numFmtId="164" fontId="32" fillId="0" borderId="0" xfId="4" applyNumberFormat="1" applyFont="1"/>
    <xf numFmtId="164" fontId="26" fillId="13" borderId="26" xfId="4" applyNumberFormat="1" applyFont="1" applyFill="1" applyBorder="1"/>
    <xf numFmtId="164" fontId="24" fillId="12" borderId="30" xfId="4" applyNumberFormat="1" applyFont="1" applyFill="1" applyBorder="1" applyAlignment="1">
      <alignment horizontal="center" vertical="center"/>
    </xf>
    <xf numFmtId="164" fontId="26" fillId="14" borderId="0" xfId="4" applyNumberFormat="1" applyFont="1" applyFill="1" applyAlignment="1">
      <alignment horizontal="left" vertical="top" wrapText="1"/>
    </xf>
    <xf numFmtId="10" fontId="8" fillId="5" borderId="10" xfId="0" applyNumberFormat="1" applyFont="1" applyFill="1" applyBorder="1" applyAlignment="1" applyProtection="1">
      <alignment horizontal="center" vertical="center" wrapText="1" readingOrder="1"/>
      <protection locked="0"/>
    </xf>
    <xf numFmtId="10" fontId="8" fillId="7" borderId="0" xfId="0" applyNumberFormat="1" applyFont="1" applyFill="1"/>
    <xf numFmtId="10" fontId="8" fillId="0" borderId="0" xfId="0" applyNumberFormat="1" applyFont="1"/>
    <xf numFmtId="9" fontId="8" fillId="6" borderId="10" xfId="0" applyNumberFormat="1" applyFont="1" applyFill="1" applyBorder="1" applyAlignment="1" applyProtection="1">
      <alignment horizontal="center" vertical="center" wrapText="1" readingOrder="1"/>
      <protection locked="0"/>
    </xf>
    <xf numFmtId="9" fontId="8" fillId="7" borderId="0" xfId="0" applyNumberFormat="1" applyFont="1" applyFill="1"/>
    <xf numFmtId="9" fontId="8" fillId="0" borderId="0" xfId="0" applyNumberFormat="1" applyFont="1"/>
    <xf numFmtId="9" fontId="0" fillId="0" borderId="0" xfId="0" applyNumberFormat="1"/>
    <xf numFmtId="0" fontId="41" fillId="0" borderId="0" xfId="0" applyFont="1" applyAlignment="1">
      <alignment vertical="center" wrapText="1"/>
    </xf>
    <xf numFmtId="0" fontId="2" fillId="8" borderId="31" xfId="0" applyFont="1" applyFill="1" applyBorder="1" applyAlignment="1">
      <alignment horizontal="center" vertical="center" wrapText="1"/>
    </xf>
    <xf numFmtId="0" fontId="0" fillId="0" borderId="0" xfId="0" applyAlignment="1">
      <alignment horizontal="center"/>
    </xf>
    <xf numFmtId="3" fontId="8" fillId="7" borderId="0" xfId="0" applyNumberFormat="1" applyFont="1" applyFill="1" applyAlignment="1">
      <alignment horizontal="right"/>
    </xf>
    <xf numFmtId="0" fontId="8" fillId="17" borderId="0" xfId="0" applyFont="1" applyFill="1"/>
    <xf numFmtId="14" fontId="8" fillId="17" borderId="0" xfId="0" applyNumberFormat="1" applyFont="1" applyFill="1"/>
    <xf numFmtId="2" fontId="8" fillId="17" borderId="0" xfId="0" applyNumberFormat="1" applyFont="1" applyFill="1"/>
    <xf numFmtId="0" fontId="43" fillId="17" borderId="0" xfId="0" quotePrefix="1" applyFont="1" applyFill="1"/>
    <xf numFmtId="10" fontId="8" fillId="17" borderId="0" xfId="0" applyNumberFormat="1" applyFont="1" applyFill="1"/>
    <xf numFmtId="164" fontId="8" fillId="17" borderId="0" xfId="0" applyNumberFormat="1" applyFont="1" applyFill="1" applyAlignment="1">
      <alignment horizontal="center" readingOrder="1"/>
    </xf>
    <xf numFmtId="0" fontId="8" fillId="17" borderId="0" xfId="0" applyFont="1" applyFill="1" applyAlignment="1">
      <alignment horizontal="center"/>
    </xf>
    <xf numFmtId="9" fontId="8" fillId="17" borderId="0" xfId="0" applyNumberFormat="1" applyFont="1" applyFill="1"/>
    <xf numFmtId="3" fontId="8" fillId="17" borderId="0" xfId="0" applyNumberFormat="1" applyFont="1" applyFill="1" applyAlignment="1">
      <alignment horizontal="right"/>
    </xf>
    <xf numFmtId="0" fontId="43" fillId="7" borderId="0" xfId="0" quotePrefix="1" applyFont="1" applyFill="1"/>
    <xf numFmtId="3" fontId="8" fillId="18" borderId="0" xfId="0" applyNumberFormat="1" applyFont="1" applyFill="1" applyAlignment="1">
      <alignment horizontal="right"/>
    </xf>
    <xf numFmtId="0" fontId="2" fillId="0" borderId="45" xfId="0" applyFont="1" applyBorder="1" applyAlignment="1">
      <alignment horizontal="center" vertical="center" wrapText="1"/>
    </xf>
    <xf numFmtId="0" fontId="2" fillId="0" borderId="46" xfId="0" applyFont="1" applyBorder="1" applyAlignment="1">
      <alignment horizontal="center" vertical="center" wrapText="1"/>
    </xf>
    <xf numFmtId="0" fontId="6" fillId="2" borderId="8" xfId="0" applyFont="1" applyFill="1" applyBorder="1" applyAlignment="1">
      <alignment vertical="center"/>
    </xf>
    <xf numFmtId="0" fontId="6" fillId="2" borderId="0" xfId="0" applyFont="1" applyFill="1" applyAlignment="1">
      <alignment vertical="center"/>
    </xf>
    <xf numFmtId="0" fontId="6" fillId="2" borderId="4" xfId="0" applyFont="1" applyFill="1" applyBorder="1" applyAlignment="1">
      <alignment vertical="center"/>
    </xf>
    <xf numFmtId="0" fontId="6" fillId="2" borderId="5" xfId="0" applyFont="1" applyFill="1" applyBorder="1" applyAlignment="1">
      <alignment vertical="center"/>
    </xf>
    <xf numFmtId="0" fontId="1" fillId="2" borderId="0" xfId="0" applyFont="1" applyFill="1" applyAlignment="1">
      <alignment horizontal="center" vertical="center"/>
    </xf>
    <xf numFmtId="0" fontId="40" fillId="0" borderId="0" xfId="0" applyFont="1"/>
    <xf numFmtId="6" fontId="40" fillId="0" borderId="0" xfId="0" applyNumberFormat="1" applyFont="1"/>
    <xf numFmtId="0" fontId="40" fillId="0" borderId="32" xfId="0" applyFont="1" applyBorder="1"/>
    <xf numFmtId="0" fontId="40" fillId="0" borderId="34" xfId="0" applyFont="1" applyBorder="1"/>
    <xf numFmtId="0" fontId="2" fillId="0" borderId="47" xfId="0" applyFont="1" applyBorder="1" applyAlignment="1">
      <alignment horizontal="center" vertical="center" wrapText="1"/>
    </xf>
    <xf numFmtId="6" fontId="0" fillId="0" borderId="0" xfId="0" applyNumberFormat="1"/>
    <xf numFmtId="167" fontId="14" fillId="19" borderId="20" xfId="0" applyNumberFormat="1" applyFont="1" applyFill="1" applyBorder="1"/>
    <xf numFmtId="0" fontId="13" fillId="19" borderId="38" xfId="0" applyFont="1" applyFill="1" applyBorder="1"/>
    <xf numFmtId="0" fontId="14" fillId="19" borderId="0" xfId="0" applyFont="1" applyFill="1"/>
    <xf numFmtId="167" fontId="14" fillId="19" borderId="44" xfId="0" applyNumberFormat="1" applyFont="1" applyFill="1" applyBorder="1"/>
    <xf numFmtId="0" fontId="14" fillId="8" borderId="42" xfId="0" applyFont="1" applyFill="1" applyBorder="1"/>
    <xf numFmtId="0" fontId="13" fillId="8" borderId="36" xfId="0" applyFont="1" applyFill="1" applyBorder="1"/>
    <xf numFmtId="9" fontId="13" fillId="8" borderId="37" xfId="0" applyNumberFormat="1" applyFont="1" applyFill="1" applyBorder="1"/>
    <xf numFmtId="0" fontId="13" fillId="8" borderId="37" xfId="0" applyFont="1" applyFill="1" applyBorder="1"/>
    <xf numFmtId="166" fontId="13" fillId="8" borderId="37" xfId="0" applyNumberFormat="1" applyFont="1" applyFill="1" applyBorder="1"/>
    <xf numFmtId="0" fontId="13" fillId="8" borderId="37" xfId="0" applyFont="1" applyFill="1" applyBorder="1" applyAlignment="1">
      <alignment horizontal="center"/>
    </xf>
    <xf numFmtId="10" fontId="13" fillId="8" borderId="37" xfId="0" applyNumberFormat="1" applyFont="1" applyFill="1" applyBorder="1"/>
    <xf numFmtId="0" fontId="13" fillId="8" borderId="39" xfId="0" applyFont="1" applyFill="1" applyBorder="1"/>
    <xf numFmtId="0" fontId="13" fillId="8" borderId="40" xfId="0" applyFont="1" applyFill="1" applyBorder="1"/>
    <xf numFmtId="0" fontId="13" fillId="8" borderId="41" xfId="0" applyFont="1" applyFill="1" applyBorder="1" applyAlignment="1">
      <alignment horizontal="center"/>
    </xf>
    <xf numFmtId="0" fontId="13" fillId="8" borderId="41" xfId="0" applyFont="1" applyFill="1" applyBorder="1"/>
    <xf numFmtId="0" fontId="14" fillId="8" borderId="0" xfId="0" applyFont="1" applyFill="1"/>
    <xf numFmtId="0" fontId="42" fillId="8" borderId="0" xfId="0" applyFont="1" applyFill="1"/>
    <xf numFmtId="0" fontId="14" fillId="8" borderId="43" xfId="0" applyFont="1" applyFill="1" applyBorder="1"/>
    <xf numFmtId="0" fontId="14" fillId="8" borderId="16" xfId="0" applyFont="1" applyFill="1" applyBorder="1"/>
    <xf numFmtId="9" fontId="14" fillId="8" borderId="16" xfId="0" applyNumberFormat="1" applyFont="1" applyFill="1" applyBorder="1"/>
    <xf numFmtId="166" fontId="14" fillId="8" borderId="16" xfId="0" applyNumberFormat="1" applyFont="1" applyFill="1" applyBorder="1" applyAlignment="1">
      <alignment horizontal="center"/>
    </xf>
    <xf numFmtId="0" fontId="14" fillId="8" borderId="19" xfId="0" applyFont="1" applyFill="1" applyBorder="1" applyAlignment="1">
      <alignment horizontal="center"/>
    </xf>
    <xf numFmtId="10" fontId="14" fillId="8" borderId="20" xfId="0" applyNumberFormat="1" applyFont="1" applyFill="1" applyBorder="1"/>
    <xf numFmtId="0" fontId="14" fillId="8" borderId="11" xfId="0" applyFont="1" applyFill="1" applyBorder="1"/>
    <xf numFmtId="0" fontId="14" fillId="8" borderId="33" xfId="0" applyFont="1" applyFill="1" applyBorder="1"/>
    <xf numFmtId="0" fontId="14" fillId="8" borderId="35" xfId="0" applyFont="1" applyFill="1" applyBorder="1" applyAlignment="1">
      <alignment horizontal="center"/>
    </xf>
    <xf numFmtId="0" fontId="14" fillId="8" borderId="35" xfId="0" applyFont="1" applyFill="1" applyBorder="1"/>
    <xf numFmtId="0" fontId="21" fillId="8" borderId="0" xfId="0" applyFont="1" applyFill="1"/>
    <xf numFmtId="9" fontId="14" fillId="8" borderId="0" xfId="0" applyNumberFormat="1" applyFont="1" applyFill="1"/>
    <xf numFmtId="0" fontId="14" fillId="8" borderId="0" xfId="0" applyFont="1" applyFill="1" applyAlignment="1">
      <alignment horizontal="center"/>
    </xf>
    <xf numFmtId="10" fontId="14" fillId="8" borderId="0" xfId="0" applyNumberFormat="1" applyFont="1" applyFill="1"/>
    <xf numFmtId="166" fontId="14" fillId="8" borderId="0" xfId="0" applyNumberFormat="1" applyFont="1" applyFill="1"/>
    <xf numFmtId="166" fontId="0" fillId="0" borderId="0" xfId="0" applyNumberFormat="1"/>
    <xf numFmtId="0" fontId="44" fillId="0" borderId="0" xfId="0" applyFont="1"/>
    <xf numFmtId="0" fontId="1" fillId="4" borderId="6" xfId="0" applyFont="1" applyFill="1" applyBorder="1" applyAlignment="1">
      <alignment horizontal="left" vertical="center" wrapText="1"/>
    </xf>
    <xf numFmtId="9" fontId="2" fillId="0" borderId="7"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10" fillId="5" borderId="11" xfId="0" applyFont="1" applyFill="1" applyBorder="1" applyAlignment="1">
      <alignment horizontal="right" vertical="center" wrapText="1"/>
    </xf>
    <xf numFmtId="0" fontId="8" fillId="7" borderId="0" xfId="0" applyFont="1" applyFill="1" applyAlignment="1">
      <alignment horizontal="right"/>
    </xf>
    <xf numFmtId="0" fontId="8" fillId="17" borderId="0" xfId="0" applyFont="1" applyFill="1" applyAlignment="1">
      <alignment horizontal="right"/>
    </xf>
    <xf numFmtId="0" fontId="8" fillId="0" borderId="0" xfId="0" applyFont="1" applyAlignment="1">
      <alignment horizontal="right"/>
    </xf>
    <xf numFmtId="0" fontId="6" fillId="2" borderId="0" xfId="0" applyFont="1" applyFill="1" applyAlignment="1">
      <alignment horizontal="center" vertical="center"/>
    </xf>
    <xf numFmtId="0" fontId="6" fillId="2" borderId="5" xfId="0" applyFont="1" applyFill="1" applyBorder="1" applyAlignment="1">
      <alignment horizontal="center" vertical="center"/>
    </xf>
    <xf numFmtId="10" fontId="0" fillId="0" borderId="0" xfId="0" applyNumberFormat="1" applyAlignment="1">
      <alignment horizontal="center"/>
    </xf>
    <xf numFmtId="2" fontId="0" fillId="0" borderId="0" xfId="0" applyNumberFormat="1" applyAlignment="1">
      <alignment horizontal="center"/>
    </xf>
    <xf numFmtId="9" fontId="6" fillId="2" borderId="0" xfId="0" applyNumberFormat="1" applyFont="1" applyFill="1" applyAlignment="1">
      <alignment horizontal="center" vertical="center"/>
    </xf>
    <xf numFmtId="9" fontId="6" fillId="2" borderId="5" xfId="0" applyNumberFormat="1" applyFont="1" applyFill="1" applyBorder="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xf>
    <xf numFmtId="166" fontId="6" fillId="2" borderId="0" xfId="0" applyNumberFormat="1" applyFont="1" applyFill="1" applyAlignment="1">
      <alignment horizontal="center" vertical="center"/>
    </xf>
    <xf numFmtId="166" fontId="6" fillId="2" borderId="5" xfId="0" applyNumberFormat="1" applyFont="1" applyFill="1" applyBorder="1" applyAlignment="1">
      <alignment horizontal="center" vertical="center"/>
    </xf>
    <xf numFmtId="166" fontId="0" fillId="0" borderId="0" xfId="0" applyNumberFormat="1" applyAlignment="1">
      <alignment horizontal="center"/>
    </xf>
    <xf numFmtId="10" fontId="0" fillId="15" borderId="11" xfId="0" applyNumberFormat="1" applyFill="1" applyBorder="1"/>
    <xf numFmtId="167" fontId="14" fillId="15" borderId="20" xfId="0" applyNumberFormat="1" applyFont="1" applyFill="1" applyBorder="1"/>
    <xf numFmtId="167" fontId="14" fillId="15" borderId="44" xfId="0" applyNumberFormat="1" applyFont="1" applyFill="1" applyBorder="1"/>
    <xf numFmtId="9" fontId="6" fillId="2" borderId="0" xfId="0" applyNumberFormat="1" applyFont="1" applyFill="1" applyAlignment="1">
      <alignment vertical="center"/>
    </xf>
    <xf numFmtId="9" fontId="6" fillId="2" borderId="5" xfId="0" applyNumberFormat="1" applyFont="1" applyFill="1" applyBorder="1" applyAlignment="1">
      <alignment vertical="center"/>
    </xf>
    <xf numFmtId="1" fontId="0" fillId="8" borderId="11" xfId="0" applyNumberFormat="1" applyFill="1" applyBorder="1"/>
    <xf numFmtId="1" fontId="1" fillId="4" borderId="11" xfId="0" applyNumberFormat="1" applyFont="1" applyFill="1" applyBorder="1" applyAlignment="1">
      <alignment horizontal="center" vertical="center" wrapText="1"/>
    </xf>
    <xf numFmtId="1" fontId="0" fillId="0" borderId="0" xfId="0" applyNumberFormat="1"/>
    <xf numFmtId="0" fontId="0" fillId="0" borderId="0" xfId="0" applyAlignment="1">
      <alignment vertical="top" wrapText="1"/>
    </xf>
    <xf numFmtId="0" fontId="0" fillId="0" borderId="17" xfId="0" applyBorder="1" applyAlignment="1">
      <alignment horizontal="center"/>
    </xf>
    <xf numFmtId="0" fontId="2" fillId="0" borderId="0" xfId="0" applyFont="1" applyAlignment="1">
      <alignment horizontal="center"/>
    </xf>
    <xf numFmtId="0" fontId="45" fillId="0" borderId="0" xfId="0" applyFont="1" applyAlignment="1">
      <alignment horizontal="left"/>
    </xf>
    <xf numFmtId="0" fontId="46" fillId="0" borderId="0" xfId="0" applyFont="1" applyAlignment="1">
      <alignment horizontal="center"/>
    </xf>
    <xf numFmtId="14" fontId="0" fillId="0" borderId="0" xfId="0" applyNumberFormat="1"/>
    <xf numFmtId="0" fontId="0" fillId="0" borderId="0" xfId="0" applyAlignment="1">
      <alignment wrapText="1"/>
    </xf>
    <xf numFmtId="49" fontId="0" fillId="0" borderId="0" xfId="0" applyNumberFormat="1"/>
    <xf numFmtId="0" fontId="46" fillId="20" borderId="0" xfId="0" applyFont="1" applyFill="1" applyAlignment="1">
      <alignment horizontal="center"/>
    </xf>
    <xf numFmtId="0" fontId="0" fillId="0" borderId="0" xfId="5" applyNumberFormat="1" applyFont="1"/>
    <xf numFmtId="0" fontId="6" fillId="4" borderId="0" xfId="0" applyFont="1" applyFill="1" applyAlignment="1">
      <alignment horizontal="center" vertical="center" wrapText="1"/>
    </xf>
    <xf numFmtId="0" fontId="6" fillId="4"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27" fillId="14" borderId="0" xfId="4" applyFont="1" applyFill="1" applyAlignment="1">
      <alignment horizontal="center" vertical="center" wrapText="1"/>
    </xf>
    <xf numFmtId="10" fontId="28" fillId="15" borderId="0" xfId="4" applyNumberFormat="1" applyFont="1" applyFill="1" applyAlignment="1">
      <alignment horizontal="center" vertical="center"/>
    </xf>
    <xf numFmtId="10" fontId="28" fillId="15" borderId="25" xfId="4" applyNumberFormat="1" applyFont="1" applyFill="1" applyBorder="1" applyAlignment="1">
      <alignment horizontal="center" vertical="center"/>
    </xf>
    <xf numFmtId="164" fontId="27" fillId="14" borderId="0" xfId="4" applyNumberFormat="1" applyFont="1" applyFill="1" applyAlignment="1">
      <alignment horizontal="center" vertical="center"/>
    </xf>
    <xf numFmtId="164" fontId="27" fillId="14" borderId="25" xfId="4" applyNumberFormat="1" applyFont="1" applyFill="1" applyBorder="1" applyAlignment="1">
      <alignment horizontal="center" vertical="center"/>
    </xf>
    <xf numFmtId="0" fontId="29" fillId="15" borderId="0" xfId="4" applyFont="1" applyFill="1" applyAlignment="1">
      <alignment horizontal="center" vertical="center" wrapText="1"/>
    </xf>
    <xf numFmtId="0" fontId="29" fillId="15" borderId="25" xfId="4" applyFont="1" applyFill="1" applyBorder="1" applyAlignment="1">
      <alignment horizontal="center" vertical="center" wrapText="1"/>
    </xf>
    <xf numFmtId="2" fontId="27" fillId="14" borderId="0" xfId="4" applyNumberFormat="1" applyFont="1" applyFill="1" applyAlignment="1">
      <alignment horizontal="center" vertical="center"/>
    </xf>
    <xf numFmtId="2" fontId="27" fillId="14" borderId="25" xfId="4" applyNumberFormat="1" applyFont="1" applyFill="1" applyBorder="1" applyAlignment="1">
      <alignment horizontal="center" vertical="center"/>
    </xf>
    <xf numFmtId="168" fontId="29" fillId="15" borderId="0" xfId="4" applyNumberFormat="1" applyFont="1" applyFill="1" applyAlignment="1">
      <alignment horizontal="center" vertical="center"/>
    </xf>
    <xf numFmtId="168" fontId="29" fillId="15" borderId="25" xfId="4" applyNumberFormat="1" applyFont="1" applyFill="1" applyBorder="1" applyAlignment="1">
      <alignment horizontal="center" vertical="center"/>
    </xf>
    <xf numFmtId="169" fontId="29" fillId="14" borderId="0" xfId="4" applyNumberFormat="1" applyFont="1" applyFill="1" applyAlignment="1">
      <alignment horizontal="center" vertical="center"/>
    </xf>
    <xf numFmtId="169" fontId="29" fillId="14" borderId="25" xfId="4" applyNumberFormat="1" applyFont="1" applyFill="1" applyBorder="1" applyAlignment="1">
      <alignment horizontal="center" vertical="center"/>
    </xf>
    <xf numFmtId="169" fontId="27" fillId="15" borderId="0" xfId="4" applyNumberFormat="1" applyFont="1" applyFill="1" applyAlignment="1">
      <alignment horizontal="center" vertical="center"/>
    </xf>
    <xf numFmtId="169" fontId="27" fillId="15" borderId="25" xfId="4" applyNumberFormat="1" applyFont="1" applyFill="1" applyBorder="1" applyAlignment="1">
      <alignment horizontal="center" vertical="center"/>
    </xf>
    <xf numFmtId="169" fontId="27" fillId="14" borderId="0" xfId="4" applyNumberFormat="1" applyFont="1" applyFill="1" applyAlignment="1">
      <alignment horizontal="center" vertical="center"/>
    </xf>
    <xf numFmtId="169" fontId="27" fillId="14" borderId="25" xfId="4" applyNumberFormat="1" applyFont="1" applyFill="1" applyBorder="1" applyAlignment="1">
      <alignment horizontal="center" vertical="center"/>
    </xf>
    <xf numFmtId="169" fontId="29" fillId="15" borderId="0" xfId="4" applyNumberFormat="1" applyFont="1" applyFill="1" applyAlignment="1">
      <alignment horizontal="center" vertical="center"/>
    </xf>
    <xf numFmtId="169" fontId="29" fillId="15" borderId="25" xfId="4" applyNumberFormat="1" applyFont="1" applyFill="1" applyBorder="1" applyAlignment="1">
      <alignment horizontal="center" vertical="center"/>
    </xf>
    <xf numFmtId="0" fontId="30" fillId="0" borderId="0" xfId="4" applyFont="1" applyAlignment="1">
      <alignment horizontal="center" vertical="center" wrapText="1"/>
    </xf>
    <xf numFmtId="0" fontId="30" fillId="0" borderId="25" xfId="4" applyFont="1" applyBorder="1" applyAlignment="1">
      <alignment horizontal="center" vertical="center" wrapText="1"/>
    </xf>
    <xf numFmtId="0" fontId="26" fillId="14" borderId="0" xfId="4" applyFont="1" applyFill="1" applyAlignment="1">
      <alignment horizontal="center" vertical="center" wrapText="1"/>
    </xf>
    <xf numFmtId="0" fontId="26" fillId="14" borderId="25" xfId="4" applyFont="1" applyFill="1" applyBorder="1" applyAlignment="1">
      <alignment horizontal="center" vertical="center" wrapText="1"/>
    </xf>
    <xf numFmtId="0" fontId="26" fillId="16" borderId="0" xfId="4" applyFont="1" applyFill="1" applyAlignment="1">
      <alignment horizontal="left" vertical="top" wrapText="1"/>
    </xf>
    <xf numFmtId="0" fontId="26" fillId="14" borderId="0" xfId="4" applyFont="1" applyFill="1" applyAlignment="1">
      <alignment horizontal="left" vertical="top" wrapText="1"/>
    </xf>
    <xf numFmtId="0" fontId="27" fillId="14" borderId="26" xfId="4" applyFont="1" applyFill="1" applyBorder="1" applyAlignment="1">
      <alignment horizontal="center" vertical="center" wrapText="1"/>
    </xf>
    <xf numFmtId="0" fontId="26" fillId="14" borderId="26" xfId="4" applyFont="1" applyFill="1" applyBorder="1" applyAlignment="1">
      <alignment horizontal="center" vertical="center" wrapText="1"/>
    </xf>
    <xf numFmtId="169" fontId="27" fillId="15" borderId="26" xfId="4" applyNumberFormat="1" applyFont="1" applyFill="1" applyBorder="1" applyAlignment="1">
      <alignment horizontal="center" vertical="center"/>
    </xf>
    <xf numFmtId="10" fontId="28" fillId="15" borderId="26" xfId="4" applyNumberFormat="1" applyFont="1" applyFill="1" applyBorder="1" applyAlignment="1">
      <alignment horizontal="center" vertical="center"/>
    </xf>
    <xf numFmtId="164" fontId="27" fillId="14" borderId="26" xfId="4" applyNumberFormat="1" applyFont="1" applyFill="1" applyBorder="1" applyAlignment="1">
      <alignment horizontal="center" vertical="center"/>
    </xf>
    <xf numFmtId="0" fontId="29" fillId="15" borderId="26" xfId="4" applyFont="1" applyFill="1" applyBorder="1" applyAlignment="1">
      <alignment horizontal="center" vertical="center" wrapText="1"/>
    </xf>
    <xf numFmtId="2" fontId="27" fillId="14" borderId="26" xfId="4" applyNumberFormat="1" applyFont="1" applyFill="1" applyBorder="1" applyAlignment="1">
      <alignment horizontal="center" vertical="center"/>
    </xf>
    <xf numFmtId="168" fontId="29" fillId="15" borderId="26" xfId="4" applyNumberFormat="1" applyFont="1" applyFill="1" applyBorder="1" applyAlignment="1">
      <alignment horizontal="center" vertical="center"/>
    </xf>
    <xf numFmtId="169" fontId="27" fillId="14" borderId="26" xfId="4" applyNumberFormat="1" applyFont="1" applyFill="1" applyBorder="1" applyAlignment="1">
      <alignment horizontal="center" vertical="center"/>
    </xf>
    <xf numFmtId="169" fontId="29" fillId="15" borderId="26" xfId="4" applyNumberFormat="1" applyFont="1" applyFill="1" applyBorder="1" applyAlignment="1">
      <alignment horizontal="center" vertical="center"/>
    </xf>
    <xf numFmtId="169" fontId="29" fillId="14" borderId="26" xfId="4" applyNumberFormat="1" applyFont="1" applyFill="1" applyBorder="1" applyAlignment="1">
      <alignment horizontal="center" vertical="center"/>
    </xf>
    <xf numFmtId="0" fontId="26" fillId="16" borderId="26" xfId="4" applyFont="1" applyFill="1" applyBorder="1" applyAlignment="1">
      <alignment horizontal="left" vertical="top" wrapText="1"/>
    </xf>
    <xf numFmtId="0" fontId="13" fillId="0" borderId="0" xfId="4" applyFont="1" applyAlignment="1">
      <alignment horizontal="left" vertical="top" wrapText="1"/>
    </xf>
  </cellXfs>
  <cellStyles count="6">
    <cellStyle name="Comma 4" xfId="3" xr:uid="{00000000-0005-0000-0000-000000000000}"/>
    <cellStyle name="Normal" xfId="0" builtinId="0"/>
    <cellStyle name="Normal 2" xfId="1" xr:uid="{00000000-0005-0000-0000-000002000000}"/>
    <cellStyle name="Normal 2 2" xfId="2" xr:uid="{00000000-0005-0000-0000-000003000000}"/>
    <cellStyle name="Normal 3" xfId="4" xr:uid="{00000000-0005-0000-0000-000004000000}"/>
    <cellStyle name="Percent" xfId="5" builtinId="5"/>
  </cellStyles>
  <dxfs count="1">
    <dxf>
      <font>
        <color theme="1"/>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36</xdr:row>
      <xdr:rowOff>95250</xdr:rowOff>
    </xdr:to>
    <xdr:pic>
      <xdr:nvPicPr>
        <xdr:cNvPr id="2" name="Picture 1">
          <a:extLst>
            <a:ext uri="{FF2B5EF4-FFF2-40B4-BE49-F238E27FC236}">
              <a16:creationId xmlns:a16="http://schemas.microsoft.com/office/drawing/2014/main" id="{3C27E39A-D23D-4ED7-BC16-3BAE01CA4433}"/>
            </a:ext>
          </a:extLst>
        </xdr:cNvPr>
        <xdr:cNvPicPr>
          <a:picLocks noChangeAspect="1"/>
        </xdr:cNvPicPr>
      </xdr:nvPicPr>
      <xdr:blipFill>
        <a:blip xmlns:r="http://schemas.openxmlformats.org/officeDocument/2006/relationships" r:embed="rId1"/>
        <a:stretch>
          <a:fillRect/>
        </a:stretch>
      </xdr:blipFill>
      <xdr:spPr>
        <a:xfrm>
          <a:off x="0" y="0"/>
          <a:ext cx="6381750" cy="6981825"/>
        </a:xfrm>
        <a:prstGeom prst="rect">
          <a:avLst/>
        </a:prstGeom>
      </xdr:spPr>
    </xdr:pic>
    <xdr:clientData/>
  </xdr:twoCellAnchor>
  <xdr:twoCellAnchor editAs="oneCell">
    <xdr:from>
      <xdr:col>0</xdr:col>
      <xdr:colOff>0</xdr:colOff>
      <xdr:row>36</xdr:row>
      <xdr:rowOff>104775</xdr:rowOff>
    </xdr:from>
    <xdr:to>
      <xdr:col>2</xdr:col>
      <xdr:colOff>57150</xdr:colOff>
      <xdr:row>48</xdr:row>
      <xdr:rowOff>0</xdr:rowOff>
    </xdr:to>
    <xdr:pic>
      <xdr:nvPicPr>
        <xdr:cNvPr id="3" name="Picture 2">
          <a:extLst>
            <a:ext uri="{FF2B5EF4-FFF2-40B4-BE49-F238E27FC236}">
              <a16:creationId xmlns:a16="http://schemas.microsoft.com/office/drawing/2014/main" id="{FC132A35-43E1-4F7F-91F3-BC34B4F27A80}"/>
            </a:ext>
            <a:ext uri="{147F2762-F138-4A5C-976F-8EAC2B608ADB}">
              <a16:predDERef xmlns:a16="http://schemas.microsoft.com/office/drawing/2014/main" pred="{3C27E39A-D23D-4ED7-BC16-3BAE01CA4433}"/>
            </a:ext>
          </a:extLst>
        </xdr:cNvPr>
        <xdr:cNvPicPr>
          <a:picLocks noChangeAspect="1"/>
        </xdr:cNvPicPr>
      </xdr:nvPicPr>
      <xdr:blipFill>
        <a:blip xmlns:r="http://schemas.openxmlformats.org/officeDocument/2006/relationships" r:embed="rId2"/>
        <a:stretch>
          <a:fillRect/>
        </a:stretch>
      </xdr:blipFill>
      <xdr:spPr>
        <a:xfrm>
          <a:off x="0" y="6991350"/>
          <a:ext cx="6438900" cy="2181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838200</xdr:colOff>
      <xdr:row>0</xdr:row>
      <xdr:rowOff>257175</xdr:rowOff>
    </xdr:from>
    <xdr:to>
      <xdr:col>12</xdr:col>
      <xdr:colOff>95250</xdr:colOff>
      <xdr:row>6</xdr:row>
      <xdr:rowOff>57150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6180" t="33595" r="26341" b="31889"/>
        <a:stretch>
          <a:fillRect/>
        </a:stretch>
      </xdr:blipFill>
      <xdr:spPr bwMode="auto">
        <a:xfrm>
          <a:off x="13525500" y="257175"/>
          <a:ext cx="2819400" cy="1447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workbookViewId="0">
      <selection activeCell="D2" sqref="D2"/>
    </sheetView>
  </sheetViews>
  <sheetFormatPr defaultRowHeight="15"/>
  <cols>
    <col min="1" max="1" width="86.5703125" customWidth="1"/>
  </cols>
  <sheetData>
    <row r="1" spans="1:4" ht="17.25">
      <c r="A1" s="139"/>
      <c r="D1" t="s">
        <v>0</v>
      </c>
    </row>
  </sheetData>
  <pageMargins left="0.7" right="0.7" top="0.75" bottom="0.75" header="0.3" footer="0.3"/>
  <headerFooter>
    <oddFooter>&amp;C_x000D_&amp;1#&amp;"Calibri"&amp;10&amp;K000000 Document classification: L3 - Normal.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6838-00FA-4F91-ABCD-B78B2F1472B6}">
  <dimension ref="A1:AE5"/>
  <sheetViews>
    <sheetView tabSelected="1" workbookViewId="0">
      <selection activeCell="B6" sqref="B6"/>
    </sheetView>
  </sheetViews>
  <sheetFormatPr defaultRowHeight="15"/>
  <cols>
    <col min="1" max="1" width="13.42578125" bestFit="1" customWidth="1"/>
    <col min="2" max="2" width="21.42578125" customWidth="1"/>
    <col min="3" max="3" width="18" bestFit="1" customWidth="1"/>
    <col min="4" max="4" width="9.85546875" bestFit="1" customWidth="1"/>
    <col min="5" max="5" width="9.5703125" bestFit="1" customWidth="1"/>
    <col min="6" max="6" width="12.85546875" bestFit="1" customWidth="1"/>
    <col min="7" max="7" width="21" bestFit="1" customWidth="1"/>
    <col min="8" max="8" width="6" bestFit="1" customWidth="1"/>
    <col min="9" max="9" width="5.28515625" bestFit="1" customWidth="1"/>
    <col min="10" max="10" width="15.140625" bestFit="1" customWidth="1"/>
    <col min="11" max="12" width="24.42578125" bestFit="1" customWidth="1"/>
    <col min="13" max="13" width="18.5703125" customWidth="1"/>
    <col min="14" max="14" width="11" customWidth="1"/>
    <col min="15" max="15" width="13.85546875" bestFit="1" customWidth="1"/>
    <col min="16" max="16" width="106.5703125" bestFit="1" customWidth="1"/>
    <col min="17" max="17" width="25.5703125" customWidth="1"/>
    <col min="18" max="18" width="21.140625" bestFit="1" customWidth="1"/>
    <col min="19" max="19" width="24.28515625" bestFit="1" customWidth="1"/>
    <col min="20" max="20" width="14.5703125" bestFit="1" customWidth="1"/>
    <col min="21" max="21" width="15.7109375" bestFit="1" customWidth="1"/>
    <col min="22" max="22" width="15.5703125" bestFit="1" customWidth="1"/>
    <col min="23" max="23" width="10.42578125" bestFit="1" customWidth="1"/>
    <col min="24" max="25" width="17.28515625" bestFit="1" customWidth="1"/>
    <col min="26" max="27" width="17.28515625" customWidth="1"/>
    <col min="28" max="28" width="23.42578125" bestFit="1" customWidth="1"/>
    <col min="29" max="29" width="13.5703125" bestFit="1" customWidth="1"/>
    <col min="30" max="31" width="20.5703125" bestFit="1" customWidth="1"/>
  </cols>
  <sheetData>
    <row r="1" spans="1:31">
      <c r="A1" s="231" t="s">
        <v>609</v>
      </c>
      <c r="B1" s="231" t="s">
        <v>604</v>
      </c>
      <c r="C1" s="231" t="s">
        <v>605</v>
      </c>
      <c r="D1" s="231" t="s">
        <v>606</v>
      </c>
      <c r="E1" s="231" t="s">
        <v>607</v>
      </c>
      <c r="F1" s="231" t="s">
        <v>608</v>
      </c>
      <c r="G1" s="231" t="s">
        <v>610</v>
      </c>
      <c r="H1" s="231" t="s">
        <v>157</v>
      </c>
      <c r="I1" s="231" t="s">
        <v>571</v>
      </c>
      <c r="J1" s="235" t="s">
        <v>574</v>
      </c>
      <c r="K1" s="231" t="s">
        <v>575</v>
      </c>
      <c r="L1" s="231" t="s">
        <v>572</v>
      </c>
      <c r="M1" s="231" t="s">
        <v>573</v>
      </c>
      <c r="N1" s="231" t="s">
        <v>576</v>
      </c>
      <c r="O1" s="231" t="s">
        <v>577</v>
      </c>
      <c r="P1" s="231" t="s">
        <v>578</v>
      </c>
      <c r="Q1" s="235" t="s">
        <v>599</v>
      </c>
      <c r="R1" s="235" t="s">
        <v>598</v>
      </c>
      <c r="S1" s="231" t="s">
        <v>579</v>
      </c>
      <c r="T1" s="231" t="s">
        <v>580</v>
      </c>
      <c r="U1" s="231" t="s">
        <v>581</v>
      </c>
      <c r="V1" s="231" t="s">
        <v>582</v>
      </c>
      <c r="W1" s="231" t="s">
        <v>19</v>
      </c>
      <c r="X1" s="231" t="s">
        <v>583</v>
      </c>
      <c r="Y1" s="231" t="s">
        <v>591</v>
      </c>
      <c r="Z1" s="231" t="s">
        <v>592</v>
      </c>
      <c r="AA1" s="231" t="s">
        <v>593</v>
      </c>
      <c r="AB1" s="235" t="s">
        <v>584</v>
      </c>
      <c r="AC1" s="231" t="s">
        <v>585</v>
      </c>
      <c r="AD1" s="231" t="s">
        <v>586</v>
      </c>
      <c r="AE1" s="231" t="s">
        <v>587</v>
      </c>
    </row>
    <row r="2" spans="1:31" ht="18" customHeight="1">
      <c r="A2" t="str">
        <f>'Product Launch Brief - PM'!AB4</f>
        <v>FIIX018</v>
      </c>
      <c r="B2" t="str">
        <f>'Product Launch Brief - PM'!F4 &amp; " " &amp;'Product Launch Brief - PM'!G4</f>
        <v>2 Year Fixed Large Loan</v>
      </c>
      <c r="C2">
        <f>'Product Launch Brief - PM'!H4*100</f>
        <v>5.09</v>
      </c>
      <c r="D2" t="str">
        <f>LEFT('Product Launch Brief - PM'!F4, FIND(" ", 'Product Launch Brief - PM'!F4, FIND(" ", 'Product Launch Brief - PM'!F4) + 1) - 1)</f>
        <v>2 Year</v>
      </c>
      <c r="E2" t="str">
        <f>APRCs!M2</f>
        <v>Fixed</v>
      </c>
      <c r="F2" s="232">
        <f>'Product Launch Brief - PM'!E4</f>
        <v>46234</v>
      </c>
      <c r="G2">
        <f>'Product Launch Brief - PM'!R4*100</f>
        <v>5.94</v>
      </c>
      <c r="H2" s="236">
        <f>APRCs!I2*100</f>
        <v>6.8000000000000007</v>
      </c>
      <c r="I2">
        <f>'Product Launch Brief - PM'!J4</f>
        <v>999</v>
      </c>
      <c r="J2" t="s">
        <v>588</v>
      </c>
      <c r="K2" t="s">
        <v>596</v>
      </c>
      <c r="L2" t="s">
        <v>596</v>
      </c>
      <c r="M2" t="s">
        <v>597</v>
      </c>
      <c r="N2" t="str">
        <f>IF(OR('Product Launch Brief - PM'!G4="Self Employed", 'Product Launch Brief - PM'!G4="Government First Home Scheme"), "both", 'Product Launch Brief - PM'!V4)</f>
        <v>N</v>
      </c>
      <c r="O2" t="str">
        <f>'Product Launch Brief - PM'!G4</f>
        <v>Large Loan</v>
      </c>
      <c r="P2" t="str">
        <f>"Initial rate of " &amp; C2 &amp; " until " &amp; TEXT(F2, "dd mmmm, yyyy") &amp; " reverting to our Standard variable rate (Currently " &amp; G2 &amp; ") from " &amp; TEXT(F2 + 1, " dd mmmm, yyyy")</f>
        <v>Initial rate of 5.09 until 31 July, 2026 reverting to our Standard variable rate (Currently 5.94) from  01 August, 2026</v>
      </c>
      <c r="Q2">
        <v>1000</v>
      </c>
      <c r="R2">
        <f>IF(O2 = "Residential",
    CHOOSE(MATCH('Product Launch Brief - PM'!I4, {0.6,0.65,0.7,0.75,0.8,0.85,0.9,0.95}, 0),
    'MaxMin Loans'!B2, 'MaxMin Loans'!B3, 'MaxMin Loans'!B4,
    'MaxMin Loans'!B5, 'MaxMin Loans'!B6, 'MaxMin Loans'!B7,
    'MaxMin Loans'!B8, 'MaxMin Loans'!B9),
    IF(O2 = "Buy to Let",
        CHOOSE(MATCH('Product Launch Brief - PM'!I4, {0.7,0.75,0.8}, 0),
        'MaxMin Loans'!B12, 'MaxMin Loans'!B11, 'MaxMin Loans'!B10),
        IF(O2 = "Help to Buy",
            'MaxMin Loans'!B13,
            IF(OR(O2 = "Self Build - B/Store", O2 = "Self Build - B/Loan", O2 = "Custom Build - B/Store", O2 = "Custom Build - B/Loan", O2 = "Accelerate Custom Build B/Store", O2 = "Accelerate Custom Build B/Loan", O2 = "Accelerate Self Build B/Store", O2 = "Accelerate Self Build B/Loan"),
                'MaxMin Loans'!B14,
                IF(O2 = "Large Loan",
                    IF('Product Launch Brief - PM'!I4 &lt;= 0.65, 'MaxMin Loans'!B15,
                    IF('Product Launch Brief - PM'!I4 &lt;= 0.75, 'MaxMin Loans'!B16,
                    IF('Product Launch Brief - PM'!I4 = 0.8, 'MaxMin Loans'!B17,
                    ""
                    ))),
                    ""
                )
            )
        )
    )
)</f>
        <v>1500000</v>
      </c>
      <c r="S2" s="233" t="s">
        <v>589</v>
      </c>
      <c r="T2" t="str">
        <f>D2</f>
        <v>2 Year</v>
      </c>
      <c r="U2">
        <v>0</v>
      </c>
      <c r="V2">
        <f>'Product Launch Brief - PM'!J4</f>
        <v>999</v>
      </c>
      <c r="W2" t="s">
        <v>590</v>
      </c>
      <c r="X2" t="str">
        <f>IFERROR(
    MID('Product Launch Brief - PM'!P4,
        FIND("£", 'Product Launch Brief - PM'!P4, FIND("£", 'Product Launch Brief - PM'!P4) + 1) + 1,
        FIND("cashback", 'Product Launch Brief - PM'!P4) - FIND("£", 'Product Launch Brief - PM'!P4, FIND("£", 'Product Launch Brief - PM'!P4) + 1) - 1
    ),
    ""
)</f>
        <v xml:space="preserve">500 </v>
      </c>
      <c r="Y2" t="str">
        <f>IF(ISNUMBER(SEARCH("Free standard valuation up to £500k", 'Product Launch Brief - PM'!P4)), "Y", "N")</f>
        <v>Y</v>
      </c>
      <c r="Z2" t="str">
        <f>IF(ISNUMBER(SEARCH("Free Legals", 'Product Launch Brief - PM'!P4)), "Y", "N")</f>
        <v>N</v>
      </c>
      <c r="AA2" t="str">
        <f>IF(ISNUMBER(SEARCH("10% overpayments per annum", 'Product Launch Brief - PM'!P4)), "Y", "N")</f>
        <v>N</v>
      </c>
      <c r="AB2" t="s">
        <v>594</v>
      </c>
      <c r="AC2" t="s">
        <v>595</v>
      </c>
      <c r="AD2" t="s">
        <v>596</v>
      </c>
      <c r="AE2" t="s">
        <v>596</v>
      </c>
    </row>
    <row r="3" spans="1:31" ht="18" customHeight="1">
      <c r="A3" t="str">
        <f>'Product Launch Brief - PM'!AB5</f>
        <v>FIIX019</v>
      </c>
      <c r="B3" t="str">
        <f>'Product Launch Brief - PM'!F5 &amp; " " &amp;'Product Launch Brief - PM'!G5</f>
        <v>2 Year Fixed Residential</v>
      </c>
      <c r="C3">
        <f>'Product Launch Brief - PM'!H5*100</f>
        <v>5.29</v>
      </c>
      <c r="D3" t="str">
        <f>LEFT('Product Launch Brief - PM'!F5, FIND(" ", 'Product Launch Brief - PM'!F5, FIND(" ", 'Product Launch Brief - PM'!F5) + 1) - 1)</f>
        <v>2 Year</v>
      </c>
      <c r="E3" t="str">
        <f>APRCs!M3</f>
        <v>Fixed</v>
      </c>
      <c r="F3" s="232">
        <f>'Product Launch Brief - PM'!E5</f>
        <v>46234</v>
      </c>
      <c r="G3">
        <f>'Product Launch Brief - PM'!R5*100</f>
        <v>5.94</v>
      </c>
      <c r="H3" s="236">
        <f>APRCs!I3*100</f>
        <v>6.8000000000000007</v>
      </c>
      <c r="I3">
        <f>'Product Launch Brief - PM'!J5</f>
        <v>0</v>
      </c>
      <c r="J3" t="s">
        <v>588</v>
      </c>
      <c r="K3" t="s">
        <v>596</v>
      </c>
      <c r="L3" t="s">
        <v>596</v>
      </c>
      <c r="M3" t="s">
        <v>597</v>
      </c>
      <c r="N3" t="str">
        <f>IF(OR('Product Launch Brief - PM'!G5="Self Employed", 'Product Launch Brief - PM'!G5="Government First Home Scheme"), "both", 'Product Launch Brief - PM'!V5)</f>
        <v>N</v>
      </c>
      <c r="O3" t="str">
        <f>'Product Launch Brief - PM'!G5</f>
        <v>Residential</v>
      </c>
      <c r="P3" t="str">
        <f t="shared" ref="P3:P5" si="0">"Initial rate of " &amp; C3 &amp; " until " &amp; TEXT(F3, "dd mmmm, yyyy") &amp; " reverting to our Standard variable rate (Currently " &amp; G3 &amp; ") from " &amp; TEXT(F3 + 1, " dd mmmm, yyyy")</f>
        <v>Initial rate of 5.29 until 31 July, 2026 reverting to our Standard variable rate (Currently 5.94) from  01 August, 2026</v>
      </c>
      <c r="Q3">
        <v>1001</v>
      </c>
      <c r="R3">
        <f>IF(O3 = "Residential",
    CHOOSE(MATCH('Product Launch Brief - PM'!I5, {0.6,0.65,0.7,0.75,0.8,0.85,0.9,0.95}, 0),
    'MaxMin Loans'!B3, 'MaxMin Loans'!B4, 'MaxMin Loans'!B5,
    'MaxMin Loans'!B6, 'MaxMin Loans'!B7, 'MaxMin Loans'!B8,
    'MaxMin Loans'!B9, 'MaxMin Loans'!B10),
    IF(O3 = "Buy to Let",
        CHOOSE(MATCH('Product Launch Brief - PM'!I5, {0.7,0.75,0.8}, 0),
        'MaxMin Loans'!B13, 'MaxMin Loans'!B12, 'MaxMin Loans'!B11),
        IF(O3 = "Help to Buy",
            'MaxMin Loans'!B14,
            IF(OR(O3 = "Self Build - B/Store", O3 = "Self Build - B/Loan", O3 = "Custom Build - B/Store", O3 = "Custom Build - B/Loan", O3 = "Accelerate Custom Build B/Store", O3 = "Accelerate Custom Build B/Loan", O3 = "Accelerate Self Build B/Store", O3 = "Accelerate Self Build B/Loan"),
                'MaxMin Loans'!B15,
                IF(O3 = "Large Loan",
                    IF('Product Launch Brief - PM'!I5 &lt;= 0.65, 'MaxMin Loans'!B16,
                    IF('Product Launch Brief - PM'!I5 &lt;= 0.75, 'MaxMin Loans'!B17,
                    IF('Product Launch Brief - PM'!I5 = 0.8, 'MaxMin Loans'!B18,
                    ""
                    ))),
                    ""
                )
            )
        )
    )
)</f>
        <v>750000</v>
      </c>
      <c r="S3" s="233" t="s">
        <v>589</v>
      </c>
      <c r="T3" t="str">
        <f t="shared" ref="T3:T5" si="1">D3</f>
        <v>2 Year</v>
      </c>
      <c r="U3">
        <v>1</v>
      </c>
      <c r="V3">
        <f>'Product Launch Brief - PM'!J5</f>
        <v>0</v>
      </c>
      <c r="W3" t="s">
        <v>590</v>
      </c>
      <c r="X3" t="str">
        <f>IFERROR(
    MID('Product Launch Brief - PM'!P5,
        FIND("£", 'Product Launch Brief - PM'!P5, FIND("£", 'Product Launch Brief - PM'!P5) + 1) + 1,
        FIND("cashback", 'Product Launch Brief - PM'!P5) - FIND("£", 'Product Launch Brief - PM'!P5, FIND("£", 'Product Launch Brief - PM'!P5) + 1) - 1
    ),
    ""
)</f>
        <v/>
      </c>
      <c r="Y3" t="str">
        <f>IF(ISNUMBER(SEARCH("Free standard valuation up to £500k", 'Product Launch Brief - PM'!P5)), "Y", "N")</f>
        <v>Y</v>
      </c>
      <c r="Z3" t="str">
        <f>IF(ISNUMBER(SEARCH("Free Legals", 'Product Launch Brief - PM'!P5)), "Y", "N")</f>
        <v>N</v>
      </c>
      <c r="AA3" t="str">
        <f>IF(ISNUMBER(SEARCH("10% overpayments per annum", 'Product Launch Brief - PM'!P5)), "Y", "N")</f>
        <v>Y</v>
      </c>
      <c r="AB3" t="s">
        <v>594</v>
      </c>
      <c r="AC3" t="s">
        <v>595</v>
      </c>
      <c r="AD3" t="s">
        <v>596</v>
      </c>
      <c r="AE3" t="s">
        <v>596</v>
      </c>
    </row>
    <row r="4" spans="1:31" ht="18" customHeight="1">
      <c r="A4" t="str">
        <f>'Product Launch Brief - PM'!AB6</f>
        <v>FIIX020</v>
      </c>
      <c r="B4" t="str">
        <f>'Product Launch Brief - PM'!F6 &amp; " " &amp;'Product Launch Brief - PM'!G6</f>
        <v>5 Year Fixed Self Employed</v>
      </c>
      <c r="C4">
        <f>'Product Launch Brief - PM'!H6*100</f>
        <v>4.8</v>
      </c>
      <c r="D4" t="str">
        <f>LEFT('Product Launch Brief - PM'!F6, FIND(" ", 'Product Launch Brief - PM'!F6, FIND(" ", 'Product Launch Brief - PM'!F6) + 1) - 1)</f>
        <v>5 Year</v>
      </c>
      <c r="E4" t="str">
        <f>APRCs!M4</f>
        <v>Fixed</v>
      </c>
      <c r="F4" s="232">
        <f>'Product Launch Brief - PM'!E6</f>
        <v>47330</v>
      </c>
      <c r="G4">
        <f>'Product Launch Brief - PM'!R6*100</f>
        <v>5.94</v>
      </c>
      <c r="H4" s="236">
        <f>APRCs!I4*100</f>
        <v>6.2</v>
      </c>
      <c r="I4">
        <f>'Product Launch Brief - PM'!J6</f>
        <v>0</v>
      </c>
      <c r="J4" t="s">
        <v>588</v>
      </c>
      <c r="K4" t="s">
        <v>596</v>
      </c>
      <c r="L4" t="s">
        <v>596</v>
      </c>
      <c r="M4" t="s">
        <v>597</v>
      </c>
      <c r="N4" t="str">
        <f>IF(OR('Product Launch Brief - PM'!G6="Self Employed", 'Product Launch Brief - PM'!G6="Government First Home Scheme"), "both", 'Product Launch Brief - PM'!V6)</f>
        <v>both</v>
      </c>
      <c r="O4" t="str">
        <f>'Product Launch Brief - PM'!G6</f>
        <v>Self Employed</v>
      </c>
      <c r="P4" t="str">
        <f t="shared" si="0"/>
        <v>Initial rate of 4.8 until 31 July, 2029 reverting to our Standard variable rate (Currently 5.94) from  01 August, 2029</v>
      </c>
      <c r="Q4">
        <v>1002</v>
      </c>
      <c r="R4" t="str">
        <f>IF(O4 = "Residential",
    CHOOSE(MATCH('Product Launch Brief - PM'!I6, {0.6,0.65,0.7,0.75,0.8,0.85,0.9,0.95}, 0),
    'MaxMin Loans'!B4, 'MaxMin Loans'!B5, 'MaxMin Loans'!B6,
    'MaxMin Loans'!B7, 'MaxMin Loans'!B8, 'MaxMin Loans'!B9,
    'MaxMin Loans'!B10, 'MaxMin Loans'!B11),
    IF(O4 = "Buy to Let",
        CHOOSE(MATCH('Product Launch Brief - PM'!I6, {0.7,0.75,0.8}, 0),
        'MaxMin Loans'!B14, 'MaxMin Loans'!B13, 'MaxMin Loans'!B12),
        IF(O4 = "Help to Buy",
            'MaxMin Loans'!B15,
            IF(OR(O4 = "Self Build - B/Store", O4 = "Self Build - B/Loan", O4 = "Custom Build - B/Store", O4 = "Custom Build - B/Loan", O4 = "Accelerate Custom Build B/Store", O4 = "Accelerate Custom Build B/Loan", O4 = "Accelerate Self Build B/Store", O4 = "Accelerate Self Build B/Loan"),
                'MaxMin Loans'!B16,
                IF(O4 = "Large Loan",
                    IF('Product Launch Brief - PM'!I6 &lt;= 0.65, 'MaxMin Loans'!B17,
                    IF('Product Launch Brief - PM'!I6 &lt;= 0.75, 'MaxMin Loans'!B18,
                    IF('Product Launch Brief - PM'!I6 = 0.8, 'MaxMin Loans'!B19,
                    ""
                    ))),
                    ""
                )
            )
        )
    )
)</f>
        <v/>
      </c>
      <c r="S4" s="233" t="s">
        <v>589</v>
      </c>
      <c r="T4" t="str">
        <f t="shared" si="1"/>
        <v>5 Year</v>
      </c>
      <c r="U4">
        <v>2</v>
      </c>
      <c r="V4">
        <f>'Product Launch Brief - PM'!J6</f>
        <v>0</v>
      </c>
      <c r="W4" t="s">
        <v>590</v>
      </c>
      <c r="X4" t="str">
        <f>IFERROR(
    MID('Product Launch Brief - PM'!P6,
        FIND("£", 'Product Launch Brief - PM'!P6, FIND("£", 'Product Launch Brief - PM'!P6) + 1) + 1,
        FIND("cashback", 'Product Launch Brief - PM'!P6) - FIND("£", 'Product Launch Brief - PM'!P6, FIND("£", 'Product Launch Brief - PM'!P6) + 1) - 1
    ),
    ""
)</f>
        <v/>
      </c>
      <c r="Y4" t="str">
        <f>IF(ISNUMBER(SEARCH("Free standard valuation up to £500k", 'Product Launch Brief - PM'!P6)), "Y", "N")</f>
        <v>Y</v>
      </c>
      <c r="Z4" t="str">
        <f>IF(ISNUMBER(SEARCH("Free Legals", 'Product Launch Brief - PM'!P6)), "Y", "N")</f>
        <v>N</v>
      </c>
      <c r="AA4" t="str">
        <f>IF(ISNUMBER(SEARCH("10% overpayments per annum", 'Product Launch Brief - PM'!P6)), "Y", "N")</f>
        <v>Y</v>
      </c>
      <c r="AB4" t="s">
        <v>594</v>
      </c>
      <c r="AC4" t="s">
        <v>595</v>
      </c>
      <c r="AD4" t="s">
        <v>596</v>
      </c>
      <c r="AE4" t="s">
        <v>596</v>
      </c>
    </row>
    <row r="5" spans="1:31" ht="18" customHeight="1">
      <c r="A5" t="str">
        <f>'Product Launch Brief - PM'!AB7</f>
        <v>FIIX021</v>
      </c>
      <c r="B5" t="str">
        <f>'Product Launch Brief - PM'!F7 &amp; " " &amp;'Product Launch Brief - PM'!G7</f>
        <v>5 Year Fixed Residential</v>
      </c>
      <c r="C5">
        <f>'Product Launch Brief - PM'!H7*100</f>
        <v>4.66</v>
      </c>
      <c r="D5" t="str">
        <f>LEFT('Product Launch Brief - PM'!F7, FIND(" ", 'Product Launch Brief - PM'!F7, FIND(" ", 'Product Launch Brief - PM'!F7) + 1) - 1)</f>
        <v>5 Year</v>
      </c>
      <c r="E5" t="str">
        <f>APRCs!M5</f>
        <v>Fixed</v>
      </c>
      <c r="F5" s="232">
        <f>'Product Launch Brief - PM'!E7</f>
        <v>47330</v>
      </c>
      <c r="G5">
        <f>'Product Launch Brief - PM'!R7*100</f>
        <v>5.94</v>
      </c>
      <c r="H5" s="236">
        <f>APRCs!I5*100</f>
        <v>6.2</v>
      </c>
      <c r="I5">
        <f>'Product Launch Brief - PM'!J7</f>
        <v>999</v>
      </c>
      <c r="J5" t="s">
        <v>588</v>
      </c>
      <c r="K5" t="s">
        <v>596</v>
      </c>
      <c r="L5" t="s">
        <v>596</v>
      </c>
      <c r="M5" t="s">
        <v>597</v>
      </c>
      <c r="N5" t="str">
        <f>IF(OR('Product Launch Brief - PM'!G7="Self Employed", 'Product Launch Brief - PM'!G7="Government First Home Scheme"), "both", 'Product Launch Brief - PM'!V7)</f>
        <v>N</v>
      </c>
      <c r="O5" t="str">
        <f>'Product Launch Brief - PM'!G7</f>
        <v>Residential</v>
      </c>
      <c r="P5" t="str">
        <f t="shared" si="0"/>
        <v>Initial rate of 4.66 until 31 July, 2029 reverting to our Standard variable rate (Currently 5.94) from  01 August, 2029</v>
      </c>
      <c r="Q5">
        <v>1003</v>
      </c>
      <c r="R5">
        <f>IF(O5 = "Residential",
    CHOOSE(MATCH('Product Launch Brief - PM'!I7, {0.6,0.65,0.7,0.75,0.8,0.85,0.9,0.95}, 0),
    'MaxMin Loans'!B5, 'MaxMin Loans'!B6, 'MaxMin Loans'!B7,
    'MaxMin Loans'!B8, 'MaxMin Loans'!B9, 'MaxMin Loans'!B10,
    'MaxMin Loans'!B11, 'MaxMin Loans'!B12),
    IF(O5 = "Buy to Let",
        CHOOSE(MATCH('Product Launch Brief - PM'!I7, {0.7,0.75,0.8}, 0),
        'MaxMin Loans'!B15, 'MaxMin Loans'!B14, 'MaxMin Loans'!B13),
        IF(O5 = "Help to Buy",
            'MaxMin Loans'!B16,
            IF(OR(O5 = "Self Build - B/Store", O5 = "Self Build - B/Loan", O5 = "Custom Build - B/Store", O5 = "Custom Build - B/Loan", O5 = "Accelerate Custom Build B/Store", O5 = "Accelerate Custom Build B/Loan", O5 = "Accelerate Self Build B/Store", O5 = "Accelerate Self Build B/Loan"),
                'MaxMin Loans'!B17,
                IF(O5 = "Large Loan",
                    IF('Product Launch Brief - PM'!I7 &lt;= 0.65, 'MaxMin Loans'!B18,
                    IF('Product Launch Brief - PM'!I7 &lt;= 0.75, 'MaxMin Loans'!B19,
                    IF('Product Launch Brief - PM'!I7 = 0.8, 'MaxMin Loans'!B20,
                    ""
                    ))),
                    ""
                )
            )
        )
    )
)</f>
        <v>500000</v>
      </c>
      <c r="S5" s="233" t="s">
        <v>589</v>
      </c>
      <c r="T5" t="str">
        <f t="shared" si="1"/>
        <v>5 Year</v>
      </c>
      <c r="U5">
        <v>3</v>
      </c>
      <c r="V5">
        <f>'Product Launch Brief - PM'!J7</f>
        <v>999</v>
      </c>
      <c r="W5" t="s">
        <v>590</v>
      </c>
      <c r="X5" t="str">
        <f>IFERROR(
    MID('Product Launch Brief - PM'!P7,
        FIND("£", 'Product Launch Brief - PM'!P7, FIND("£", 'Product Launch Brief - PM'!P7) + 1) + 1,
        FIND("cashback", 'Product Launch Brief - PM'!P7) - FIND("£", 'Product Launch Brief - PM'!P7, FIND("£", 'Product Launch Brief - PM'!P7) + 1) - 1
    ),
    ""
)</f>
        <v/>
      </c>
      <c r="Y5" t="str">
        <f>IF(ISNUMBER(SEARCH("Free standard valuation up to £500k", 'Product Launch Brief - PM'!P7)), "Y", "N")</f>
        <v>N</v>
      </c>
      <c r="Z5" t="str">
        <f>IF(ISNUMBER(SEARCH("Free Legals", 'Product Launch Brief - PM'!P7)), "Y", "N")</f>
        <v>N</v>
      </c>
      <c r="AA5" t="str">
        <f>IF(ISNUMBER(SEARCH("10% overpayments per annum", 'Product Launch Brief - PM'!P7)), "Y", "N")</f>
        <v>Y</v>
      </c>
      <c r="AB5" t="s">
        <v>594</v>
      </c>
      <c r="AC5" t="s">
        <v>595</v>
      </c>
      <c r="AD5" t="s">
        <v>596</v>
      </c>
      <c r="AE5"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E60"/>
  <sheetViews>
    <sheetView topLeftCell="E2" zoomScale="85" zoomScaleNormal="85" workbookViewId="0">
      <selection activeCell="G4" sqref="G4"/>
    </sheetView>
  </sheetViews>
  <sheetFormatPr defaultRowHeight="15" customHeight="1"/>
  <cols>
    <col min="1" max="1" width="10.28515625" bestFit="1" customWidth="1"/>
    <col min="2" max="2" width="12" bestFit="1" customWidth="1"/>
    <col min="3" max="3" width="11.85546875" bestFit="1" customWidth="1"/>
    <col min="4" max="4" width="14.140625" customWidth="1"/>
    <col min="5" max="5" width="13.42578125" bestFit="1" customWidth="1"/>
    <col min="6" max="6" width="20.28515625" customWidth="1"/>
    <col min="7" max="7" width="34.42578125" customWidth="1"/>
    <col min="8" max="8" width="9.140625" style="141"/>
    <col min="9" max="9" width="9.140625" style="214"/>
    <col min="10" max="10" width="11.28515625" style="141" customWidth="1"/>
    <col min="11" max="11" width="15.85546875" style="141" customWidth="1"/>
    <col min="12" max="12" width="8.85546875" style="138" customWidth="1"/>
    <col min="13" max="13" width="9.140625" style="141"/>
    <col min="14" max="14" width="9.140625" style="141" bestFit="1" customWidth="1"/>
    <col min="15" max="15" width="14.85546875" style="218" bestFit="1" customWidth="1"/>
    <col min="16" max="16" width="74.42578125" customWidth="1"/>
    <col min="17" max="17" width="9.85546875" customWidth="1"/>
    <col min="18" max="18" width="15" customWidth="1"/>
    <col min="19" max="19" width="12" customWidth="1"/>
    <col min="20" max="21" width="9.140625" customWidth="1"/>
    <col min="22" max="22" width="10.28515625" customWidth="1"/>
    <col min="23" max="24" width="12" customWidth="1"/>
    <col min="25" max="25" width="13.42578125" customWidth="1"/>
    <col min="26" max="26" width="13.42578125" style="141" customWidth="1"/>
    <col min="27" max="27" width="14" style="8" customWidth="1"/>
    <col min="28" max="29" width="14.140625" bestFit="1" customWidth="1"/>
  </cols>
  <sheetData>
    <row r="1" spans="1:31" ht="21.75" customHeight="1" thickBot="1">
      <c r="A1" s="239" t="s">
        <v>1</v>
      </c>
      <c r="B1" s="239"/>
      <c r="C1" s="239"/>
      <c r="D1" s="240" t="s">
        <v>2</v>
      </c>
      <c r="E1" s="241">
        <f>COUNT(H4:H1048576)</f>
        <v>31</v>
      </c>
      <c r="F1" s="156"/>
      <c r="G1" s="157"/>
      <c r="H1" s="208"/>
      <c r="I1" s="212"/>
      <c r="J1" s="208"/>
      <c r="K1" s="208"/>
      <c r="L1" s="222"/>
      <c r="M1" s="208"/>
      <c r="N1" s="208"/>
      <c r="O1" s="216"/>
      <c r="P1" s="157"/>
      <c r="Q1" s="157"/>
      <c r="R1" s="157"/>
      <c r="S1" s="157"/>
      <c r="T1" s="157"/>
      <c r="U1" s="157"/>
      <c r="V1" s="157"/>
      <c r="W1" s="157"/>
      <c r="X1" s="157"/>
      <c r="Y1" s="157"/>
      <c r="Z1" s="208"/>
      <c r="AA1" s="237" t="s">
        <v>3</v>
      </c>
      <c r="AB1" s="237"/>
      <c r="AC1" s="237"/>
      <c r="AE1">
        <f>COUNTIF(G4:G31,"Government First Home Scheme")</f>
        <v>0</v>
      </c>
    </row>
    <row r="2" spans="1:31" ht="33" customHeight="1">
      <c r="A2" s="239"/>
      <c r="B2" s="239"/>
      <c r="C2" s="239"/>
      <c r="D2" s="240"/>
      <c r="E2" s="241"/>
      <c r="F2" s="158"/>
      <c r="G2" s="160" t="str">
        <f>IF(AE1&gt;0,"Government First Home Scheme LTV should be 95%"," ")</f>
        <v xml:space="preserve"> </v>
      </c>
      <c r="H2" s="209"/>
      <c r="I2" s="213"/>
      <c r="J2" s="209"/>
      <c r="K2" s="209"/>
      <c r="L2" s="223"/>
      <c r="M2" s="209"/>
      <c r="N2" s="209"/>
      <c r="O2" s="217"/>
      <c r="P2" s="159"/>
      <c r="Q2" s="157"/>
      <c r="R2" s="157"/>
      <c r="S2" s="157"/>
      <c r="T2" s="157"/>
      <c r="U2" s="157"/>
      <c r="V2" s="157"/>
      <c r="W2" s="157"/>
      <c r="X2" s="157"/>
      <c r="Y2" s="159"/>
      <c r="Z2" s="209"/>
      <c r="AA2" s="238"/>
      <c r="AB2" s="238"/>
      <c r="AC2" s="238"/>
    </row>
    <row r="3" spans="1:31" ht="37.5" customHeight="1">
      <c r="A3" s="2" t="s">
        <v>4</v>
      </c>
      <c r="B3" s="5" t="s">
        <v>5</v>
      </c>
      <c r="C3" s="6" t="s">
        <v>6</v>
      </c>
      <c r="D3" s="3" t="s">
        <v>7</v>
      </c>
      <c r="E3" s="3" t="s">
        <v>8</v>
      </c>
      <c r="F3" s="6" t="s">
        <v>9</v>
      </c>
      <c r="G3" s="155" t="s">
        <v>10</v>
      </c>
      <c r="H3" s="154" t="s">
        <v>11</v>
      </c>
      <c r="I3" s="202" t="s">
        <v>12</v>
      </c>
      <c r="J3" s="7" t="s">
        <v>13</v>
      </c>
      <c r="K3" s="7" t="s">
        <v>14</v>
      </c>
      <c r="L3" s="202" t="s">
        <v>15</v>
      </c>
      <c r="M3" s="7" t="s">
        <v>16</v>
      </c>
      <c r="N3" s="7" t="s">
        <v>17</v>
      </c>
      <c r="O3" s="203" t="s">
        <v>18</v>
      </c>
      <c r="P3" s="6" t="s">
        <v>19</v>
      </c>
      <c r="Q3" s="3" t="s">
        <v>20</v>
      </c>
      <c r="R3" s="165" t="s">
        <v>21</v>
      </c>
      <c r="S3" s="155" t="s">
        <v>22</v>
      </c>
      <c r="T3" s="140" t="s">
        <v>23</v>
      </c>
      <c r="U3" s="47" t="s">
        <v>24</v>
      </c>
      <c r="V3" s="48" t="s">
        <v>25</v>
      </c>
      <c r="W3" s="47" t="s">
        <v>26</v>
      </c>
      <c r="X3" s="47" t="s">
        <v>27</v>
      </c>
      <c r="Y3" s="46" t="s">
        <v>28</v>
      </c>
      <c r="Z3" s="46" t="s">
        <v>18</v>
      </c>
      <c r="AA3" s="201" t="s">
        <v>29</v>
      </c>
      <c r="AB3" s="9" t="s">
        <v>30</v>
      </c>
      <c r="AC3" s="4" t="s">
        <v>31</v>
      </c>
      <c r="AE3" t="s">
        <v>32</v>
      </c>
    </row>
    <row r="4" spans="1:31" ht="14.45" customHeight="1">
      <c r="C4" s="1"/>
      <c r="D4" s="1">
        <v>45370</v>
      </c>
      <c r="E4" s="1">
        <v>46234</v>
      </c>
      <c r="F4" t="s">
        <v>33</v>
      </c>
      <c r="G4" t="s">
        <v>59</v>
      </c>
      <c r="H4" s="210">
        <v>5.0900000000000001E-2</v>
      </c>
      <c r="I4" s="214">
        <v>0.7</v>
      </c>
      <c r="J4" s="141">
        <v>999</v>
      </c>
      <c r="K4" s="141" t="s">
        <v>35</v>
      </c>
      <c r="M4" s="210">
        <v>1.26E-2</v>
      </c>
      <c r="N4" s="210">
        <v>0.2843</v>
      </c>
      <c r="O4" s="218">
        <v>10000000</v>
      </c>
      <c r="P4" s="234" t="s">
        <v>517</v>
      </c>
      <c r="Q4" s="227"/>
      <c r="R4" s="141" t="str">
        <f t="shared" ref="R4:R26" si="0">IF(F4="","","5.94%")</f>
        <v>5.94%</v>
      </c>
      <c r="S4" s="141" t="s">
        <v>37</v>
      </c>
      <c r="T4" s="228" t="str">
        <f t="shared" ref="T4" si="1">IF(G4="","",IF(G4="Residential - Existing Customer only","N",IF(G4="Residential - Interest Only - Existing Customer only","N",IF(G4="Residential - Remortgage","N",IF(G4="Large Loan - Existing Customer only","N",IF(G4="Buy to Let","N",IF(G4="Buy to Let - Existing Customer only","N",IF(G4="Help to Buy - Existing Customer only","N",IF(G4="Joint Mortgage Sole Proprietor - Existing Customer only","N","Y")))))))))</f>
        <v>Y</v>
      </c>
      <c r="U4" s="228" t="str">
        <f t="shared" ref="U4" si="2">IF(G4="","",IF(G4="Government First Home Scheme","N",IF(G4="Residential - Existing Customer only","N",IF(G4="Residential - Interest Only - Existing Customer only","N",IF(G4="Residential - LISA Exclusive","N",IF(G4="Residential - Remortgage","N",IF(G4="Large Loan - Existing Customer only","N",IF(G4="Buy to Let - Existing Customer only","N",IF(G4="Help to Buy - Existing Customer only","N",IF(G4="Joint Mortgage Sole Proprietor - Existing Customer only","N","Y"))))))))))</f>
        <v>Y</v>
      </c>
      <c r="V4" s="228" t="str">
        <f t="shared" ref="V4" si="3">IF(G4="","",IF(G4="Residential - Existing Customer only","Y",IF(G4="Residential - Interest Only - Existing Customer only","Y",IF(G4="Large Loan - Existing Customer only","Y",IF(G4="Buy to Let - Existing Customer only","Y",IF(G4="Help to Buy - Existing Customer only","Y",IF(G4="Joint Mortgage Sole Proprietor - Existing Customer only","Y","N")))))))</f>
        <v>N</v>
      </c>
      <c r="W4" s="228" t="str">
        <f t="shared" ref="W4" si="4">IF(G4="","",IF(G4="Shared Ownership","N",IF(G4="Residential - Existing Customer only","N",IF(G4="Residential - Interest Only - Existing Customer only","N",IF(G4="Residential - LISA Exclusive","N",IF(G4="Large Loan - Existing Customer only","N",IF(G4="Buy to Let - Existing Customer only","N",IF(G4="Help to Buy - Existing Customer only","N",IF(G4="Joint Mortgage Sole Proprietor - Existing Customer only","N",IF(G4="Deposit Unlock","N",IF(G4="Government First Home Scheme","N","Y")))))))))))</f>
        <v>Y</v>
      </c>
      <c r="X4" s="228" t="str">
        <f t="shared" ref="X4" si="5">IF(G4="","",IF(G4="Residential","Direct",IF(G4="Residential - Discounted Rate","Direct",IF(G4="Residential - Interest Only","Direct",IF(G4="Large Loan","Direct",IF(G4="Large Loan - Discounted Rate","Direct",IF(G4="Joint Mortgage Sole Proprietor","Direct",IF(G4="Self Employed","Direct",IF(G4="Residential - LISA Exclusive","Direct",IF(G4="Residential - Remortgage","Direct",IF(G4="Residential - NE Exclusive","Direct","Non-Direct")))))))))))</f>
        <v>Direct</v>
      </c>
      <c r="Z4" s="229"/>
      <c r="AA4" s="230">
        <v>105071</v>
      </c>
      <c r="AB4" t="s">
        <v>38</v>
      </c>
    </row>
    <row r="5" spans="1:31" ht="14.45" customHeight="1">
      <c r="C5" s="1"/>
      <c r="D5" s="1">
        <v>45370</v>
      </c>
      <c r="E5" s="1">
        <v>46234</v>
      </c>
      <c r="F5" t="s">
        <v>33</v>
      </c>
      <c r="G5" t="s">
        <v>34</v>
      </c>
      <c r="H5" s="210">
        <v>5.2900000000000003E-2</v>
      </c>
      <c r="I5" s="214">
        <v>0.8</v>
      </c>
      <c r="K5" s="141" t="s">
        <v>35</v>
      </c>
      <c r="M5" s="210">
        <v>1.2500000000000001E-2</v>
      </c>
      <c r="N5" s="210">
        <v>0.28179999999999999</v>
      </c>
      <c r="O5" s="218">
        <v>20000000</v>
      </c>
      <c r="P5" t="s">
        <v>39</v>
      </c>
      <c r="Q5" s="227"/>
      <c r="R5" s="141" t="str">
        <f t="shared" si="0"/>
        <v>5.94%</v>
      </c>
      <c r="S5" s="141" t="s">
        <v>37</v>
      </c>
      <c r="T5" s="228" t="str">
        <f t="shared" ref="T5:T56" si="6">IF(G5="","",IF(G5="Residential - Existing Customer only","N",IF(G5="Residential - Interest Only - Existing Customer only","N",IF(G5="Residential - Remortgage","N",IF(G5="Large Loan - Existing Customer only","N",IF(G5="Buy to Let","N",IF(G5="Buy to Let - Existing Customer only","N",IF(G5="Help to Buy - Existing Customer only","N",IF(G5="Joint Mortgage Sole Proprietor - Existing Customer only","N","Y")))))))))</f>
        <v>Y</v>
      </c>
      <c r="U5" s="228" t="str">
        <f t="shared" ref="U5:U56" si="7">IF(G5="","",IF(G5="Government First Home Scheme","N",IF(G5="Residential - Existing Customer only","N",IF(G5="Residential - Interest Only - Existing Customer only","N",IF(G5="Residential - LISA Exclusive","N",IF(G5="Residential - Remortgage","N",IF(G5="Large Loan - Existing Customer only","N",IF(G5="Buy to Let - Existing Customer only","N",IF(G5="Help to Buy - Existing Customer only","N",IF(G5="Joint Mortgage Sole Proprietor - Existing Customer only","N","Y"))))))))))</f>
        <v>Y</v>
      </c>
      <c r="V5" s="228" t="str">
        <f t="shared" ref="V5:V56" si="8">IF(G5="","",IF(G5="Residential - Existing Customer only","Y",IF(G5="Residential - Interest Only - Existing Customer only","Y",IF(G5="Large Loan - Existing Customer only","Y",IF(G5="Buy to Let - Existing Customer only","Y",IF(G5="Help to Buy - Existing Customer only","Y",IF(G5="Joint Mortgage Sole Proprietor - Existing Customer only","Y","N")))))))</f>
        <v>N</v>
      </c>
      <c r="W5" s="228" t="str">
        <f t="shared" ref="W5:W56" si="9">IF(G5="","",IF(G5="Shared Ownership","N",IF(G5="Residential - Existing Customer only","N",IF(G5="Residential - Interest Only - Existing Customer only","N",IF(G5="Residential - LISA Exclusive","N",IF(G5="Large Loan - Existing Customer only","N",IF(G5="Buy to Let - Existing Customer only","N",IF(G5="Help to Buy - Existing Customer only","N",IF(G5="Joint Mortgage Sole Proprietor - Existing Customer only","N",IF(G5="Deposit Unlock","N",IF(G5="Government First Home Scheme","N","Y")))))))))))</f>
        <v>Y</v>
      </c>
      <c r="X5" s="228" t="str">
        <f t="shared" ref="X5:X56" si="10">IF(G5="","",IF(G5="Residential","Direct",IF(G5="Residential - Discounted Rate","Direct",IF(G5="Residential - Interest Only","Direct",IF(G5="Large Loan","Direct",IF(G5="Large Loan - Discounted Rate","Direct",IF(G5="Joint Mortgage Sole Proprietor","Direct",IF(G5="Self Employed","Direct",IF(G5="Residential - LISA Exclusive","Direct",IF(G5="Residential - Remortgage","Direct",IF(G5="Residential - NE Exclusive","Direct","Non-Direct")))))))))))</f>
        <v>Direct</v>
      </c>
      <c r="Z5" s="229"/>
      <c r="AA5" s="230">
        <v>105072</v>
      </c>
      <c r="AB5" t="s">
        <v>40</v>
      </c>
    </row>
    <row r="6" spans="1:31" ht="14.45" customHeight="1">
      <c r="C6" s="1"/>
      <c r="D6" s="1">
        <v>45370</v>
      </c>
      <c r="E6" s="1">
        <v>47330</v>
      </c>
      <c r="F6" t="s">
        <v>41</v>
      </c>
      <c r="G6" t="s">
        <v>519</v>
      </c>
      <c r="H6" s="210">
        <v>4.8000000000000001E-2</v>
      </c>
      <c r="I6" s="214">
        <v>0.8</v>
      </c>
      <c r="K6" s="141" t="s">
        <v>42</v>
      </c>
      <c r="M6" s="210">
        <v>1.2500000000000001E-2</v>
      </c>
      <c r="N6" s="210">
        <v>0.28270000000000001</v>
      </c>
      <c r="O6" s="218">
        <v>15000000</v>
      </c>
      <c r="P6" t="s">
        <v>39</v>
      </c>
      <c r="Q6" s="227"/>
      <c r="R6" s="141" t="str">
        <f t="shared" si="0"/>
        <v>5.94%</v>
      </c>
      <c r="S6" s="141" t="s">
        <v>37</v>
      </c>
      <c r="T6" s="228" t="str">
        <f t="shared" si="6"/>
        <v>Y</v>
      </c>
      <c r="U6" s="228" t="str">
        <f t="shared" si="7"/>
        <v>Y</v>
      </c>
      <c r="V6" s="228" t="str">
        <f t="shared" si="8"/>
        <v>N</v>
      </c>
      <c r="W6" s="228" t="str">
        <f t="shared" si="9"/>
        <v>Y</v>
      </c>
      <c r="X6" s="228" t="str">
        <f t="shared" si="10"/>
        <v>Direct</v>
      </c>
      <c r="Z6" s="229"/>
      <c r="AA6" s="230">
        <v>105074</v>
      </c>
      <c r="AB6" t="s">
        <v>43</v>
      </c>
    </row>
    <row r="7" spans="1:31">
      <c r="C7" s="1"/>
      <c r="D7" s="1">
        <v>45370</v>
      </c>
      <c r="E7" s="1">
        <v>47330</v>
      </c>
      <c r="F7" t="s">
        <v>41</v>
      </c>
      <c r="G7" t="s">
        <v>34</v>
      </c>
      <c r="H7" s="210">
        <v>4.6600000000000003E-2</v>
      </c>
      <c r="I7" s="214">
        <v>0.8</v>
      </c>
      <c r="J7" s="141">
        <v>999</v>
      </c>
      <c r="K7" s="141" t="s">
        <v>42</v>
      </c>
      <c r="M7" s="210">
        <v>1.24E-2</v>
      </c>
      <c r="N7" s="210">
        <v>0.27989999999999998</v>
      </c>
      <c r="O7" s="218">
        <v>15000000</v>
      </c>
      <c r="P7" t="s">
        <v>36</v>
      </c>
      <c r="Q7" s="227"/>
      <c r="R7" s="141" t="str">
        <f t="shared" ref="R7" si="11">IF(F7="","","5.94%")</f>
        <v>5.94%</v>
      </c>
      <c r="S7" s="141" t="s">
        <v>37</v>
      </c>
      <c r="T7" s="228" t="str">
        <f t="shared" ref="T7" si="12">IF(G7="","",IF(G7="Residential - Existing Customer only","N",IF(G7="Residential - Interest Only - Existing Customer only","N",IF(G7="Residential - Remortgage","N",IF(G7="Large Loan - Existing Customer only","N",IF(G7="Buy to Let","N",IF(G7="Buy to Let - Existing Customer only","N",IF(G7="Help to Buy - Existing Customer only","N",IF(G7="Joint Mortgage Sole Proprietor - Existing Customer only","N","Y")))))))))</f>
        <v>Y</v>
      </c>
      <c r="U7" s="228" t="str">
        <f t="shared" ref="U7" si="13">IF(G7="","",IF(G7="Government First Home Scheme","N",IF(G7="Residential - Existing Customer only","N",IF(G7="Residential - Interest Only - Existing Customer only","N",IF(G7="Residential - LISA Exclusive","N",IF(G7="Residential - Remortgage","N",IF(G7="Large Loan - Existing Customer only","N",IF(G7="Buy to Let - Existing Customer only","N",IF(G7="Help to Buy - Existing Customer only","N",IF(G7="Joint Mortgage Sole Proprietor - Existing Customer only","N","Y"))))))))))</f>
        <v>Y</v>
      </c>
      <c r="V7" s="228" t="str">
        <f t="shared" ref="V7" si="14">IF(G7="","",IF(G7="Residential - Existing Customer only","Y",IF(G7="Residential - Interest Only - Existing Customer only","Y",IF(G7="Large Loan - Existing Customer only","Y",IF(G7="Buy to Let - Existing Customer only","Y",IF(G7="Help to Buy - Existing Customer only","Y",IF(G7="Joint Mortgage Sole Proprietor - Existing Customer only","Y","N")))))))</f>
        <v>N</v>
      </c>
      <c r="W7" s="228" t="str">
        <f t="shared" ref="W7" si="15">IF(G7="","",IF(G7="Shared Ownership","N",IF(G7="Residential - Existing Customer only","N",IF(G7="Residential - Interest Only - Existing Customer only","N",IF(G7="Residential - LISA Exclusive","N",IF(G7="Large Loan - Existing Customer only","N",IF(G7="Buy to Let - Existing Customer only","N",IF(G7="Help to Buy - Existing Customer only","N",IF(G7="Joint Mortgage Sole Proprietor - Existing Customer only","N",IF(G7="Deposit Unlock","N",IF(G7="Government First Home Scheme","N","Y")))))))))))</f>
        <v>Y</v>
      </c>
      <c r="X7" s="228" t="str">
        <f t="shared" ref="X7" si="16">IF(G7="","",IF(G7="Residential","Direct",IF(G7="Residential - Discounted Rate","Direct",IF(G7="Residential - Interest Only","Direct",IF(G7="Large Loan","Direct",IF(G7="Large Loan - Discounted Rate","Direct",IF(G7="Joint Mortgage Sole Proprietor","Direct",IF(G7="Self Employed","Direct",IF(G7="Residential - LISA Exclusive","Direct",IF(G7="Residential - Remortgage","Direct",IF(G7="Residential - NE Exclusive","Direct","Non-Direct")))))))))))</f>
        <v>Direct</v>
      </c>
      <c r="Z7" s="229"/>
      <c r="AA7" s="230">
        <v>105076</v>
      </c>
      <c r="AB7" t="s">
        <v>44</v>
      </c>
    </row>
    <row r="8" spans="1:31">
      <c r="C8" s="1"/>
      <c r="D8" s="1">
        <v>45370</v>
      </c>
      <c r="E8" s="1">
        <v>46234</v>
      </c>
      <c r="F8" t="s">
        <v>33</v>
      </c>
      <c r="G8" t="s">
        <v>34</v>
      </c>
      <c r="H8" s="210">
        <v>5.5E-2</v>
      </c>
      <c r="I8" s="214">
        <v>0.9</v>
      </c>
      <c r="K8" s="141" t="s">
        <v>35</v>
      </c>
      <c r="M8" s="210">
        <v>1.41E-2</v>
      </c>
      <c r="N8" s="210">
        <v>0.28349999999999997</v>
      </c>
      <c r="O8" s="218">
        <v>10000000</v>
      </c>
      <c r="P8" t="s">
        <v>39</v>
      </c>
      <c r="R8" s="141" t="str">
        <f t="shared" si="0"/>
        <v>5.94%</v>
      </c>
      <c r="S8" s="141" t="s">
        <v>37</v>
      </c>
      <c r="T8" s="228" t="str">
        <f t="shared" si="6"/>
        <v>Y</v>
      </c>
      <c r="U8" s="228" t="str">
        <f t="shared" si="7"/>
        <v>Y</v>
      </c>
      <c r="V8" s="228" t="str">
        <f t="shared" si="8"/>
        <v>N</v>
      </c>
      <c r="W8" s="228" t="str">
        <f t="shared" si="9"/>
        <v>Y</v>
      </c>
      <c r="X8" s="228" t="str">
        <f t="shared" si="10"/>
        <v>Direct</v>
      </c>
      <c r="Z8" s="229"/>
      <c r="AA8" s="230">
        <v>105078</v>
      </c>
      <c r="AB8" t="s">
        <v>45</v>
      </c>
    </row>
    <row r="9" spans="1:31">
      <c r="C9" s="1"/>
      <c r="D9" s="1">
        <v>45370</v>
      </c>
      <c r="E9" s="1">
        <v>47330</v>
      </c>
      <c r="F9" t="s">
        <v>41</v>
      </c>
      <c r="G9" t="s">
        <v>34</v>
      </c>
      <c r="H9" s="210">
        <v>4.99E-2</v>
      </c>
      <c r="I9" s="214">
        <v>0.9</v>
      </c>
      <c r="K9" s="141" t="s">
        <v>42</v>
      </c>
      <c r="M9" s="210">
        <v>1.43E-2</v>
      </c>
      <c r="N9" s="210">
        <v>0.28720000000000001</v>
      </c>
      <c r="O9" s="218">
        <v>10000000</v>
      </c>
      <c r="P9" t="s">
        <v>39</v>
      </c>
      <c r="R9" s="141" t="str">
        <f t="shared" si="0"/>
        <v>5.94%</v>
      </c>
      <c r="S9" s="141" t="s">
        <v>37</v>
      </c>
      <c r="T9" s="228" t="str">
        <f t="shared" si="6"/>
        <v>Y</v>
      </c>
      <c r="U9" s="228" t="str">
        <f t="shared" si="7"/>
        <v>Y</v>
      </c>
      <c r="V9" s="228" t="str">
        <f t="shared" si="8"/>
        <v>N</v>
      </c>
      <c r="W9" s="228" t="str">
        <f t="shared" si="9"/>
        <v>Y</v>
      </c>
      <c r="X9" s="228" t="str">
        <f t="shared" si="10"/>
        <v>Direct</v>
      </c>
      <c r="Z9" s="229"/>
      <c r="AA9" s="230">
        <v>105080</v>
      </c>
      <c r="AB9" t="s">
        <v>46</v>
      </c>
    </row>
    <row r="10" spans="1:31">
      <c r="C10" s="1"/>
      <c r="D10" s="1">
        <v>45370</v>
      </c>
      <c r="E10" s="1">
        <v>47330</v>
      </c>
      <c r="F10" t="s">
        <v>41</v>
      </c>
      <c r="G10" t="s">
        <v>34</v>
      </c>
      <c r="H10" s="210">
        <v>4.8500000000000001E-2</v>
      </c>
      <c r="I10" s="214">
        <v>0.9</v>
      </c>
      <c r="J10" s="141">
        <v>999</v>
      </c>
      <c r="K10" s="141" t="s">
        <v>42</v>
      </c>
      <c r="M10" s="210">
        <v>1.41E-2</v>
      </c>
      <c r="N10" s="210">
        <v>0.28249999999999997</v>
      </c>
      <c r="O10" s="218">
        <v>10000000</v>
      </c>
      <c r="P10" t="s">
        <v>36</v>
      </c>
      <c r="R10" s="141" t="str">
        <f t="shared" si="0"/>
        <v>5.94%</v>
      </c>
      <c r="S10" s="141" t="s">
        <v>37</v>
      </c>
      <c r="T10" s="228" t="str">
        <f t="shared" si="6"/>
        <v>Y</v>
      </c>
      <c r="U10" s="228" t="str">
        <f t="shared" si="7"/>
        <v>Y</v>
      </c>
      <c r="V10" s="228" t="str">
        <f t="shared" si="8"/>
        <v>N</v>
      </c>
      <c r="W10" s="228" t="str">
        <f t="shared" si="9"/>
        <v>Y</v>
      </c>
      <c r="X10" s="228" t="str">
        <f t="shared" si="10"/>
        <v>Direct</v>
      </c>
      <c r="Z10" s="229"/>
      <c r="AA10" s="230">
        <v>105082</v>
      </c>
      <c r="AB10" t="s">
        <v>47</v>
      </c>
    </row>
    <row r="11" spans="1:31">
      <c r="C11" s="1"/>
      <c r="D11" s="1">
        <v>45370</v>
      </c>
      <c r="E11" s="1">
        <v>46234</v>
      </c>
      <c r="F11" t="s">
        <v>33</v>
      </c>
      <c r="G11" t="s">
        <v>34</v>
      </c>
      <c r="H11" s="210">
        <v>5.3499999999999999E-2</v>
      </c>
      <c r="I11" s="214">
        <v>0.95</v>
      </c>
      <c r="J11" s="141">
        <v>999</v>
      </c>
      <c r="K11" s="141" t="s">
        <v>35</v>
      </c>
      <c r="M11" s="210">
        <v>1.49E-2</v>
      </c>
      <c r="N11" s="210">
        <v>0.28589999999999999</v>
      </c>
      <c r="O11" s="218">
        <v>10000000</v>
      </c>
      <c r="P11" t="s">
        <v>36</v>
      </c>
      <c r="R11" s="141" t="str">
        <f t="shared" si="0"/>
        <v>5.94%</v>
      </c>
      <c r="S11" s="141" t="s">
        <v>37</v>
      </c>
      <c r="T11" s="228" t="str">
        <f t="shared" si="6"/>
        <v>Y</v>
      </c>
      <c r="U11" s="228" t="str">
        <f t="shared" si="7"/>
        <v>Y</v>
      </c>
      <c r="V11" s="228" t="str">
        <f t="shared" si="8"/>
        <v>N</v>
      </c>
      <c r="W11" s="228" t="str">
        <f t="shared" si="9"/>
        <v>Y</v>
      </c>
      <c r="X11" s="228" t="str">
        <f t="shared" si="10"/>
        <v>Direct</v>
      </c>
      <c r="Z11" s="229"/>
      <c r="AA11" s="230">
        <v>105085</v>
      </c>
      <c r="AB11" t="s">
        <v>48</v>
      </c>
    </row>
    <row r="12" spans="1:31">
      <c r="C12" s="1"/>
      <c r="D12" s="1">
        <v>45370</v>
      </c>
      <c r="E12" s="1">
        <v>46234</v>
      </c>
      <c r="F12" t="s">
        <v>33</v>
      </c>
      <c r="G12" t="s">
        <v>34</v>
      </c>
      <c r="H12" s="210">
        <v>5.6899999999999999E-2</v>
      </c>
      <c r="I12" s="214">
        <v>0.95</v>
      </c>
      <c r="K12" s="141" t="s">
        <v>35</v>
      </c>
      <c r="M12" s="210">
        <v>1.4999999999999999E-2</v>
      </c>
      <c r="N12" s="210">
        <v>0.2868</v>
      </c>
      <c r="O12" s="218">
        <v>10000000</v>
      </c>
      <c r="P12" t="s">
        <v>49</v>
      </c>
      <c r="R12" s="141" t="str">
        <f t="shared" si="0"/>
        <v>5.94%</v>
      </c>
      <c r="S12" s="141" t="s">
        <v>37</v>
      </c>
      <c r="T12" s="228" t="str">
        <f t="shared" si="6"/>
        <v>Y</v>
      </c>
      <c r="U12" s="228" t="str">
        <f t="shared" si="7"/>
        <v>Y</v>
      </c>
      <c r="V12" s="228" t="str">
        <f t="shared" si="8"/>
        <v>N</v>
      </c>
      <c r="W12" s="228" t="str">
        <f t="shared" si="9"/>
        <v>Y</v>
      </c>
      <c r="X12" s="228" t="str">
        <f t="shared" si="10"/>
        <v>Direct</v>
      </c>
      <c r="Z12" s="229"/>
      <c r="AA12" s="230">
        <v>105088</v>
      </c>
      <c r="AB12" t="s">
        <v>50</v>
      </c>
    </row>
    <row r="13" spans="1:31">
      <c r="C13" s="1"/>
      <c r="D13" s="1">
        <v>45370</v>
      </c>
      <c r="E13" s="1">
        <v>47330</v>
      </c>
      <c r="F13" t="s">
        <v>41</v>
      </c>
      <c r="G13" t="s">
        <v>51</v>
      </c>
      <c r="H13" s="210">
        <v>4.7500000000000001E-2</v>
      </c>
      <c r="I13" s="214">
        <v>0.8</v>
      </c>
      <c r="K13" s="141" t="s">
        <v>42</v>
      </c>
      <c r="M13" s="210">
        <v>1.2800000000000001E-2</v>
      </c>
      <c r="N13" s="210">
        <v>0.28820000000000001</v>
      </c>
      <c r="O13" s="218">
        <v>5000000</v>
      </c>
      <c r="P13" t="s">
        <v>36</v>
      </c>
      <c r="R13" s="141" t="str">
        <f t="shared" si="0"/>
        <v>5.94%</v>
      </c>
      <c r="S13" s="141" t="s">
        <v>52</v>
      </c>
      <c r="T13" s="228" t="str">
        <f t="shared" si="6"/>
        <v>N</v>
      </c>
      <c r="U13" s="228" t="str">
        <f t="shared" si="7"/>
        <v>N</v>
      </c>
      <c r="V13" s="228" t="str">
        <f t="shared" si="8"/>
        <v>Y</v>
      </c>
      <c r="W13" s="228" t="str">
        <f t="shared" si="9"/>
        <v>N</v>
      </c>
      <c r="X13" s="228" t="str">
        <f t="shared" si="10"/>
        <v>Non-Direct</v>
      </c>
      <c r="Z13" s="229"/>
      <c r="AA13" s="230">
        <v>105092</v>
      </c>
      <c r="AB13" t="s">
        <v>53</v>
      </c>
    </row>
    <row r="14" spans="1:31">
      <c r="C14" s="1"/>
      <c r="D14" s="1">
        <v>45370</v>
      </c>
      <c r="E14" s="1">
        <v>47330</v>
      </c>
      <c r="F14" t="s">
        <v>41</v>
      </c>
      <c r="G14" t="s">
        <v>51</v>
      </c>
      <c r="H14" s="210">
        <v>4.5999999999999999E-2</v>
      </c>
      <c r="I14" s="214">
        <v>0.8</v>
      </c>
      <c r="J14" s="141">
        <v>999</v>
      </c>
      <c r="K14" s="141" t="s">
        <v>42</v>
      </c>
      <c r="M14" s="210">
        <v>1.26E-2</v>
      </c>
      <c r="N14" s="210">
        <v>0.28439999999999999</v>
      </c>
      <c r="O14" s="218">
        <v>5000000</v>
      </c>
      <c r="P14" t="s">
        <v>532</v>
      </c>
      <c r="R14" s="141" t="str">
        <f t="shared" si="0"/>
        <v>5.94%</v>
      </c>
      <c r="S14" s="141" t="s">
        <v>52</v>
      </c>
      <c r="T14" s="228" t="str">
        <f t="shared" si="6"/>
        <v>N</v>
      </c>
      <c r="U14" s="228" t="str">
        <f t="shared" si="7"/>
        <v>N</v>
      </c>
      <c r="V14" s="228" t="str">
        <f t="shared" si="8"/>
        <v>Y</v>
      </c>
      <c r="W14" s="228" t="str">
        <f t="shared" si="9"/>
        <v>N</v>
      </c>
      <c r="X14" s="228" t="str">
        <f t="shared" si="10"/>
        <v>Non-Direct</v>
      </c>
      <c r="Z14" s="229"/>
      <c r="AA14" s="230">
        <v>105094</v>
      </c>
      <c r="AB14" t="s">
        <v>54</v>
      </c>
    </row>
    <row r="15" spans="1:31">
      <c r="C15" s="1"/>
      <c r="D15" s="1">
        <v>45370</v>
      </c>
      <c r="E15" s="1">
        <v>46234</v>
      </c>
      <c r="F15" t="s">
        <v>33</v>
      </c>
      <c r="G15" t="s">
        <v>55</v>
      </c>
      <c r="H15" s="210">
        <v>5.3499999999999999E-2</v>
      </c>
      <c r="I15" s="214">
        <v>0.95</v>
      </c>
      <c r="J15" s="141">
        <v>999</v>
      </c>
      <c r="K15" s="141" t="s">
        <v>35</v>
      </c>
      <c r="M15" s="210">
        <v>1.4999999999999999E-2</v>
      </c>
      <c r="N15" s="210">
        <v>0.2878</v>
      </c>
      <c r="O15" s="218">
        <v>2000000</v>
      </c>
      <c r="P15" t="s">
        <v>36</v>
      </c>
      <c r="R15" s="141" t="str">
        <f t="shared" si="0"/>
        <v>5.94%</v>
      </c>
      <c r="S15" s="141" t="s">
        <v>37</v>
      </c>
      <c r="T15" s="228" t="str">
        <f t="shared" si="6"/>
        <v>Y</v>
      </c>
      <c r="U15" s="228" t="str">
        <f t="shared" si="7"/>
        <v>Y</v>
      </c>
      <c r="V15" s="228" t="str">
        <f t="shared" si="8"/>
        <v>N</v>
      </c>
      <c r="W15" s="228" t="str">
        <f t="shared" si="9"/>
        <v>N</v>
      </c>
      <c r="X15" s="228" t="str">
        <f t="shared" si="10"/>
        <v>Non-Direct</v>
      </c>
      <c r="Z15" s="229"/>
      <c r="AA15" s="8">
        <v>105070</v>
      </c>
      <c r="AB15" t="s">
        <v>56</v>
      </c>
    </row>
    <row r="16" spans="1:31">
      <c r="C16" s="1"/>
      <c r="D16" s="1">
        <v>45370</v>
      </c>
      <c r="E16" s="1">
        <v>46234</v>
      </c>
      <c r="F16" t="s">
        <v>33</v>
      </c>
      <c r="G16" t="s">
        <v>55</v>
      </c>
      <c r="H16" s="210">
        <v>5.6899999999999999E-2</v>
      </c>
      <c r="I16" s="214">
        <v>0.95</v>
      </c>
      <c r="K16" s="141" t="s">
        <v>35</v>
      </c>
      <c r="M16" s="210">
        <v>1.5800000000000002E-2</v>
      </c>
      <c r="N16" s="210">
        <v>0.3019</v>
      </c>
      <c r="O16" s="218">
        <v>2000000</v>
      </c>
      <c r="P16" t="s">
        <v>49</v>
      </c>
      <c r="R16" s="141" t="str">
        <f t="shared" si="0"/>
        <v>5.94%</v>
      </c>
      <c r="S16" s="141" t="s">
        <v>37</v>
      </c>
      <c r="T16" s="228" t="str">
        <f t="shared" si="6"/>
        <v>Y</v>
      </c>
      <c r="U16" s="228" t="str">
        <f t="shared" si="7"/>
        <v>Y</v>
      </c>
      <c r="V16" s="228" t="str">
        <f t="shared" si="8"/>
        <v>N</v>
      </c>
      <c r="W16" s="228" t="str">
        <f t="shared" si="9"/>
        <v>N</v>
      </c>
      <c r="X16" s="228" t="str">
        <f t="shared" si="10"/>
        <v>Non-Direct</v>
      </c>
      <c r="Z16" s="229"/>
      <c r="AA16" s="8">
        <v>105073</v>
      </c>
      <c r="AB16" t="s">
        <v>57</v>
      </c>
    </row>
    <row r="17" spans="3:28">
      <c r="C17" s="1"/>
      <c r="D17" s="1">
        <v>45370</v>
      </c>
      <c r="E17" s="1">
        <v>46234</v>
      </c>
      <c r="F17" t="s">
        <v>58</v>
      </c>
      <c r="G17" t="s">
        <v>59</v>
      </c>
      <c r="H17" s="210">
        <v>5.9900000000000002E-2</v>
      </c>
      <c r="I17" s="214">
        <v>0.65</v>
      </c>
      <c r="J17" s="141">
        <v>1999</v>
      </c>
      <c r="K17" s="141" t="s">
        <v>60</v>
      </c>
      <c r="L17" s="138">
        <v>0.03</v>
      </c>
      <c r="M17" s="210">
        <v>1.26E-2</v>
      </c>
      <c r="N17" s="210">
        <v>0.28489999999999999</v>
      </c>
      <c r="O17" s="218">
        <v>2000000</v>
      </c>
      <c r="P17" t="s">
        <v>36</v>
      </c>
      <c r="R17" s="141" t="str">
        <f t="shared" si="0"/>
        <v>5.94%</v>
      </c>
      <c r="S17" s="141" t="s">
        <v>52</v>
      </c>
      <c r="T17" s="228" t="str">
        <f t="shared" si="6"/>
        <v>Y</v>
      </c>
      <c r="U17" s="228" t="str">
        <f t="shared" si="7"/>
        <v>Y</v>
      </c>
      <c r="V17" s="228" t="str">
        <f t="shared" si="8"/>
        <v>N</v>
      </c>
      <c r="W17" s="228" t="str">
        <f t="shared" si="9"/>
        <v>Y</v>
      </c>
      <c r="X17" s="228" t="str">
        <f t="shared" si="10"/>
        <v>Direct</v>
      </c>
      <c r="Z17" s="229">
        <v>5148</v>
      </c>
      <c r="AA17" s="8">
        <v>105075</v>
      </c>
      <c r="AB17" t="s">
        <v>61</v>
      </c>
    </row>
    <row r="18" spans="3:28">
      <c r="C18" s="1"/>
      <c r="D18" s="1">
        <v>45370</v>
      </c>
      <c r="E18" s="1">
        <v>46234</v>
      </c>
      <c r="F18" t="s">
        <v>33</v>
      </c>
      <c r="G18" t="s">
        <v>59</v>
      </c>
      <c r="H18" s="210">
        <v>5.1499999999999997E-2</v>
      </c>
      <c r="I18" s="214">
        <v>0.65</v>
      </c>
      <c r="J18" s="141">
        <v>1999</v>
      </c>
      <c r="K18" s="141" t="s">
        <v>35</v>
      </c>
      <c r="M18" s="210">
        <v>1.2800000000000001E-2</v>
      </c>
      <c r="N18" s="210">
        <v>0.28939999999999999</v>
      </c>
      <c r="O18" s="218">
        <v>2000000</v>
      </c>
      <c r="P18" t="s">
        <v>36</v>
      </c>
      <c r="R18" s="141" t="str">
        <f t="shared" si="0"/>
        <v>5.94%</v>
      </c>
      <c r="S18" s="141" t="s">
        <v>52</v>
      </c>
      <c r="T18" s="228" t="str">
        <f t="shared" si="6"/>
        <v>Y</v>
      </c>
      <c r="U18" s="228" t="str">
        <f t="shared" si="7"/>
        <v>Y</v>
      </c>
      <c r="V18" s="228" t="str">
        <f t="shared" si="8"/>
        <v>N</v>
      </c>
      <c r="W18" s="228" t="str">
        <f t="shared" si="9"/>
        <v>Y</v>
      </c>
      <c r="X18" s="228" t="str">
        <f t="shared" si="10"/>
        <v>Direct</v>
      </c>
      <c r="Z18" s="229">
        <v>5150</v>
      </c>
      <c r="AA18" s="8">
        <v>105077</v>
      </c>
      <c r="AB18" t="s">
        <v>62</v>
      </c>
    </row>
    <row r="19" spans="3:28">
      <c r="C19" s="1"/>
      <c r="D19" s="1">
        <v>45370</v>
      </c>
      <c r="E19" s="1">
        <v>47330</v>
      </c>
      <c r="F19" t="s">
        <v>41</v>
      </c>
      <c r="G19" t="s">
        <v>59</v>
      </c>
      <c r="H19" s="210">
        <v>4.7500000000000001E-2</v>
      </c>
      <c r="I19" s="214">
        <v>0.65</v>
      </c>
      <c r="J19" s="141">
        <v>1999</v>
      </c>
      <c r="K19" s="141" t="s">
        <v>42</v>
      </c>
      <c r="M19" s="210">
        <v>1.2699999999999999E-2</v>
      </c>
      <c r="N19" s="210">
        <v>0.28739999999999999</v>
      </c>
      <c r="O19" s="218">
        <v>2000000</v>
      </c>
      <c r="P19" t="s">
        <v>36</v>
      </c>
      <c r="R19" s="141" t="str">
        <f t="shared" si="0"/>
        <v>5.94%</v>
      </c>
      <c r="S19" s="141" t="s">
        <v>52</v>
      </c>
      <c r="T19" s="228" t="str">
        <f t="shared" si="6"/>
        <v>Y</v>
      </c>
      <c r="U19" s="228" t="str">
        <f t="shared" si="7"/>
        <v>Y</v>
      </c>
      <c r="V19" s="228" t="str">
        <f t="shared" si="8"/>
        <v>N</v>
      </c>
      <c r="W19" s="228" t="str">
        <f t="shared" si="9"/>
        <v>Y</v>
      </c>
      <c r="X19" s="228" t="str">
        <f t="shared" si="10"/>
        <v>Direct</v>
      </c>
      <c r="Z19" s="229">
        <v>5152</v>
      </c>
      <c r="AA19" s="8">
        <v>105079</v>
      </c>
      <c r="AB19" t="s">
        <v>63</v>
      </c>
    </row>
    <row r="20" spans="3:28">
      <c r="C20" s="1"/>
      <c r="D20" s="1">
        <v>45370</v>
      </c>
      <c r="E20" s="1">
        <v>46234</v>
      </c>
      <c r="F20" t="s">
        <v>58</v>
      </c>
      <c r="G20" t="s">
        <v>59</v>
      </c>
      <c r="H20" s="210">
        <v>6.0900000000000003E-2</v>
      </c>
      <c r="I20" s="214">
        <v>0.75</v>
      </c>
      <c r="J20" s="141">
        <v>1999</v>
      </c>
      <c r="K20" s="141" t="s">
        <v>60</v>
      </c>
      <c r="L20" s="138">
        <v>0.03</v>
      </c>
      <c r="M20" s="210">
        <v>1.3599999999999999E-2</v>
      </c>
      <c r="N20" s="210">
        <v>0.30740000000000001</v>
      </c>
      <c r="O20" s="218">
        <v>2000000</v>
      </c>
      <c r="P20" t="s">
        <v>36</v>
      </c>
      <c r="R20" s="141" t="str">
        <f t="shared" ref="R20:R22" si="17">IF(F20="","","5.94%")</f>
        <v>5.94%</v>
      </c>
      <c r="S20" s="141" t="s">
        <v>52</v>
      </c>
      <c r="T20" s="228" t="str">
        <f t="shared" ref="T20:T22" si="18">IF(G20="","",IF(G20="Residential - Existing Customer only","N",IF(G20="Residential - Interest Only - Existing Customer only","N",IF(G20="Residential - Remortgage","N",IF(G20="Large Loan - Existing Customer only","N",IF(G20="Buy to Let","N",IF(G20="Buy to Let - Existing Customer only","N",IF(G20="Help to Buy - Existing Customer only","N",IF(G20="Joint Mortgage Sole Proprietor - Existing Customer only","N","Y")))))))))</f>
        <v>Y</v>
      </c>
      <c r="U20" s="228" t="str">
        <f t="shared" ref="U20:U22" si="19">IF(G20="","",IF(G20="Government First Home Scheme","N",IF(G20="Residential - Existing Customer only","N",IF(G20="Residential - Interest Only - Existing Customer only","N",IF(G20="Residential - LISA Exclusive","N",IF(G20="Residential - Remortgage","N",IF(G20="Large Loan - Existing Customer only","N",IF(G20="Buy to Let - Existing Customer only","N",IF(G20="Help to Buy - Existing Customer only","N",IF(G20="Joint Mortgage Sole Proprietor - Existing Customer only","N","Y"))))))))))</f>
        <v>Y</v>
      </c>
      <c r="V20" s="228" t="str">
        <f t="shared" ref="V20:V22" si="20">IF(G20="","",IF(G20="Residential - Existing Customer only","Y",IF(G20="Residential - Interest Only - Existing Customer only","Y",IF(G20="Large Loan - Existing Customer only","Y",IF(G20="Buy to Let - Existing Customer only","Y",IF(G20="Help to Buy - Existing Customer only","Y",IF(G20="Joint Mortgage Sole Proprietor - Existing Customer only","Y","N")))))))</f>
        <v>N</v>
      </c>
      <c r="W20" s="228" t="str">
        <f t="shared" ref="W20:W22" si="21">IF(G20="","",IF(G20="Shared Ownership","N",IF(G20="Residential - Existing Customer only","N",IF(G20="Residential - Interest Only - Existing Customer only","N",IF(G20="Residential - LISA Exclusive","N",IF(G20="Large Loan - Existing Customer only","N",IF(G20="Buy to Let - Existing Customer only","N",IF(G20="Help to Buy - Existing Customer only","N",IF(G20="Joint Mortgage Sole Proprietor - Existing Customer only","N",IF(G20="Deposit Unlock","N",IF(G20="Government First Home Scheme","N","Y")))))))))))</f>
        <v>Y</v>
      </c>
      <c r="X20" s="228" t="str">
        <f t="shared" ref="X20:X22" si="22">IF(G20="","",IF(G20="Residential","Direct",IF(G20="Residential - Discounted Rate","Direct",IF(G20="Residential - Interest Only","Direct",IF(G20="Large Loan","Direct",IF(G20="Large Loan - Discounted Rate","Direct",IF(G20="Joint Mortgage Sole Proprietor","Direct",IF(G20="Self Employed","Direct",IF(G20="Residential - LISA Exclusive","Direct",IF(G20="Residential - Remortgage","Direct",IF(G20="Residential - NE Exclusive","Direct","Non-Direct")))))))))))</f>
        <v>Direct</v>
      </c>
      <c r="Z20" s="229">
        <v>5154</v>
      </c>
      <c r="AA20" s="8">
        <v>105081</v>
      </c>
      <c r="AB20" t="s">
        <v>64</v>
      </c>
    </row>
    <row r="21" spans="3:28">
      <c r="C21" s="1"/>
      <c r="D21" s="1">
        <v>45370</v>
      </c>
      <c r="E21" s="1">
        <v>46234</v>
      </c>
      <c r="F21" t="s">
        <v>33</v>
      </c>
      <c r="G21" t="s">
        <v>59</v>
      </c>
      <c r="H21" s="210">
        <v>5.1999999999999998E-2</v>
      </c>
      <c r="I21" s="214">
        <v>0.75</v>
      </c>
      <c r="J21" s="141">
        <v>1999</v>
      </c>
      <c r="K21" s="141" t="s">
        <v>35</v>
      </c>
      <c r="M21" s="210">
        <v>1.3299999999999999E-2</v>
      </c>
      <c r="N21" s="210">
        <v>0.30070000000000002</v>
      </c>
      <c r="O21" s="218">
        <v>2000000</v>
      </c>
      <c r="P21" t="s">
        <v>36</v>
      </c>
      <c r="R21" s="141" t="str">
        <f t="shared" si="17"/>
        <v>5.94%</v>
      </c>
      <c r="S21" s="141" t="s">
        <v>52</v>
      </c>
      <c r="T21" s="228" t="str">
        <f t="shared" si="18"/>
        <v>Y</v>
      </c>
      <c r="U21" s="228" t="str">
        <f t="shared" si="19"/>
        <v>Y</v>
      </c>
      <c r="V21" s="228" t="str">
        <f t="shared" si="20"/>
        <v>N</v>
      </c>
      <c r="W21" s="228" t="str">
        <f t="shared" si="21"/>
        <v>Y</v>
      </c>
      <c r="X21" s="228" t="str">
        <f t="shared" si="22"/>
        <v>Direct</v>
      </c>
      <c r="Z21" s="229">
        <v>5156</v>
      </c>
      <c r="AA21" s="8">
        <v>105083</v>
      </c>
      <c r="AB21" t="s">
        <v>65</v>
      </c>
    </row>
    <row r="22" spans="3:28">
      <c r="C22" s="1"/>
      <c r="D22" s="1">
        <v>45370</v>
      </c>
      <c r="E22" s="1">
        <v>47330</v>
      </c>
      <c r="F22" t="s">
        <v>41</v>
      </c>
      <c r="G22" t="s">
        <v>59</v>
      </c>
      <c r="H22" s="210">
        <v>4.8000000000000001E-2</v>
      </c>
      <c r="I22" s="214">
        <v>0.75</v>
      </c>
      <c r="J22" s="141">
        <v>1999</v>
      </c>
      <c r="K22" s="141" t="s">
        <v>42</v>
      </c>
      <c r="M22" s="210">
        <v>1.32E-2</v>
      </c>
      <c r="N22" s="210">
        <v>0.29870000000000002</v>
      </c>
      <c r="O22" s="218">
        <v>2000000</v>
      </c>
      <c r="P22" t="s">
        <v>36</v>
      </c>
      <c r="R22" s="141" t="str">
        <f t="shared" si="17"/>
        <v>5.94%</v>
      </c>
      <c r="S22" s="141" t="s">
        <v>52</v>
      </c>
      <c r="T22" s="228" t="str">
        <f t="shared" si="18"/>
        <v>Y</v>
      </c>
      <c r="U22" s="228" t="str">
        <f t="shared" si="19"/>
        <v>Y</v>
      </c>
      <c r="V22" s="228" t="str">
        <f t="shared" si="20"/>
        <v>N</v>
      </c>
      <c r="W22" s="228" t="str">
        <f t="shared" si="21"/>
        <v>Y</v>
      </c>
      <c r="X22" s="228" t="str">
        <f t="shared" si="22"/>
        <v>Direct</v>
      </c>
      <c r="Z22" s="229">
        <v>5157</v>
      </c>
      <c r="AA22" s="8">
        <v>105084</v>
      </c>
      <c r="AB22" t="s">
        <v>66</v>
      </c>
    </row>
    <row r="23" spans="3:28">
      <c r="C23" s="1"/>
      <c r="D23" s="1">
        <v>45370</v>
      </c>
      <c r="E23" s="1">
        <v>46234</v>
      </c>
      <c r="F23" t="s">
        <v>58</v>
      </c>
      <c r="G23" t="s">
        <v>59</v>
      </c>
      <c r="H23" s="210">
        <v>6.0900000000000003E-2</v>
      </c>
      <c r="I23" s="214">
        <v>0.8</v>
      </c>
      <c r="J23" s="141">
        <v>1999</v>
      </c>
      <c r="K23" s="141" t="s">
        <v>60</v>
      </c>
      <c r="L23" s="138">
        <v>0.03</v>
      </c>
      <c r="M23" s="210">
        <v>1.3599999999999999E-2</v>
      </c>
      <c r="N23" s="210">
        <v>0.30740000000000001</v>
      </c>
      <c r="P23" t="s">
        <v>36</v>
      </c>
      <c r="R23" s="141" t="str">
        <f t="shared" ref="R23:R25" si="23">IF(F23="","","5.94%")</f>
        <v>5.94%</v>
      </c>
      <c r="S23" s="141" t="s">
        <v>52</v>
      </c>
      <c r="T23" s="228" t="str">
        <f t="shared" ref="T23:T25" si="24">IF(G23="","",IF(G23="Residential - Existing Customer only","N",IF(G23="Residential - Interest Only - Existing Customer only","N",IF(G23="Residential - Remortgage","N",IF(G23="Large Loan - Existing Customer only","N",IF(G23="Buy to Let","N",IF(G23="Buy to Let - Existing Customer only","N",IF(G23="Help to Buy - Existing Customer only","N",IF(G23="Joint Mortgage Sole Proprietor - Existing Customer only","N","Y")))))))))</f>
        <v>Y</v>
      </c>
      <c r="U23" s="228" t="str">
        <f t="shared" ref="U23:U25" si="25">IF(G23="","",IF(G23="Government First Home Scheme","N",IF(G23="Residential - Existing Customer only","N",IF(G23="Residential - Interest Only - Existing Customer only","N",IF(G23="Residential - LISA Exclusive","N",IF(G23="Residential - Remortgage","N",IF(G23="Large Loan - Existing Customer only","N",IF(G23="Buy to Let - Existing Customer only","N",IF(G23="Help to Buy - Existing Customer only","N",IF(G23="Joint Mortgage Sole Proprietor - Existing Customer only","N","Y"))))))))))</f>
        <v>Y</v>
      </c>
      <c r="V23" s="228" t="str">
        <f t="shared" ref="V23:V25" si="26">IF(G23="","",IF(G23="Residential - Existing Customer only","Y",IF(G23="Residential - Interest Only - Existing Customer only","Y",IF(G23="Large Loan - Existing Customer only","Y",IF(G23="Buy to Let - Existing Customer only","Y",IF(G23="Help to Buy - Existing Customer only","Y",IF(G23="Joint Mortgage Sole Proprietor - Existing Customer only","Y","N")))))))</f>
        <v>N</v>
      </c>
      <c r="W23" s="228" t="str">
        <f t="shared" ref="W23:W25" si="27">IF(G23="","",IF(G23="Shared Ownership","N",IF(G23="Residential - Existing Customer only","N",IF(G23="Residential - Interest Only - Existing Customer only","N",IF(G23="Residential - LISA Exclusive","N",IF(G23="Large Loan - Existing Customer only","N",IF(G23="Buy to Let - Existing Customer only","N",IF(G23="Help to Buy - Existing Customer only","N",IF(G23="Joint Mortgage Sole Proprietor - Existing Customer only","N",IF(G23="Deposit Unlock","N",IF(G23="Government First Home Scheme","N","Y")))))))))))</f>
        <v>Y</v>
      </c>
      <c r="X23" s="228" t="str">
        <f t="shared" ref="X23:X25" si="28">IF(G23="","",IF(G23="Residential","Direct",IF(G23="Residential - Discounted Rate","Direct",IF(G23="Residential - Interest Only","Direct",IF(G23="Large Loan","Direct",IF(G23="Large Loan - Discounted Rate","Direct",IF(G23="Joint Mortgage Sole Proprietor","Direct",IF(G23="Self Employed","Direct",IF(G23="Residential - LISA Exclusive","Direct",IF(G23="Residential - Remortgage","Direct",IF(G23="Residential - NE Exclusive","Direct","Non-Direct")))))))))))</f>
        <v>Direct</v>
      </c>
      <c r="Z23" s="229"/>
      <c r="AA23" s="8">
        <v>105087</v>
      </c>
      <c r="AB23" t="s">
        <v>67</v>
      </c>
    </row>
    <row r="24" spans="3:28">
      <c r="C24" s="1"/>
      <c r="D24" s="1">
        <v>45370</v>
      </c>
      <c r="E24" s="1">
        <v>46234</v>
      </c>
      <c r="F24" t="s">
        <v>33</v>
      </c>
      <c r="G24" t="s">
        <v>59</v>
      </c>
      <c r="H24" s="210">
        <v>5.1999999999999998E-2</v>
      </c>
      <c r="I24" s="214">
        <v>0.8</v>
      </c>
      <c r="J24" s="141">
        <v>1999</v>
      </c>
      <c r="K24" s="141" t="s">
        <v>35</v>
      </c>
      <c r="M24" s="210">
        <v>1.3299999999999999E-2</v>
      </c>
      <c r="N24" s="210">
        <v>0.30070000000000002</v>
      </c>
      <c r="P24" t="s">
        <v>36</v>
      </c>
      <c r="R24" s="141" t="str">
        <f t="shared" si="23"/>
        <v>5.94%</v>
      </c>
      <c r="S24" s="141" t="s">
        <v>52</v>
      </c>
      <c r="T24" s="228" t="str">
        <f t="shared" si="24"/>
        <v>Y</v>
      </c>
      <c r="U24" s="228" t="str">
        <f t="shared" si="25"/>
        <v>Y</v>
      </c>
      <c r="V24" s="228" t="str">
        <f t="shared" si="26"/>
        <v>N</v>
      </c>
      <c r="W24" s="228" t="str">
        <f t="shared" si="27"/>
        <v>Y</v>
      </c>
      <c r="X24" s="228" t="str">
        <f t="shared" si="28"/>
        <v>Direct</v>
      </c>
      <c r="Z24" s="229"/>
      <c r="AA24" s="8">
        <v>105089</v>
      </c>
      <c r="AB24" t="s">
        <v>68</v>
      </c>
    </row>
    <row r="25" spans="3:28">
      <c r="C25" s="1"/>
      <c r="D25" s="1">
        <v>45370</v>
      </c>
      <c r="E25" s="1">
        <v>47330</v>
      </c>
      <c r="F25" t="s">
        <v>41</v>
      </c>
      <c r="G25" t="s">
        <v>59</v>
      </c>
      <c r="H25" s="210">
        <v>4.8000000000000001E-2</v>
      </c>
      <c r="I25" s="214">
        <v>0.8</v>
      </c>
      <c r="J25" s="141">
        <v>1999</v>
      </c>
      <c r="K25" s="141" t="s">
        <v>42</v>
      </c>
      <c r="M25" s="210">
        <v>1.32E-2</v>
      </c>
      <c r="N25" s="210">
        <v>0.29870000000000002</v>
      </c>
      <c r="P25" t="s">
        <v>36</v>
      </c>
      <c r="R25" s="141" t="str">
        <f t="shared" si="23"/>
        <v>5.94%</v>
      </c>
      <c r="S25" s="141" t="s">
        <v>52</v>
      </c>
      <c r="T25" s="228" t="str">
        <f t="shared" si="24"/>
        <v>Y</v>
      </c>
      <c r="U25" s="228" t="str">
        <f t="shared" si="25"/>
        <v>Y</v>
      </c>
      <c r="V25" s="228" t="str">
        <f t="shared" si="26"/>
        <v>N</v>
      </c>
      <c r="W25" s="228" t="str">
        <f t="shared" si="27"/>
        <v>Y</v>
      </c>
      <c r="X25" s="228" t="str">
        <f t="shared" si="28"/>
        <v>Direct</v>
      </c>
      <c r="Z25" s="229"/>
      <c r="AA25" s="8">
        <v>105090</v>
      </c>
      <c r="AB25" t="s">
        <v>69</v>
      </c>
    </row>
    <row r="26" spans="3:28">
      <c r="C26" s="1"/>
      <c r="D26" s="1"/>
      <c r="E26" s="1"/>
      <c r="H26" s="211"/>
      <c r="M26" s="210"/>
      <c r="N26" s="210"/>
      <c r="R26" s="141" t="str">
        <f t="shared" si="0"/>
        <v/>
      </c>
      <c r="S26" s="141"/>
      <c r="T26" s="228" t="str">
        <f t="shared" si="6"/>
        <v/>
      </c>
      <c r="U26" s="228" t="str">
        <f t="shared" si="7"/>
        <v/>
      </c>
      <c r="V26" s="228" t="str">
        <f t="shared" si="8"/>
        <v/>
      </c>
      <c r="W26" s="228" t="str">
        <f t="shared" si="9"/>
        <v/>
      </c>
      <c r="X26" s="228" t="str">
        <f t="shared" si="10"/>
        <v/>
      </c>
    </row>
    <row r="27" spans="3:28">
      <c r="C27" s="1"/>
      <c r="D27" s="1">
        <v>45370</v>
      </c>
      <c r="E27" s="1">
        <v>46234</v>
      </c>
      <c r="F27" t="s">
        <v>58</v>
      </c>
      <c r="G27" t="s">
        <v>70</v>
      </c>
      <c r="H27" s="210">
        <v>5.9900000000000002E-2</v>
      </c>
      <c r="I27" s="214">
        <v>0.65</v>
      </c>
      <c r="J27" s="141">
        <v>1999</v>
      </c>
      <c r="K27" s="141" t="s">
        <v>60</v>
      </c>
      <c r="L27" s="138">
        <v>0.03</v>
      </c>
      <c r="M27" s="210">
        <v>1.26E-2</v>
      </c>
      <c r="N27" s="210">
        <v>0.28489999999999999</v>
      </c>
      <c r="P27" t="s">
        <v>36</v>
      </c>
      <c r="R27" s="141" t="str">
        <f t="shared" ref="R27:R35" si="29">IF(F27="","","5.94%")</f>
        <v>5.94%</v>
      </c>
      <c r="S27" s="141" t="s">
        <v>52</v>
      </c>
      <c r="T27" s="49" t="str">
        <f t="shared" si="6"/>
        <v>N</v>
      </c>
      <c r="U27" s="49" t="str">
        <f t="shared" si="7"/>
        <v>N</v>
      </c>
      <c r="V27" s="49" t="str">
        <f t="shared" si="8"/>
        <v>Y</v>
      </c>
      <c r="W27" s="49" t="str">
        <f t="shared" si="9"/>
        <v>N</v>
      </c>
      <c r="X27" s="49" t="str">
        <f t="shared" si="10"/>
        <v>Non-Direct</v>
      </c>
      <c r="AA27" s="8">
        <v>105091</v>
      </c>
      <c r="AB27" t="s">
        <v>71</v>
      </c>
    </row>
    <row r="28" spans="3:28">
      <c r="C28" s="1"/>
      <c r="D28" s="1">
        <v>45370</v>
      </c>
      <c r="E28" s="1">
        <v>46234</v>
      </c>
      <c r="F28" t="s">
        <v>33</v>
      </c>
      <c r="G28" t="s">
        <v>70</v>
      </c>
      <c r="H28" s="210">
        <v>5.1499999999999997E-2</v>
      </c>
      <c r="I28" s="214">
        <v>0.65</v>
      </c>
      <c r="J28" s="141">
        <v>1999</v>
      </c>
      <c r="K28" s="141" t="s">
        <v>35</v>
      </c>
      <c r="M28" s="210">
        <v>1.2800000000000001E-2</v>
      </c>
      <c r="N28" s="210">
        <v>0.28939999999999999</v>
      </c>
      <c r="P28" t="s">
        <v>36</v>
      </c>
      <c r="R28" s="141" t="str">
        <f t="shared" si="29"/>
        <v>5.94%</v>
      </c>
      <c r="S28" s="141" t="s">
        <v>52</v>
      </c>
      <c r="T28" s="49" t="str">
        <f t="shared" si="6"/>
        <v>N</v>
      </c>
      <c r="U28" s="49" t="str">
        <f t="shared" si="7"/>
        <v>N</v>
      </c>
      <c r="V28" s="49" t="str">
        <f t="shared" si="8"/>
        <v>Y</v>
      </c>
      <c r="W28" s="49" t="str">
        <f t="shared" si="9"/>
        <v>N</v>
      </c>
      <c r="X28" s="49" t="str">
        <f t="shared" si="10"/>
        <v>Non-Direct</v>
      </c>
      <c r="AA28" s="8">
        <v>105093</v>
      </c>
      <c r="AB28" t="s">
        <v>72</v>
      </c>
    </row>
    <row r="29" spans="3:28">
      <c r="C29" s="1"/>
      <c r="D29" s="1">
        <v>45370</v>
      </c>
      <c r="E29" s="1">
        <v>47330</v>
      </c>
      <c r="F29" t="s">
        <v>41</v>
      </c>
      <c r="G29" t="s">
        <v>70</v>
      </c>
      <c r="H29" s="210">
        <v>4.7500000000000001E-2</v>
      </c>
      <c r="I29" s="214">
        <v>0.65</v>
      </c>
      <c r="J29" s="141">
        <v>1999</v>
      </c>
      <c r="K29" s="141" t="s">
        <v>42</v>
      </c>
      <c r="M29" s="210">
        <v>1.2699999999999999E-2</v>
      </c>
      <c r="N29" s="210">
        <v>0.28739999999999999</v>
      </c>
      <c r="P29" t="s">
        <v>36</v>
      </c>
      <c r="R29" s="141" t="str">
        <f t="shared" si="29"/>
        <v>5.94%</v>
      </c>
      <c r="S29" s="141" t="s">
        <v>52</v>
      </c>
      <c r="T29" s="49" t="str">
        <f t="shared" si="6"/>
        <v>N</v>
      </c>
      <c r="U29" s="49" t="str">
        <f t="shared" si="7"/>
        <v>N</v>
      </c>
      <c r="V29" s="49" t="str">
        <f t="shared" si="8"/>
        <v>Y</v>
      </c>
      <c r="W29" s="49" t="str">
        <f t="shared" si="9"/>
        <v>N</v>
      </c>
      <c r="X29" s="49" t="str">
        <f t="shared" si="10"/>
        <v>Non-Direct</v>
      </c>
      <c r="AA29" s="8">
        <v>105095</v>
      </c>
      <c r="AB29" t="s">
        <v>73</v>
      </c>
    </row>
    <row r="30" spans="3:28">
      <c r="C30" s="1"/>
      <c r="D30" s="1">
        <v>45370</v>
      </c>
      <c r="E30" s="1">
        <v>46234</v>
      </c>
      <c r="F30" t="s">
        <v>58</v>
      </c>
      <c r="G30" t="s">
        <v>70</v>
      </c>
      <c r="H30" s="210">
        <v>6.0900000000000003E-2</v>
      </c>
      <c r="I30" s="214">
        <v>0.75</v>
      </c>
      <c r="J30" s="141">
        <v>1999</v>
      </c>
      <c r="K30" s="141" t="s">
        <v>60</v>
      </c>
      <c r="L30" s="138">
        <v>0.03</v>
      </c>
      <c r="M30" s="210">
        <v>1.3599999999999999E-2</v>
      </c>
      <c r="N30" s="210">
        <v>0.30740000000000001</v>
      </c>
      <c r="P30" t="s">
        <v>36</v>
      </c>
      <c r="R30" s="141" t="str">
        <f t="shared" si="29"/>
        <v>5.94%</v>
      </c>
      <c r="S30" s="141" t="s">
        <v>52</v>
      </c>
      <c r="T30" s="49" t="str">
        <f t="shared" si="6"/>
        <v>N</v>
      </c>
      <c r="U30" s="49" t="str">
        <f t="shared" si="7"/>
        <v>N</v>
      </c>
      <c r="V30" s="49" t="str">
        <f t="shared" si="8"/>
        <v>Y</v>
      </c>
      <c r="W30" s="49" t="str">
        <f t="shared" si="9"/>
        <v>N</v>
      </c>
      <c r="X30" s="49" t="str">
        <f t="shared" si="10"/>
        <v>Non-Direct</v>
      </c>
      <c r="AA30" s="8">
        <v>105096</v>
      </c>
      <c r="AB30" t="s">
        <v>74</v>
      </c>
    </row>
    <row r="31" spans="3:28">
      <c r="C31" s="1"/>
      <c r="D31" s="1">
        <v>45370</v>
      </c>
      <c r="E31" s="1">
        <v>46234</v>
      </c>
      <c r="F31" t="s">
        <v>33</v>
      </c>
      <c r="G31" t="s">
        <v>70</v>
      </c>
      <c r="H31" s="210">
        <v>5.1999999999999998E-2</v>
      </c>
      <c r="I31" s="214">
        <v>0.75</v>
      </c>
      <c r="J31" s="141">
        <v>1999</v>
      </c>
      <c r="K31" s="141" t="s">
        <v>35</v>
      </c>
      <c r="M31" s="210">
        <v>1.3299999999999999E-2</v>
      </c>
      <c r="N31" s="210">
        <v>0.30070000000000002</v>
      </c>
      <c r="P31" t="s">
        <v>36</v>
      </c>
      <c r="R31" s="141" t="str">
        <f t="shared" si="29"/>
        <v>5.94%</v>
      </c>
      <c r="S31" s="141" t="s">
        <v>52</v>
      </c>
      <c r="T31" s="49" t="str">
        <f t="shared" si="6"/>
        <v>N</v>
      </c>
      <c r="U31" s="49" t="str">
        <f t="shared" si="7"/>
        <v>N</v>
      </c>
      <c r="V31" s="49" t="str">
        <f t="shared" si="8"/>
        <v>Y</v>
      </c>
      <c r="W31" s="49" t="str">
        <f t="shared" si="9"/>
        <v>N</v>
      </c>
      <c r="X31" s="49" t="str">
        <f t="shared" si="10"/>
        <v>Non-Direct</v>
      </c>
      <c r="AA31" s="8">
        <v>105099</v>
      </c>
      <c r="AB31" t="s">
        <v>75</v>
      </c>
    </row>
    <row r="32" spans="3:28">
      <c r="C32" s="1"/>
      <c r="D32" s="1">
        <v>45370</v>
      </c>
      <c r="E32" s="1">
        <v>47330</v>
      </c>
      <c r="F32" t="s">
        <v>41</v>
      </c>
      <c r="G32" t="s">
        <v>70</v>
      </c>
      <c r="H32" s="210">
        <v>4.8000000000000001E-2</v>
      </c>
      <c r="I32" s="214">
        <v>0.75</v>
      </c>
      <c r="J32" s="141">
        <v>1999</v>
      </c>
      <c r="K32" s="141" t="s">
        <v>42</v>
      </c>
      <c r="M32" s="210">
        <v>1.32E-2</v>
      </c>
      <c r="N32" s="210">
        <v>0.29870000000000002</v>
      </c>
      <c r="P32" t="s">
        <v>36</v>
      </c>
      <c r="R32" s="141" t="str">
        <f t="shared" si="29"/>
        <v>5.94%</v>
      </c>
      <c r="S32" s="141" t="s">
        <v>52</v>
      </c>
      <c r="T32" s="49" t="str">
        <f t="shared" si="6"/>
        <v>N</v>
      </c>
      <c r="U32" s="49" t="str">
        <f t="shared" si="7"/>
        <v>N</v>
      </c>
      <c r="V32" s="49" t="str">
        <f t="shared" si="8"/>
        <v>Y</v>
      </c>
      <c r="W32" s="49" t="str">
        <f t="shared" si="9"/>
        <v>N</v>
      </c>
      <c r="X32" s="49" t="str">
        <f t="shared" si="10"/>
        <v>Non-Direct</v>
      </c>
      <c r="AA32" s="8">
        <v>105101</v>
      </c>
      <c r="AB32" t="s">
        <v>76</v>
      </c>
    </row>
    <row r="33" spans="3:28">
      <c r="C33" s="1"/>
      <c r="D33" s="1">
        <v>45370</v>
      </c>
      <c r="E33" s="1">
        <v>46234</v>
      </c>
      <c r="F33" t="s">
        <v>58</v>
      </c>
      <c r="G33" t="s">
        <v>70</v>
      </c>
      <c r="H33" s="210">
        <v>6.0900000000000003E-2</v>
      </c>
      <c r="I33" s="214">
        <v>0.8</v>
      </c>
      <c r="J33" s="141">
        <v>1999</v>
      </c>
      <c r="K33" s="141" t="s">
        <v>60</v>
      </c>
      <c r="L33" s="138">
        <v>0.03</v>
      </c>
      <c r="M33" s="210">
        <v>1.3599999999999999E-2</v>
      </c>
      <c r="N33" s="210">
        <v>0.30740000000000001</v>
      </c>
      <c r="P33" t="s">
        <v>36</v>
      </c>
      <c r="R33" s="141" t="str">
        <f t="shared" si="29"/>
        <v>5.94%</v>
      </c>
      <c r="S33" s="141" t="s">
        <v>52</v>
      </c>
      <c r="T33" s="49" t="str">
        <f t="shared" si="6"/>
        <v>N</v>
      </c>
      <c r="U33" s="49" t="str">
        <f t="shared" si="7"/>
        <v>N</v>
      </c>
      <c r="V33" s="49" t="str">
        <f t="shared" si="8"/>
        <v>Y</v>
      </c>
      <c r="W33" s="49" t="str">
        <f t="shared" si="9"/>
        <v>N</v>
      </c>
      <c r="X33" s="49" t="str">
        <f t="shared" si="10"/>
        <v>Non-Direct</v>
      </c>
      <c r="AA33" s="8">
        <v>105097</v>
      </c>
      <c r="AB33" t="s">
        <v>77</v>
      </c>
    </row>
    <row r="34" spans="3:28">
      <c r="C34" s="1"/>
      <c r="D34" s="1">
        <v>45370</v>
      </c>
      <c r="E34" s="1">
        <v>46234</v>
      </c>
      <c r="F34" t="s">
        <v>33</v>
      </c>
      <c r="G34" t="s">
        <v>70</v>
      </c>
      <c r="H34" s="210">
        <v>5.1999999999999998E-2</v>
      </c>
      <c r="I34" s="214">
        <v>0.8</v>
      </c>
      <c r="J34" s="141">
        <v>1999</v>
      </c>
      <c r="K34" s="141" t="s">
        <v>35</v>
      </c>
      <c r="M34" s="210">
        <v>1.3299999999999999E-2</v>
      </c>
      <c r="N34" s="210">
        <v>0.30070000000000002</v>
      </c>
      <c r="P34" t="s">
        <v>36</v>
      </c>
      <c r="R34" s="141" t="str">
        <f t="shared" si="29"/>
        <v>5.94%</v>
      </c>
      <c r="S34" s="141" t="s">
        <v>52</v>
      </c>
      <c r="T34" s="49" t="str">
        <f t="shared" si="6"/>
        <v>N</v>
      </c>
      <c r="U34" s="49" t="str">
        <f t="shared" si="7"/>
        <v>N</v>
      </c>
      <c r="V34" s="49" t="str">
        <f t="shared" si="8"/>
        <v>Y</v>
      </c>
      <c r="W34" s="49" t="str">
        <f t="shared" si="9"/>
        <v>N</v>
      </c>
      <c r="X34" s="49" t="str">
        <f t="shared" si="10"/>
        <v>Non-Direct</v>
      </c>
      <c r="AA34" s="8">
        <v>105098</v>
      </c>
      <c r="AB34" t="s">
        <v>78</v>
      </c>
    </row>
    <row r="35" spans="3:28">
      <c r="C35" s="1"/>
      <c r="D35" s="1">
        <v>45370</v>
      </c>
      <c r="E35" s="1">
        <v>47330</v>
      </c>
      <c r="F35" t="s">
        <v>41</v>
      </c>
      <c r="G35" t="s">
        <v>70</v>
      </c>
      <c r="H35" s="210">
        <v>4.8000000000000001E-2</v>
      </c>
      <c r="I35" s="214">
        <v>0.8</v>
      </c>
      <c r="J35" s="141">
        <v>1999</v>
      </c>
      <c r="K35" s="141" t="s">
        <v>42</v>
      </c>
      <c r="M35" s="210">
        <v>1.32E-2</v>
      </c>
      <c r="N35" s="210">
        <v>0.29870000000000002</v>
      </c>
      <c r="P35" t="s">
        <v>36</v>
      </c>
      <c r="R35" s="141" t="str">
        <f t="shared" si="29"/>
        <v>5.94%</v>
      </c>
      <c r="S35" s="141" t="s">
        <v>52</v>
      </c>
      <c r="T35" s="49" t="str">
        <f t="shared" si="6"/>
        <v>N</v>
      </c>
      <c r="U35" s="49" t="str">
        <f t="shared" si="7"/>
        <v>N</v>
      </c>
      <c r="V35" s="49" t="str">
        <f t="shared" si="8"/>
        <v>Y</v>
      </c>
      <c r="W35" s="49" t="str">
        <f t="shared" si="9"/>
        <v>N</v>
      </c>
      <c r="X35" s="49" t="str">
        <f t="shared" si="10"/>
        <v>Non-Direct</v>
      </c>
      <c r="AA35" s="8">
        <v>105100</v>
      </c>
      <c r="AB35" t="s">
        <v>79</v>
      </c>
    </row>
    <row r="36" spans="3:28">
      <c r="C36" s="1"/>
      <c r="D36" s="1"/>
      <c r="E36" s="1"/>
      <c r="H36" s="211"/>
      <c r="M36" s="210"/>
      <c r="N36" s="210"/>
      <c r="R36" s="141" t="str">
        <f t="shared" ref="R36:R56" si="30">IF(F36="","","5.94%")</f>
        <v/>
      </c>
      <c r="S36" s="141"/>
      <c r="T36" s="49" t="str">
        <f t="shared" si="6"/>
        <v/>
      </c>
      <c r="U36" s="49" t="str">
        <f t="shared" si="7"/>
        <v/>
      </c>
      <c r="V36" s="49" t="str">
        <f t="shared" si="8"/>
        <v/>
      </c>
      <c r="W36" s="49" t="str">
        <f t="shared" si="9"/>
        <v/>
      </c>
      <c r="X36" s="49" t="str">
        <f t="shared" si="10"/>
        <v/>
      </c>
    </row>
    <row r="37" spans="3:28">
      <c r="C37" s="1"/>
      <c r="D37" s="1"/>
      <c r="E37" s="1"/>
      <c r="H37" s="211"/>
      <c r="M37" s="210"/>
      <c r="N37" s="210"/>
      <c r="R37" s="141" t="str">
        <f t="shared" si="30"/>
        <v/>
      </c>
      <c r="S37" s="141"/>
      <c r="T37" s="49" t="str">
        <f t="shared" si="6"/>
        <v/>
      </c>
      <c r="U37" s="49" t="str">
        <f t="shared" si="7"/>
        <v/>
      </c>
      <c r="V37" s="49" t="str">
        <f t="shared" si="8"/>
        <v/>
      </c>
      <c r="W37" s="49" t="str">
        <f t="shared" si="9"/>
        <v/>
      </c>
      <c r="X37" s="49" t="str">
        <f t="shared" si="10"/>
        <v/>
      </c>
    </row>
    <row r="38" spans="3:28">
      <c r="C38" s="1"/>
      <c r="D38" s="1"/>
      <c r="E38" s="1"/>
      <c r="H38" s="211"/>
      <c r="M38" s="210"/>
      <c r="N38" s="210"/>
      <c r="R38" s="141" t="str">
        <f t="shared" si="30"/>
        <v/>
      </c>
      <c r="S38" s="141"/>
      <c r="T38" s="49" t="str">
        <f t="shared" si="6"/>
        <v/>
      </c>
      <c r="U38" s="49" t="str">
        <f t="shared" si="7"/>
        <v/>
      </c>
      <c r="V38" s="49" t="str">
        <f t="shared" si="8"/>
        <v/>
      </c>
      <c r="W38" s="49" t="str">
        <f t="shared" si="9"/>
        <v/>
      </c>
      <c r="X38" s="49" t="str">
        <f t="shared" si="10"/>
        <v/>
      </c>
    </row>
    <row r="39" spans="3:28">
      <c r="C39" s="1"/>
      <c r="D39" s="1"/>
      <c r="E39" s="1"/>
      <c r="H39" s="211"/>
      <c r="M39" s="210"/>
      <c r="N39" s="210"/>
      <c r="R39" s="141" t="str">
        <f t="shared" si="30"/>
        <v/>
      </c>
      <c r="S39" s="141"/>
      <c r="T39" s="49" t="str">
        <f t="shared" si="6"/>
        <v/>
      </c>
      <c r="U39" s="49" t="str">
        <f t="shared" si="7"/>
        <v/>
      </c>
      <c r="V39" s="49" t="str">
        <f t="shared" si="8"/>
        <v/>
      </c>
      <c r="W39" s="49" t="str">
        <f t="shared" si="9"/>
        <v/>
      </c>
      <c r="X39" s="49" t="str">
        <f t="shared" si="10"/>
        <v/>
      </c>
    </row>
    <row r="40" spans="3:28">
      <c r="C40" s="1"/>
      <c r="D40" s="1"/>
      <c r="E40" s="1"/>
      <c r="H40" s="211"/>
      <c r="M40" s="210"/>
      <c r="N40" s="210"/>
      <c r="R40" s="141" t="str">
        <f t="shared" si="30"/>
        <v/>
      </c>
      <c r="S40" s="141"/>
      <c r="T40" s="49" t="str">
        <f t="shared" si="6"/>
        <v/>
      </c>
      <c r="U40" s="49" t="str">
        <f t="shared" si="7"/>
        <v/>
      </c>
      <c r="V40" s="49" t="str">
        <f t="shared" si="8"/>
        <v/>
      </c>
      <c r="W40" s="49" t="str">
        <f t="shared" si="9"/>
        <v/>
      </c>
      <c r="X40" s="49" t="str">
        <f t="shared" si="10"/>
        <v/>
      </c>
    </row>
    <row r="41" spans="3:28">
      <c r="C41" s="1"/>
      <c r="D41" s="1"/>
      <c r="E41" s="1"/>
      <c r="H41" s="211"/>
      <c r="M41" s="210"/>
      <c r="N41" s="210"/>
      <c r="R41" s="141" t="str">
        <f t="shared" si="30"/>
        <v/>
      </c>
      <c r="S41" s="141"/>
      <c r="T41" s="49" t="str">
        <f t="shared" si="6"/>
        <v/>
      </c>
      <c r="U41" s="49" t="str">
        <f t="shared" si="7"/>
        <v/>
      </c>
      <c r="V41" s="49" t="str">
        <f t="shared" si="8"/>
        <v/>
      </c>
      <c r="W41" s="49" t="str">
        <f t="shared" si="9"/>
        <v/>
      </c>
      <c r="X41" s="49" t="str">
        <f t="shared" si="10"/>
        <v/>
      </c>
    </row>
    <row r="42" spans="3:28">
      <c r="C42" s="1"/>
      <c r="D42" s="1"/>
      <c r="E42" s="1"/>
      <c r="H42" s="211"/>
      <c r="M42" s="210"/>
      <c r="N42" s="210"/>
      <c r="R42" s="141" t="str">
        <f t="shared" si="30"/>
        <v/>
      </c>
      <c r="S42" s="141"/>
      <c r="T42" s="49" t="str">
        <f t="shared" si="6"/>
        <v/>
      </c>
      <c r="U42" s="49" t="str">
        <f t="shared" si="7"/>
        <v/>
      </c>
      <c r="V42" s="49" t="str">
        <f t="shared" si="8"/>
        <v/>
      </c>
      <c r="W42" s="49" t="str">
        <f t="shared" si="9"/>
        <v/>
      </c>
      <c r="X42" s="49" t="str">
        <f t="shared" si="10"/>
        <v/>
      </c>
    </row>
    <row r="43" spans="3:28">
      <c r="C43" s="1"/>
      <c r="D43" s="1"/>
      <c r="E43" s="1"/>
      <c r="H43" s="211"/>
      <c r="M43" s="210"/>
      <c r="N43" s="210"/>
      <c r="R43" s="141" t="str">
        <f t="shared" si="30"/>
        <v/>
      </c>
      <c r="S43" s="141"/>
      <c r="T43" s="49" t="str">
        <f t="shared" si="6"/>
        <v/>
      </c>
      <c r="U43" s="49" t="str">
        <f t="shared" si="7"/>
        <v/>
      </c>
      <c r="V43" s="49" t="str">
        <f t="shared" si="8"/>
        <v/>
      </c>
      <c r="W43" s="49" t="str">
        <f t="shared" si="9"/>
        <v/>
      </c>
      <c r="X43" s="49" t="str">
        <f t="shared" si="10"/>
        <v/>
      </c>
    </row>
    <row r="44" spans="3:28">
      <c r="C44" s="1"/>
      <c r="D44" s="1"/>
      <c r="E44" s="1"/>
      <c r="H44" s="211"/>
      <c r="M44" s="210"/>
      <c r="N44" s="210"/>
      <c r="R44" s="141" t="str">
        <f t="shared" si="30"/>
        <v/>
      </c>
      <c r="S44" s="141"/>
      <c r="T44" s="49" t="str">
        <f t="shared" si="6"/>
        <v/>
      </c>
      <c r="U44" s="49" t="str">
        <f t="shared" si="7"/>
        <v/>
      </c>
      <c r="V44" s="49" t="str">
        <f t="shared" si="8"/>
        <v/>
      </c>
      <c r="W44" s="49" t="str">
        <f t="shared" si="9"/>
        <v/>
      </c>
      <c r="X44" s="49" t="str">
        <f t="shared" si="10"/>
        <v/>
      </c>
    </row>
    <row r="45" spans="3:28">
      <c r="C45" s="1"/>
      <c r="D45" s="1"/>
      <c r="E45" s="1"/>
      <c r="H45" s="211"/>
      <c r="M45" s="210"/>
      <c r="N45" s="210"/>
      <c r="R45" s="141" t="str">
        <f t="shared" si="30"/>
        <v/>
      </c>
      <c r="S45" s="141"/>
      <c r="T45" s="49" t="str">
        <f t="shared" si="6"/>
        <v/>
      </c>
      <c r="U45" s="49" t="str">
        <f t="shared" si="7"/>
        <v/>
      </c>
      <c r="V45" s="49" t="str">
        <f t="shared" si="8"/>
        <v/>
      </c>
      <c r="W45" s="49" t="str">
        <f t="shared" si="9"/>
        <v/>
      </c>
      <c r="X45" s="49" t="str">
        <f t="shared" si="10"/>
        <v/>
      </c>
    </row>
    <row r="46" spans="3:28">
      <c r="C46" s="1"/>
      <c r="D46" s="1"/>
      <c r="E46" s="1"/>
      <c r="H46" s="211"/>
      <c r="M46" s="210"/>
      <c r="N46" s="210"/>
      <c r="R46" s="141" t="str">
        <f t="shared" si="30"/>
        <v/>
      </c>
      <c r="S46" s="141"/>
      <c r="T46" s="49" t="str">
        <f t="shared" si="6"/>
        <v/>
      </c>
      <c r="U46" s="49" t="str">
        <f t="shared" si="7"/>
        <v/>
      </c>
      <c r="V46" s="49" t="str">
        <f t="shared" si="8"/>
        <v/>
      </c>
      <c r="W46" s="49" t="str">
        <f t="shared" si="9"/>
        <v/>
      </c>
      <c r="X46" s="49" t="str">
        <f t="shared" si="10"/>
        <v/>
      </c>
    </row>
    <row r="47" spans="3:28">
      <c r="C47" s="1"/>
      <c r="D47" s="1"/>
      <c r="E47" s="1"/>
      <c r="H47" s="211"/>
      <c r="M47" s="210"/>
      <c r="N47" s="210"/>
      <c r="R47" s="141" t="str">
        <f t="shared" si="30"/>
        <v/>
      </c>
      <c r="S47" s="141"/>
      <c r="T47" s="49" t="str">
        <f t="shared" si="6"/>
        <v/>
      </c>
      <c r="U47" s="49" t="str">
        <f t="shared" si="7"/>
        <v/>
      </c>
      <c r="V47" s="49" t="str">
        <f t="shared" si="8"/>
        <v/>
      </c>
      <c r="W47" s="49" t="str">
        <f t="shared" si="9"/>
        <v/>
      </c>
      <c r="X47" s="49" t="str">
        <f t="shared" si="10"/>
        <v/>
      </c>
    </row>
    <row r="48" spans="3:28">
      <c r="C48" s="1"/>
      <c r="D48" s="1"/>
      <c r="E48" s="1"/>
      <c r="H48" s="211"/>
      <c r="M48" s="210"/>
      <c r="N48" s="210"/>
      <c r="R48" s="141" t="str">
        <f t="shared" si="30"/>
        <v/>
      </c>
      <c r="S48" s="141"/>
      <c r="T48" s="49" t="str">
        <f t="shared" si="6"/>
        <v/>
      </c>
      <c r="U48" s="49" t="str">
        <f t="shared" si="7"/>
        <v/>
      </c>
      <c r="V48" s="49" t="str">
        <f t="shared" si="8"/>
        <v/>
      </c>
      <c r="W48" s="49" t="str">
        <f t="shared" si="9"/>
        <v/>
      </c>
      <c r="X48" s="49" t="str">
        <f t="shared" si="10"/>
        <v/>
      </c>
    </row>
    <row r="49" spans="3:24">
      <c r="C49" s="1"/>
      <c r="D49" s="1"/>
      <c r="E49" s="1"/>
      <c r="H49" s="211"/>
      <c r="M49" s="210"/>
      <c r="N49" s="210"/>
      <c r="R49" s="141" t="str">
        <f t="shared" si="30"/>
        <v/>
      </c>
      <c r="S49" s="141"/>
      <c r="T49" s="49" t="str">
        <f t="shared" si="6"/>
        <v/>
      </c>
      <c r="U49" s="49" t="str">
        <f t="shared" si="7"/>
        <v/>
      </c>
      <c r="V49" s="49" t="str">
        <f t="shared" si="8"/>
        <v/>
      </c>
      <c r="W49" s="49" t="str">
        <f t="shared" si="9"/>
        <v/>
      </c>
      <c r="X49" s="49" t="str">
        <f t="shared" si="10"/>
        <v/>
      </c>
    </row>
    <row r="50" spans="3:24">
      <c r="C50" s="1"/>
      <c r="D50" s="1"/>
      <c r="E50" s="1"/>
      <c r="H50" s="211"/>
      <c r="M50" s="210"/>
      <c r="N50" s="210"/>
      <c r="R50" s="141" t="str">
        <f t="shared" si="30"/>
        <v/>
      </c>
      <c r="S50" s="141"/>
      <c r="T50" s="49" t="str">
        <f t="shared" si="6"/>
        <v/>
      </c>
      <c r="U50" s="49" t="str">
        <f t="shared" si="7"/>
        <v/>
      </c>
      <c r="V50" s="49" t="str">
        <f t="shared" si="8"/>
        <v/>
      </c>
      <c r="W50" s="49" t="str">
        <f t="shared" si="9"/>
        <v/>
      </c>
      <c r="X50" s="49" t="str">
        <f t="shared" si="10"/>
        <v/>
      </c>
    </row>
    <row r="51" spans="3:24">
      <c r="C51" s="1"/>
      <c r="D51" s="1"/>
      <c r="E51" s="1"/>
      <c r="H51" s="211"/>
      <c r="M51" s="210"/>
      <c r="N51" s="210"/>
      <c r="R51" s="141" t="str">
        <f t="shared" si="30"/>
        <v/>
      </c>
      <c r="S51" s="141"/>
      <c r="T51" s="49" t="str">
        <f t="shared" si="6"/>
        <v/>
      </c>
      <c r="U51" s="49" t="str">
        <f t="shared" si="7"/>
        <v/>
      </c>
      <c r="V51" s="49" t="str">
        <f t="shared" si="8"/>
        <v/>
      </c>
      <c r="W51" s="49" t="str">
        <f t="shared" si="9"/>
        <v/>
      </c>
      <c r="X51" s="49" t="str">
        <f t="shared" si="10"/>
        <v/>
      </c>
    </row>
    <row r="52" spans="3:24">
      <c r="C52" s="1"/>
      <c r="D52" s="1"/>
      <c r="E52" s="1"/>
      <c r="H52" s="211"/>
      <c r="M52" s="210"/>
      <c r="N52" s="210"/>
      <c r="R52" s="141" t="str">
        <f t="shared" si="30"/>
        <v/>
      </c>
      <c r="S52" s="141"/>
      <c r="T52" s="49" t="str">
        <f t="shared" si="6"/>
        <v/>
      </c>
      <c r="U52" s="49" t="str">
        <f t="shared" si="7"/>
        <v/>
      </c>
      <c r="V52" s="49" t="str">
        <f t="shared" si="8"/>
        <v/>
      </c>
      <c r="W52" s="49" t="str">
        <f t="shared" si="9"/>
        <v/>
      </c>
      <c r="X52" s="49" t="str">
        <f t="shared" si="10"/>
        <v/>
      </c>
    </row>
    <row r="53" spans="3:24">
      <c r="C53" s="1"/>
      <c r="D53" s="1"/>
      <c r="E53" s="1"/>
      <c r="H53" s="211"/>
      <c r="M53" s="210"/>
      <c r="N53" s="210"/>
      <c r="R53" s="141" t="str">
        <f t="shared" si="30"/>
        <v/>
      </c>
      <c r="S53" s="141"/>
      <c r="T53" s="49" t="str">
        <f t="shared" si="6"/>
        <v/>
      </c>
      <c r="U53" s="49" t="str">
        <f t="shared" si="7"/>
        <v/>
      </c>
      <c r="V53" s="49" t="str">
        <f t="shared" si="8"/>
        <v/>
      </c>
      <c r="W53" s="49" t="str">
        <f t="shared" si="9"/>
        <v/>
      </c>
      <c r="X53" s="49" t="str">
        <f t="shared" si="10"/>
        <v/>
      </c>
    </row>
    <row r="54" spans="3:24">
      <c r="C54" s="1"/>
      <c r="D54" s="1"/>
      <c r="E54" s="1"/>
      <c r="H54" s="211"/>
      <c r="M54" s="210"/>
      <c r="N54" s="210"/>
      <c r="R54" s="141" t="str">
        <f t="shared" si="30"/>
        <v/>
      </c>
      <c r="S54" s="141"/>
      <c r="T54" s="49" t="str">
        <f t="shared" si="6"/>
        <v/>
      </c>
      <c r="U54" s="49" t="str">
        <f t="shared" si="7"/>
        <v/>
      </c>
      <c r="V54" s="49" t="str">
        <f t="shared" si="8"/>
        <v/>
      </c>
      <c r="W54" s="49" t="str">
        <f t="shared" si="9"/>
        <v/>
      </c>
      <c r="X54" s="49" t="str">
        <f t="shared" si="10"/>
        <v/>
      </c>
    </row>
    <row r="55" spans="3:24">
      <c r="C55" s="1"/>
      <c r="D55" s="1"/>
      <c r="E55" s="1"/>
      <c r="H55" s="211"/>
      <c r="M55" s="210"/>
      <c r="N55" s="210"/>
      <c r="R55" s="141" t="str">
        <f t="shared" si="30"/>
        <v/>
      </c>
      <c r="S55" s="141"/>
      <c r="T55" s="49" t="str">
        <f t="shared" si="6"/>
        <v/>
      </c>
      <c r="U55" s="49" t="str">
        <f t="shared" si="7"/>
        <v/>
      </c>
      <c r="V55" s="49" t="str">
        <f t="shared" si="8"/>
        <v/>
      </c>
      <c r="W55" s="49" t="str">
        <f t="shared" si="9"/>
        <v/>
      </c>
      <c r="X55" s="49" t="str">
        <f t="shared" si="10"/>
        <v/>
      </c>
    </row>
    <row r="56" spans="3:24">
      <c r="C56" s="1"/>
      <c r="D56" s="1"/>
      <c r="E56" s="1"/>
      <c r="H56" s="211"/>
      <c r="K56" s="215"/>
      <c r="M56" s="210"/>
      <c r="N56" s="210"/>
      <c r="R56" s="141" t="str">
        <f t="shared" si="30"/>
        <v/>
      </c>
      <c r="S56" s="141"/>
      <c r="T56" s="49" t="str">
        <f t="shared" si="6"/>
        <v/>
      </c>
      <c r="U56" s="49" t="str">
        <f t="shared" si="7"/>
        <v/>
      </c>
      <c r="V56" s="49" t="str">
        <f t="shared" si="8"/>
        <v/>
      </c>
      <c r="W56" s="49" t="str">
        <f t="shared" si="9"/>
        <v/>
      </c>
      <c r="X56" s="49" t="str">
        <f t="shared" si="10"/>
        <v/>
      </c>
    </row>
    <row r="57" spans="3:24">
      <c r="H57" s="211"/>
    </row>
    <row r="58" spans="3:24">
      <c r="H58" s="211"/>
    </row>
    <row r="59" spans="3:24">
      <c r="H59" s="211"/>
    </row>
    <row r="60" spans="3:24">
      <c r="H60" s="211"/>
    </row>
  </sheetData>
  <mergeCells count="4">
    <mergeCell ref="AA1:AC2"/>
    <mergeCell ref="A1:C2"/>
    <mergeCell ref="D1:D2"/>
    <mergeCell ref="E1:E2"/>
  </mergeCells>
  <conditionalFormatting sqref="G1:G1048576">
    <cfRule type="containsText" dxfId="0" priority="2" operator="containsText" text="Government First Home Scheme">
      <formula>NOT(ISERROR(SEARCH("Government First Home Scheme",G1)))</formula>
    </cfRule>
  </conditionalFormatting>
  <dataValidations count="3">
    <dataValidation allowBlank="1" showInputMessage="1" showErrorMessage="1" sqref="R4:R56" xr:uid="{00000000-0002-0000-0100-000000000000}"/>
    <dataValidation type="list" allowBlank="1" showInputMessage="1" showErrorMessage="1" sqref="B4:B56" xr:uid="{00000000-0002-0000-0100-000001000000}">
      <formula1>$D$3:$D$3</formula1>
    </dataValidation>
    <dataValidation type="list" allowBlank="1" showInputMessage="1" showErrorMessage="1" sqref="A4:A56" xr:uid="{00000000-0002-0000-0100-000002000000}">
      <formula1>$E$2</formula1>
    </dataValidation>
  </dataValidations>
  <pageMargins left="0.7" right="0.7" top="0.75" bottom="0.75" header="0.3" footer="0.3"/>
  <pageSetup paperSize="9" orientation="portrait" r:id="rId1"/>
  <headerFooter>
    <oddFooter>&amp;C_x000D_&amp;1#&amp;"Calibri"&amp;10&amp;K000000 Document classification: L3 - Normal.</oddFooter>
  </headerFooter>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100-000005000000}">
          <x14:formula1>
            <xm:f>'Lookups (Hidden)'!$Q$2:$Q$10</xm:f>
          </x14:formula1>
          <xm:sqref>Q8:Q56 P4:P56</xm:sqref>
        </x14:dataValidation>
        <x14:dataValidation type="list" allowBlank="1" showInputMessage="1" showErrorMessage="1" xr:uid="{00000000-0002-0000-0100-000006000000}">
          <x14:formula1>
            <xm:f>'Lookups (Hidden)'!$J$2:$J$9</xm:f>
          </x14:formula1>
          <xm:sqref>I4:I56</xm:sqref>
        </x14:dataValidation>
        <x14:dataValidation type="list" allowBlank="1" showInputMessage="1" showErrorMessage="1" xr:uid="{00000000-0002-0000-0100-000007000000}">
          <x14:formula1>
            <xm:f>'Lookups (Hidden)'!$O$2:$O$7</xm:f>
          </x14:formula1>
          <xm:sqref>K4:K56</xm:sqref>
        </x14:dataValidation>
        <x14:dataValidation type="list" allowBlank="1" showInputMessage="1" showErrorMessage="1" xr:uid="{00000000-0002-0000-0100-000008000000}">
          <x14:formula1>
            <xm:f>'Lookups (Hidden)'!$A$2:$A$29</xm:f>
          </x14:formula1>
          <xm:sqref>G4:G56</xm:sqref>
        </x14:dataValidation>
        <x14:dataValidation type="list" allowBlank="1" showInputMessage="1" showErrorMessage="1" xr:uid="{00000000-0002-0000-0100-000009000000}">
          <x14:formula1>
            <xm:f>'Lookups (Hidden)'!$C$2:$C$4</xm:f>
          </x14:formula1>
          <xm:sqref>AC4:AC56</xm:sqref>
        </x14:dataValidation>
        <x14:dataValidation type="list" allowBlank="1" showInputMessage="1" showErrorMessage="1" xr:uid="{00000000-0002-0000-0100-00000A000000}">
          <x14:formula1>
            <xm:f>'Lookups (Hidden)'!$H$1:$H$2</xm:f>
          </x14:formula1>
          <xm:sqref>V4:V56</xm:sqref>
        </x14:dataValidation>
        <x14:dataValidation type="list" allowBlank="1" showInputMessage="1" showErrorMessage="1" xr:uid="{00000000-0002-0000-0100-00000C000000}">
          <x14:formula1>
            <xm:f>'Lookups (Hidden)'!$F$1:$F$2</xm:f>
          </x14:formula1>
          <xm:sqref>S4:S56</xm:sqref>
        </x14:dataValidation>
        <x14:dataValidation type="list" allowBlank="1" showInputMessage="1" showErrorMessage="1" xr:uid="{86012EE9-33F9-4C86-823D-C1D730C9177F}">
          <x14:formula1>
            <xm:f>'Lookups (Hidden)'!$C$9:$C$22</xm:f>
          </x14:formula1>
          <xm:sqref>F4:F56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
  <sheetViews>
    <sheetView workbookViewId="0">
      <selection activeCell="J27" sqref="J27"/>
    </sheetView>
  </sheetViews>
  <sheetFormatPr defaultRowHeight="15"/>
  <cols>
    <col min="1" max="1" width="24.28515625" customWidth="1"/>
    <col min="2" max="2" width="15.85546875" style="226" customWidth="1"/>
    <col min="3" max="4" width="15.85546875" customWidth="1"/>
  </cols>
  <sheetData>
    <row r="1" spans="1:4" ht="30">
      <c r="A1" s="50" t="s">
        <v>80</v>
      </c>
      <c r="B1" s="225" t="s">
        <v>81</v>
      </c>
      <c r="C1" s="50" t="s">
        <v>82</v>
      </c>
      <c r="D1" s="50" t="s">
        <v>83</v>
      </c>
    </row>
    <row r="2" spans="1:4">
      <c r="A2" s="43" t="s">
        <v>84</v>
      </c>
      <c r="B2" s="224">
        <v>5093</v>
      </c>
      <c r="C2" s="43"/>
      <c r="D2" s="43"/>
    </row>
    <row r="3" spans="1:4">
      <c r="A3" s="43" t="s">
        <v>85</v>
      </c>
      <c r="B3" s="224">
        <v>5097</v>
      </c>
      <c r="C3" s="43"/>
      <c r="D3" s="43"/>
    </row>
    <row r="4" spans="1:4">
      <c r="A4" s="43" t="s">
        <v>86</v>
      </c>
      <c r="B4" s="224">
        <v>5099</v>
      </c>
      <c r="C4" s="43"/>
      <c r="D4" s="43"/>
    </row>
    <row r="5" spans="1:4">
      <c r="A5" s="43" t="s">
        <v>87</v>
      </c>
      <c r="B5" s="224">
        <v>5101</v>
      </c>
      <c r="C5" s="43"/>
      <c r="D5" s="43"/>
    </row>
    <row r="6" spans="1:4">
      <c r="A6" s="43" t="s">
        <v>88</v>
      </c>
      <c r="B6" s="224">
        <v>5103</v>
      </c>
      <c r="C6" s="43"/>
      <c r="D6" s="43"/>
    </row>
    <row r="7" spans="1:4">
      <c r="A7" s="43" t="s">
        <v>89</v>
      </c>
      <c r="B7" s="224">
        <v>5108</v>
      </c>
      <c r="C7" s="43"/>
      <c r="D7" s="43"/>
    </row>
    <row r="8" spans="1:4">
      <c r="A8" s="43" t="s">
        <v>90</v>
      </c>
      <c r="B8" s="224">
        <v>5109</v>
      </c>
      <c r="C8" s="43"/>
      <c r="D8" s="43"/>
    </row>
    <row r="9" spans="1:4">
      <c r="A9" s="43" t="s">
        <v>91</v>
      </c>
      <c r="B9" s="224">
        <v>5128</v>
      </c>
      <c r="C9" s="43"/>
      <c r="D9" s="43"/>
    </row>
    <row r="10" spans="1:4">
      <c r="A10" s="43" t="s">
        <v>92</v>
      </c>
      <c r="B10" s="224">
        <v>5129</v>
      </c>
      <c r="C10" s="43"/>
      <c r="D10" s="43"/>
    </row>
    <row r="11" spans="1:4">
      <c r="A11" s="44" t="s">
        <v>93</v>
      </c>
      <c r="B11" s="224">
        <v>5096</v>
      </c>
      <c r="C11" s="44"/>
      <c r="D11" s="44"/>
    </row>
    <row r="12" spans="1:4">
      <c r="A12" s="44" t="s">
        <v>94</v>
      </c>
      <c r="B12" s="224">
        <v>5098</v>
      </c>
      <c r="C12" s="44"/>
      <c r="D12" s="44"/>
    </row>
    <row r="13" spans="1:4">
      <c r="A13" s="219" t="s">
        <v>95</v>
      </c>
      <c r="B13" s="224">
        <v>5134</v>
      </c>
      <c r="C13" s="44"/>
      <c r="D13" s="44"/>
    </row>
    <row r="14" spans="1:4">
      <c r="A14" s="219" t="s">
        <v>96</v>
      </c>
      <c r="B14" s="224">
        <v>5135</v>
      </c>
      <c r="C14" s="44"/>
      <c r="D14" s="44"/>
    </row>
    <row r="15" spans="1:4">
      <c r="A15" s="219" t="s">
        <v>97</v>
      </c>
      <c r="B15" s="224">
        <v>5084</v>
      </c>
      <c r="C15" s="44"/>
      <c r="D15" s="44"/>
    </row>
    <row r="16" spans="1:4">
      <c r="A16" s="219" t="s">
        <v>98</v>
      </c>
      <c r="B16" s="224">
        <v>5115</v>
      </c>
      <c r="C16" s="44"/>
      <c r="D16" s="44"/>
    </row>
    <row r="17" spans="1:10">
      <c r="A17" s="219" t="s">
        <v>99</v>
      </c>
      <c r="B17" s="224">
        <v>5004</v>
      </c>
      <c r="C17" s="44"/>
      <c r="D17" s="44"/>
    </row>
    <row r="18" spans="1:10">
      <c r="A18" s="219" t="s">
        <v>100</v>
      </c>
      <c r="B18" s="224">
        <v>5086</v>
      </c>
      <c r="C18" s="44"/>
      <c r="D18" s="44"/>
    </row>
    <row r="19" spans="1:10">
      <c r="A19" s="219" t="s">
        <v>101</v>
      </c>
      <c r="B19" s="224">
        <v>5117</v>
      </c>
      <c r="C19" s="44"/>
      <c r="D19" s="44"/>
    </row>
    <row r="20" spans="1:10">
      <c r="A20" s="219" t="s">
        <v>102</v>
      </c>
      <c r="B20" s="224">
        <v>5008</v>
      </c>
      <c r="C20" s="44"/>
      <c r="D20" s="44"/>
    </row>
    <row r="21" spans="1:10">
      <c r="A21" s="219" t="s">
        <v>103</v>
      </c>
      <c r="B21" s="224">
        <v>5086</v>
      </c>
      <c r="C21" s="44"/>
      <c r="D21" s="44"/>
    </row>
    <row r="22" spans="1:10">
      <c r="A22" s="219" t="s">
        <v>104</v>
      </c>
      <c r="B22" s="224">
        <v>5117</v>
      </c>
      <c r="C22" s="44"/>
      <c r="D22" s="44"/>
    </row>
    <row r="23" spans="1:10">
      <c r="A23" s="219" t="s">
        <v>105</v>
      </c>
      <c r="B23" s="224">
        <v>5008</v>
      </c>
      <c r="C23" s="44"/>
      <c r="D23" s="44"/>
    </row>
    <row r="24" spans="1:10">
      <c r="A24" s="44"/>
      <c r="B24" s="224"/>
      <c r="C24" s="44"/>
      <c r="D24" s="44"/>
    </row>
    <row r="25" spans="1:10">
      <c r="A25" s="44" t="s">
        <v>106</v>
      </c>
      <c r="B25" s="224">
        <v>5084</v>
      </c>
      <c r="C25" s="44"/>
      <c r="D25" s="44"/>
    </row>
    <row r="26" spans="1:10">
      <c r="A26" s="44" t="s">
        <v>107</v>
      </c>
      <c r="B26" s="224">
        <v>5115</v>
      </c>
      <c r="C26" s="44"/>
      <c r="D26" s="44"/>
    </row>
    <row r="27" spans="1:10">
      <c r="A27" s="44" t="s">
        <v>108</v>
      </c>
      <c r="B27" s="224">
        <v>5004</v>
      </c>
      <c r="C27" s="44"/>
      <c r="D27" s="44"/>
      <c r="J27" t="s">
        <v>32</v>
      </c>
    </row>
    <row r="28" spans="1:10">
      <c r="A28" s="44" t="s">
        <v>109</v>
      </c>
      <c r="B28" s="224">
        <v>5086</v>
      </c>
      <c r="C28" s="44"/>
      <c r="D28" s="44"/>
    </row>
    <row r="29" spans="1:10">
      <c r="A29" s="44" t="s">
        <v>110</v>
      </c>
      <c r="B29" s="224">
        <v>5117</v>
      </c>
      <c r="C29" s="44"/>
      <c r="D29" s="44"/>
    </row>
    <row r="30" spans="1:10">
      <c r="A30" s="44" t="s">
        <v>111</v>
      </c>
      <c r="B30" s="224">
        <v>5008</v>
      </c>
      <c r="C30" s="44"/>
      <c r="D30" s="44"/>
    </row>
    <row r="31" spans="1:10">
      <c r="A31" s="44" t="s">
        <v>112</v>
      </c>
      <c r="B31" s="224">
        <v>5086</v>
      </c>
      <c r="C31" s="44"/>
      <c r="D31" s="44"/>
    </row>
    <row r="32" spans="1:10">
      <c r="A32" s="44" t="s">
        <v>113</v>
      </c>
      <c r="B32" s="224">
        <v>5117</v>
      </c>
      <c r="C32" s="44"/>
      <c r="D32" s="44"/>
    </row>
    <row r="33" spans="1:4">
      <c r="A33" s="44" t="s">
        <v>114</v>
      </c>
      <c r="B33" s="224">
        <v>5008</v>
      </c>
      <c r="C33" s="44"/>
      <c r="D33" s="44"/>
    </row>
    <row r="34" spans="1:4">
      <c r="A34" s="44"/>
      <c r="B34" s="224"/>
      <c r="C34" s="44"/>
      <c r="D34" s="44"/>
    </row>
    <row r="35" spans="1:4">
      <c r="A35" s="44"/>
      <c r="B35" s="224"/>
      <c r="C35" s="44"/>
      <c r="D35" s="44"/>
    </row>
    <row r="36" spans="1:4">
      <c r="A36" s="44"/>
      <c r="B36" s="224"/>
      <c r="C36" s="44"/>
      <c r="D36" s="44"/>
    </row>
    <row r="37" spans="1:4">
      <c r="A37" s="44"/>
      <c r="B37" s="224"/>
      <c r="C37" s="44"/>
      <c r="D37" s="44"/>
    </row>
    <row r="38" spans="1:4">
      <c r="A38" s="44"/>
      <c r="B38" s="224"/>
      <c r="C38" s="44"/>
      <c r="D38" s="44"/>
    </row>
    <row r="39" spans="1:4">
      <c r="A39" s="44"/>
      <c r="B39" s="224"/>
      <c r="C39" s="44"/>
      <c r="D39" s="44"/>
    </row>
    <row r="40" spans="1:4">
      <c r="A40" s="44"/>
      <c r="B40" s="224"/>
      <c r="C40" s="44"/>
      <c r="D40" s="44"/>
    </row>
    <row r="41" spans="1:4">
      <c r="A41" s="44"/>
      <c r="B41" s="224"/>
      <c r="C41" s="44"/>
      <c r="D41" s="44"/>
    </row>
    <row r="42" spans="1:4">
      <c r="A42" s="44"/>
      <c r="B42" s="224"/>
      <c r="C42" s="44"/>
      <c r="D42" s="44"/>
    </row>
    <row r="43" spans="1:4">
      <c r="A43" s="44"/>
      <c r="B43" s="224"/>
      <c r="C43" s="44"/>
      <c r="D43" s="44"/>
    </row>
    <row r="44" spans="1:4">
      <c r="A44" s="44"/>
      <c r="B44" s="224"/>
      <c r="C44" s="44"/>
      <c r="D44" s="44"/>
    </row>
    <row r="45" spans="1:4">
      <c r="A45" s="44"/>
      <c r="B45" s="224"/>
      <c r="C45" s="44"/>
      <c r="D45" s="44"/>
    </row>
    <row r="46" spans="1:4">
      <c r="A46" s="44"/>
      <c r="B46" s="224"/>
      <c r="C46" s="44"/>
      <c r="D46" s="44"/>
    </row>
    <row r="47" spans="1:4">
      <c r="A47" s="44"/>
      <c r="B47" s="224"/>
      <c r="C47" s="44"/>
      <c r="D47" s="44"/>
    </row>
    <row r="48" spans="1:4">
      <c r="A48" s="44"/>
      <c r="B48" s="224"/>
      <c r="C48" s="44"/>
      <c r="D48" s="44"/>
    </row>
    <row r="49" spans="1:4">
      <c r="A49" s="44"/>
      <c r="B49" s="224"/>
      <c r="C49" s="44"/>
      <c r="D49" s="44"/>
    </row>
    <row r="50" spans="1:4">
      <c r="A50" s="44"/>
      <c r="B50" s="224"/>
      <c r="C50" s="44"/>
      <c r="D50" s="44"/>
    </row>
    <row r="51" spans="1:4">
      <c r="A51" s="44"/>
      <c r="B51" s="224"/>
      <c r="C51" s="44"/>
      <c r="D51" s="44"/>
    </row>
    <row r="52" spans="1:4">
      <c r="A52" s="44"/>
      <c r="B52" s="224"/>
      <c r="C52" s="44"/>
      <c r="D52" s="44"/>
    </row>
    <row r="53" spans="1:4">
      <c r="A53" s="44"/>
      <c r="B53" s="224"/>
      <c r="C53" s="44"/>
      <c r="D53" s="44"/>
    </row>
    <row r="54" spans="1:4">
      <c r="A54" s="44"/>
      <c r="B54" s="224"/>
      <c r="C54" s="44"/>
      <c r="D54" s="44"/>
    </row>
    <row r="55" spans="1:4">
      <c r="A55" s="44"/>
      <c r="B55" s="224"/>
      <c r="C55" s="44"/>
      <c r="D55" s="44"/>
    </row>
    <row r="56" spans="1:4">
      <c r="A56" s="44"/>
      <c r="B56" s="224"/>
      <c r="C56" s="44"/>
      <c r="D56" s="44"/>
    </row>
    <row r="57" spans="1:4">
      <c r="A57" s="44"/>
      <c r="B57" s="224"/>
      <c r="C57" s="44"/>
      <c r="D57" s="44"/>
    </row>
    <row r="58" spans="1:4">
      <c r="A58" s="44"/>
      <c r="B58" s="224"/>
      <c r="C58" s="44"/>
      <c r="D58" s="44"/>
    </row>
    <row r="59" spans="1:4">
      <c r="A59" s="44"/>
      <c r="B59" s="224"/>
      <c r="C59" s="44"/>
      <c r="D59" s="44"/>
    </row>
    <row r="60" spans="1:4">
      <c r="A60" s="44"/>
      <c r="B60" s="224"/>
      <c r="C60" s="44"/>
      <c r="D60" s="44"/>
    </row>
    <row r="61" spans="1:4">
      <c r="A61" s="44"/>
      <c r="B61" s="224"/>
      <c r="C61" s="44"/>
      <c r="D61" s="44"/>
    </row>
    <row r="62" spans="1:4">
      <c r="A62" s="44"/>
      <c r="B62" s="224"/>
      <c r="C62" s="44"/>
      <c r="D62" s="44"/>
    </row>
    <row r="63" spans="1:4">
      <c r="A63" s="44"/>
      <c r="B63" s="224"/>
      <c r="C63" s="44"/>
      <c r="D63" s="44"/>
    </row>
    <row r="64" spans="1:4">
      <c r="A64" s="44"/>
      <c r="B64" s="224"/>
      <c r="C64" s="44"/>
      <c r="D64" s="44"/>
    </row>
    <row r="65" spans="1:4">
      <c r="A65" s="44"/>
      <c r="B65" s="224"/>
      <c r="C65" s="44"/>
      <c r="D65" s="44"/>
    </row>
    <row r="66" spans="1:4">
      <c r="A66" s="44"/>
      <c r="B66" s="224"/>
      <c r="C66" s="44"/>
      <c r="D66" s="44"/>
    </row>
    <row r="67" spans="1:4">
      <c r="A67" s="44"/>
      <c r="B67" s="224"/>
      <c r="C67" s="44"/>
      <c r="D67" s="44"/>
    </row>
    <row r="68" spans="1:4">
      <c r="A68" s="44"/>
      <c r="B68" s="224"/>
      <c r="C68" s="44"/>
      <c r="D68" s="44"/>
    </row>
    <row r="69" spans="1:4">
      <c r="A69" s="44"/>
      <c r="B69" s="224"/>
      <c r="C69" s="44"/>
      <c r="D69" s="44"/>
    </row>
    <row r="70" spans="1:4">
      <c r="A70" s="44"/>
      <c r="B70" s="224"/>
      <c r="C70" s="44"/>
      <c r="D70" s="44"/>
    </row>
    <row r="71" spans="1:4">
      <c r="A71" s="44"/>
      <c r="B71" s="224"/>
      <c r="C71" s="44"/>
      <c r="D71" s="44"/>
    </row>
    <row r="72" spans="1:4">
      <c r="A72" s="44"/>
      <c r="B72" s="224"/>
      <c r="C72" s="44"/>
      <c r="D72" s="44"/>
    </row>
    <row r="73" spans="1:4">
      <c r="A73" s="44"/>
      <c r="B73" s="224"/>
      <c r="C73" s="44"/>
      <c r="D73" s="44"/>
    </row>
    <row r="74" spans="1:4">
      <c r="A74" s="44"/>
      <c r="B74" s="224"/>
      <c r="C74" s="44"/>
      <c r="D74" s="44"/>
    </row>
    <row r="75" spans="1:4">
      <c r="A75" s="44"/>
      <c r="B75" s="224"/>
      <c r="C75" s="44"/>
      <c r="D75" s="44"/>
    </row>
    <row r="76" spans="1:4">
      <c r="A76" s="44"/>
      <c r="B76" s="224"/>
      <c r="C76" s="44"/>
      <c r="D76" s="44"/>
    </row>
    <row r="77" spans="1:4">
      <c r="A77" s="44"/>
      <c r="B77" s="224"/>
      <c r="C77" s="44"/>
      <c r="D77" s="44"/>
    </row>
    <row r="78" spans="1:4">
      <c r="A78" s="44"/>
      <c r="B78" s="224"/>
      <c r="C78" s="44"/>
      <c r="D78" s="44"/>
    </row>
    <row r="79" spans="1:4">
      <c r="A79" s="44"/>
      <c r="B79" s="224"/>
      <c r="C79" s="44"/>
      <c r="D79" s="44"/>
    </row>
    <row r="80" spans="1:4">
      <c r="A80" s="45"/>
      <c r="B80" s="224"/>
      <c r="C80" s="45"/>
      <c r="D80" s="45"/>
    </row>
    <row r="81" spans="1:4">
      <c r="A81" s="45"/>
      <c r="B81" s="224"/>
      <c r="C81" s="45"/>
      <c r="D81" s="45"/>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56"/>
  <sheetViews>
    <sheetView topLeftCell="A21" zoomScaleNormal="100" workbookViewId="0">
      <selection activeCell="E30" sqref="E30"/>
    </sheetView>
  </sheetViews>
  <sheetFormatPr defaultRowHeight="11.25" customHeight="1"/>
  <cols>
    <col min="1" max="1" width="23.28515625" style="27" customWidth="1"/>
    <col min="2" max="2" width="12.28515625" style="27" bestFit="1" customWidth="1"/>
    <col min="3" max="3" width="14.85546875" style="27" customWidth="1"/>
    <col min="4" max="4" width="28" style="27" customWidth="1"/>
    <col min="5" max="5" width="16.7109375" style="27" customWidth="1"/>
    <col min="6" max="6" width="36.42578125" style="27" bestFit="1" customWidth="1"/>
    <col min="7" max="7" width="16" style="27" customWidth="1"/>
    <col min="8" max="8" width="15" style="27" customWidth="1"/>
    <col min="9" max="9" width="12.28515625" style="134" bestFit="1" customWidth="1"/>
    <col min="10" max="10" width="11.5703125" style="134" customWidth="1"/>
    <col min="11" max="11" width="19.7109375" style="29" customWidth="1"/>
    <col min="12" max="12" width="34.7109375" style="27" bestFit="1" customWidth="1"/>
    <col min="13" max="13" width="9" style="27" customWidth="1"/>
    <col min="14" max="14" width="13.85546875" style="27" customWidth="1"/>
    <col min="15" max="16" width="18.140625" style="27" customWidth="1"/>
    <col min="17" max="17" width="37.85546875" style="27" bestFit="1" customWidth="1"/>
    <col min="18" max="18" width="18.5703125" style="27" customWidth="1"/>
    <col min="19" max="19" width="12.7109375" style="27" customWidth="1"/>
    <col min="20" max="20" width="13.28515625" style="137" customWidth="1"/>
    <col min="21" max="22" width="20" style="27" customWidth="1"/>
    <col min="23" max="23" width="20" style="28" customWidth="1"/>
    <col min="24" max="24" width="13.5703125" style="27" customWidth="1"/>
    <col min="25" max="25" width="11.5703125" style="27" customWidth="1"/>
    <col min="26" max="26" width="17.42578125" style="207" bestFit="1" customWidth="1"/>
    <col min="27" max="28" width="17.42578125" style="27" bestFit="1" customWidth="1"/>
    <col min="29" max="29" width="17.42578125" style="27" customWidth="1"/>
    <col min="30" max="30" width="11.5703125" style="27" customWidth="1"/>
    <col min="31" max="31" width="15" style="27" bestFit="1" customWidth="1"/>
    <col min="32" max="32" width="12.28515625" style="27" customWidth="1"/>
    <col min="33" max="33" width="14.7109375" style="27" customWidth="1"/>
    <col min="34" max="34" width="10.5703125" style="27" customWidth="1"/>
    <col min="35" max="35" width="16.42578125" style="27" customWidth="1"/>
    <col min="36" max="36" width="87.7109375" style="27" bestFit="1" customWidth="1"/>
    <col min="37" max="37" width="75.28515625" style="27" customWidth="1"/>
    <col min="38" max="38" width="48.7109375" style="27" customWidth="1"/>
    <col min="39" max="244" width="9.140625" style="27"/>
    <col min="245" max="245" width="10.7109375" style="27" customWidth="1"/>
    <col min="246" max="246" width="11.42578125" style="27" customWidth="1"/>
    <col min="247" max="247" width="16.7109375" style="27" customWidth="1"/>
    <col min="248" max="250" width="15" style="27" customWidth="1"/>
    <col min="251" max="251" width="11.5703125" style="27" customWidth="1"/>
    <col min="252" max="252" width="19.7109375" style="27" customWidth="1"/>
    <col min="253" max="253" width="49.7109375" style="27" customWidth="1"/>
    <col min="254" max="254" width="9" style="27" customWidth="1"/>
    <col min="255" max="255" width="13.85546875" style="27" customWidth="1"/>
    <col min="256" max="256" width="17.85546875" style="27" customWidth="1"/>
    <col min="257" max="257" width="13.5703125" style="27" customWidth="1"/>
    <col min="258" max="258" width="18.5703125" style="27" customWidth="1"/>
    <col min="259" max="259" width="12.7109375" style="27" customWidth="1"/>
    <col min="260" max="260" width="13.28515625" style="27" customWidth="1"/>
    <col min="261" max="261" width="16.140625" style="27" customWidth="1"/>
    <col min="262" max="262" width="16.7109375" style="27" customWidth="1"/>
    <col min="263" max="263" width="12.28515625" style="27" bestFit="1" customWidth="1"/>
    <col min="264" max="264" width="11.140625" style="27" customWidth="1"/>
    <col min="265" max="265" width="13.5703125" style="27" customWidth="1"/>
    <col min="266" max="266" width="11.5703125" style="27" customWidth="1"/>
    <col min="267" max="267" width="15" style="27" bestFit="1" customWidth="1"/>
    <col min="268" max="268" width="14.85546875" style="27" bestFit="1" customWidth="1"/>
    <col min="269" max="286" width="0" style="27" hidden="1" customWidth="1"/>
    <col min="287" max="500" width="9.140625" style="27"/>
    <col min="501" max="501" width="10.7109375" style="27" customWidth="1"/>
    <col min="502" max="502" width="11.42578125" style="27" customWidth="1"/>
    <col min="503" max="503" width="16.7109375" style="27" customWidth="1"/>
    <col min="504" max="506" width="15" style="27" customWidth="1"/>
    <col min="507" max="507" width="11.5703125" style="27" customWidth="1"/>
    <col min="508" max="508" width="19.7109375" style="27" customWidth="1"/>
    <col min="509" max="509" width="49.7109375" style="27" customWidth="1"/>
    <col min="510" max="510" width="9" style="27" customWidth="1"/>
    <col min="511" max="511" width="13.85546875" style="27" customWidth="1"/>
    <col min="512" max="512" width="17.85546875" style="27" customWidth="1"/>
    <col min="513" max="513" width="13.5703125" style="27" customWidth="1"/>
    <col min="514" max="514" width="18.5703125" style="27" customWidth="1"/>
    <col min="515" max="515" width="12.7109375" style="27" customWidth="1"/>
    <col min="516" max="516" width="13.28515625" style="27" customWidth="1"/>
    <col min="517" max="517" width="16.140625" style="27" customWidth="1"/>
    <col min="518" max="518" width="16.7109375" style="27" customWidth="1"/>
    <col min="519" max="519" width="12.28515625" style="27" bestFit="1" customWidth="1"/>
    <col min="520" max="520" width="11.140625" style="27" customWidth="1"/>
    <col min="521" max="521" width="13.5703125" style="27" customWidth="1"/>
    <col min="522" max="522" width="11.5703125" style="27" customWidth="1"/>
    <col min="523" max="523" width="15" style="27" bestFit="1" customWidth="1"/>
    <col min="524" max="524" width="14.85546875" style="27" bestFit="1" customWidth="1"/>
    <col min="525" max="542" width="0" style="27" hidden="1" customWidth="1"/>
    <col min="543" max="756" width="9.140625" style="27"/>
    <col min="757" max="757" width="10.7109375" style="27" customWidth="1"/>
    <col min="758" max="758" width="11.42578125" style="27" customWidth="1"/>
    <col min="759" max="759" width="16.7109375" style="27" customWidth="1"/>
    <col min="760" max="762" width="15" style="27" customWidth="1"/>
    <col min="763" max="763" width="11.5703125" style="27" customWidth="1"/>
    <col min="764" max="764" width="19.7109375" style="27" customWidth="1"/>
    <col min="765" max="765" width="49.7109375" style="27" customWidth="1"/>
    <col min="766" max="766" width="9" style="27" customWidth="1"/>
    <col min="767" max="767" width="13.85546875" style="27" customWidth="1"/>
    <col min="768" max="768" width="17.85546875" style="27" customWidth="1"/>
    <col min="769" max="769" width="13.5703125" style="27" customWidth="1"/>
    <col min="770" max="770" width="18.5703125" style="27" customWidth="1"/>
    <col min="771" max="771" width="12.7109375" style="27" customWidth="1"/>
    <col min="772" max="772" width="13.28515625" style="27" customWidth="1"/>
    <col min="773" max="773" width="16.140625" style="27" customWidth="1"/>
    <col min="774" max="774" width="16.7109375" style="27" customWidth="1"/>
    <col min="775" max="775" width="12.28515625" style="27" bestFit="1" customWidth="1"/>
    <col min="776" max="776" width="11.140625" style="27" customWidth="1"/>
    <col min="777" max="777" width="13.5703125" style="27" customWidth="1"/>
    <col min="778" max="778" width="11.5703125" style="27" customWidth="1"/>
    <col min="779" max="779" width="15" style="27" bestFit="1" customWidth="1"/>
    <col min="780" max="780" width="14.85546875" style="27" bestFit="1" customWidth="1"/>
    <col min="781" max="798" width="0" style="27" hidden="1" customWidth="1"/>
    <col min="799" max="1012" width="9.140625" style="27"/>
    <col min="1013" max="1013" width="10.7109375" style="27" customWidth="1"/>
    <col min="1014" max="1014" width="11.42578125" style="27" customWidth="1"/>
    <col min="1015" max="1015" width="16.7109375" style="27" customWidth="1"/>
    <col min="1016" max="1018" width="15" style="27" customWidth="1"/>
    <col min="1019" max="1019" width="11.5703125" style="27" customWidth="1"/>
    <col min="1020" max="1020" width="19.7109375" style="27" customWidth="1"/>
    <col min="1021" max="1021" width="49.7109375" style="27" customWidth="1"/>
    <col min="1022" max="1022" width="9" style="27" customWidth="1"/>
    <col min="1023" max="1023" width="13.85546875" style="27" customWidth="1"/>
    <col min="1024" max="1024" width="17.85546875" style="27" customWidth="1"/>
    <col min="1025" max="1025" width="13.5703125" style="27" customWidth="1"/>
    <col min="1026" max="1026" width="18.5703125" style="27" customWidth="1"/>
    <col min="1027" max="1027" width="12.7109375" style="27" customWidth="1"/>
    <col min="1028" max="1028" width="13.28515625" style="27" customWidth="1"/>
    <col min="1029" max="1029" width="16.140625" style="27" customWidth="1"/>
    <col min="1030" max="1030" width="16.7109375" style="27" customWidth="1"/>
    <col min="1031" max="1031" width="12.28515625" style="27" bestFit="1" customWidth="1"/>
    <col min="1032" max="1032" width="11.140625" style="27" customWidth="1"/>
    <col min="1033" max="1033" width="13.5703125" style="27" customWidth="1"/>
    <col min="1034" max="1034" width="11.5703125" style="27" customWidth="1"/>
    <col min="1035" max="1035" width="15" style="27" bestFit="1" customWidth="1"/>
    <col min="1036" max="1036" width="14.85546875" style="27" bestFit="1" customWidth="1"/>
    <col min="1037" max="1054" width="0" style="27" hidden="1" customWidth="1"/>
    <col min="1055" max="1268" width="9.140625" style="27"/>
    <col min="1269" max="1269" width="10.7109375" style="27" customWidth="1"/>
    <col min="1270" max="1270" width="11.42578125" style="27" customWidth="1"/>
    <col min="1271" max="1271" width="16.7109375" style="27" customWidth="1"/>
    <col min="1272" max="1274" width="15" style="27" customWidth="1"/>
    <col min="1275" max="1275" width="11.5703125" style="27" customWidth="1"/>
    <col min="1276" max="1276" width="19.7109375" style="27" customWidth="1"/>
    <col min="1277" max="1277" width="49.7109375" style="27" customWidth="1"/>
    <col min="1278" max="1278" width="9" style="27" customWidth="1"/>
    <col min="1279" max="1279" width="13.85546875" style="27" customWidth="1"/>
    <col min="1280" max="1280" width="17.85546875" style="27" customWidth="1"/>
    <col min="1281" max="1281" width="13.5703125" style="27" customWidth="1"/>
    <col min="1282" max="1282" width="18.5703125" style="27" customWidth="1"/>
    <col min="1283" max="1283" width="12.7109375" style="27" customWidth="1"/>
    <col min="1284" max="1284" width="13.28515625" style="27" customWidth="1"/>
    <col min="1285" max="1285" width="16.140625" style="27" customWidth="1"/>
    <col min="1286" max="1286" width="16.7109375" style="27" customWidth="1"/>
    <col min="1287" max="1287" width="12.28515625" style="27" bestFit="1" customWidth="1"/>
    <col min="1288" max="1288" width="11.140625" style="27" customWidth="1"/>
    <col min="1289" max="1289" width="13.5703125" style="27" customWidth="1"/>
    <col min="1290" max="1290" width="11.5703125" style="27" customWidth="1"/>
    <col min="1291" max="1291" width="15" style="27" bestFit="1" customWidth="1"/>
    <col min="1292" max="1292" width="14.85546875" style="27" bestFit="1" customWidth="1"/>
    <col min="1293" max="1310" width="0" style="27" hidden="1" customWidth="1"/>
    <col min="1311" max="1524" width="9.140625" style="27"/>
    <col min="1525" max="1525" width="10.7109375" style="27" customWidth="1"/>
    <col min="1526" max="1526" width="11.42578125" style="27" customWidth="1"/>
    <col min="1527" max="1527" width="16.7109375" style="27" customWidth="1"/>
    <col min="1528" max="1530" width="15" style="27" customWidth="1"/>
    <col min="1531" max="1531" width="11.5703125" style="27" customWidth="1"/>
    <col min="1532" max="1532" width="19.7109375" style="27" customWidth="1"/>
    <col min="1533" max="1533" width="49.7109375" style="27" customWidth="1"/>
    <col min="1534" max="1534" width="9" style="27" customWidth="1"/>
    <col min="1535" max="1535" width="13.85546875" style="27" customWidth="1"/>
    <col min="1536" max="1536" width="17.85546875" style="27" customWidth="1"/>
    <col min="1537" max="1537" width="13.5703125" style="27" customWidth="1"/>
    <col min="1538" max="1538" width="18.5703125" style="27" customWidth="1"/>
    <col min="1539" max="1539" width="12.7109375" style="27" customWidth="1"/>
    <col min="1540" max="1540" width="13.28515625" style="27" customWidth="1"/>
    <col min="1541" max="1541" width="16.140625" style="27" customWidth="1"/>
    <col min="1542" max="1542" width="16.7109375" style="27" customWidth="1"/>
    <col min="1543" max="1543" width="12.28515625" style="27" bestFit="1" customWidth="1"/>
    <col min="1544" max="1544" width="11.140625" style="27" customWidth="1"/>
    <col min="1545" max="1545" width="13.5703125" style="27" customWidth="1"/>
    <col min="1546" max="1546" width="11.5703125" style="27" customWidth="1"/>
    <col min="1547" max="1547" width="15" style="27" bestFit="1" customWidth="1"/>
    <col min="1548" max="1548" width="14.85546875" style="27" bestFit="1" customWidth="1"/>
    <col min="1549" max="1566" width="0" style="27" hidden="1" customWidth="1"/>
    <col min="1567" max="1780" width="9.140625" style="27"/>
    <col min="1781" max="1781" width="10.7109375" style="27" customWidth="1"/>
    <col min="1782" max="1782" width="11.42578125" style="27" customWidth="1"/>
    <col min="1783" max="1783" width="16.7109375" style="27" customWidth="1"/>
    <col min="1784" max="1786" width="15" style="27" customWidth="1"/>
    <col min="1787" max="1787" width="11.5703125" style="27" customWidth="1"/>
    <col min="1788" max="1788" width="19.7109375" style="27" customWidth="1"/>
    <col min="1789" max="1789" width="49.7109375" style="27" customWidth="1"/>
    <col min="1790" max="1790" width="9" style="27" customWidth="1"/>
    <col min="1791" max="1791" width="13.85546875" style="27" customWidth="1"/>
    <col min="1792" max="1792" width="17.85546875" style="27" customWidth="1"/>
    <col min="1793" max="1793" width="13.5703125" style="27" customWidth="1"/>
    <col min="1794" max="1794" width="18.5703125" style="27" customWidth="1"/>
    <col min="1795" max="1795" width="12.7109375" style="27" customWidth="1"/>
    <col min="1796" max="1796" width="13.28515625" style="27" customWidth="1"/>
    <col min="1797" max="1797" width="16.140625" style="27" customWidth="1"/>
    <col min="1798" max="1798" width="16.7109375" style="27" customWidth="1"/>
    <col min="1799" max="1799" width="12.28515625" style="27" bestFit="1" customWidth="1"/>
    <col min="1800" max="1800" width="11.140625" style="27" customWidth="1"/>
    <col min="1801" max="1801" width="13.5703125" style="27" customWidth="1"/>
    <col min="1802" max="1802" width="11.5703125" style="27" customWidth="1"/>
    <col min="1803" max="1803" width="15" style="27" bestFit="1" customWidth="1"/>
    <col min="1804" max="1804" width="14.85546875" style="27" bestFit="1" customWidth="1"/>
    <col min="1805" max="1822" width="0" style="27" hidden="1" customWidth="1"/>
    <col min="1823" max="2036" width="9.140625" style="27"/>
    <col min="2037" max="2037" width="10.7109375" style="27" customWidth="1"/>
    <col min="2038" max="2038" width="11.42578125" style="27" customWidth="1"/>
    <col min="2039" max="2039" width="16.7109375" style="27" customWidth="1"/>
    <col min="2040" max="2042" width="15" style="27" customWidth="1"/>
    <col min="2043" max="2043" width="11.5703125" style="27" customWidth="1"/>
    <col min="2044" max="2044" width="19.7109375" style="27" customWidth="1"/>
    <col min="2045" max="2045" width="49.7109375" style="27" customWidth="1"/>
    <col min="2046" max="2046" width="9" style="27" customWidth="1"/>
    <col min="2047" max="2047" width="13.85546875" style="27" customWidth="1"/>
    <col min="2048" max="2048" width="17.85546875" style="27" customWidth="1"/>
    <col min="2049" max="2049" width="13.5703125" style="27" customWidth="1"/>
    <col min="2050" max="2050" width="18.5703125" style="27" customWidth="1"/>
    <col min="2051" max="2051" width="12.7109375" style="27" customWidth="1"/>
    <col min="2052" max="2052" width="13.28515625" style="27" customWidth="1"/>
    <col min="2053" max="2053" width="16.140625" style="27" customWidth="1"/>
    <col min="2054" max="2054" width="16.7109375" style="27" customWidth="1"/>
    <col min="2055" max="2055" width="12.28515625" style="27" bestFit="1" customWidth="1"/>
    <col min="2056" max="2056" width="11.140625" style="27" customWidth="1"/>
    <col min="2057" max="2057" width="13.5703125" style="27" customWidth="1"/>
    <col min="2058" max="2058" width="11.5703125" style="27" customWidth="1"/>
    <col min="2059" max="2059" width="15" style="27" bestFit="1" customWidth="1"/>
    <col min="2060" max="2060" width="14.85546875" style="27" bestFit="1" customWidth="1"/>
    <col min="2061" max="2078" width="0" style="27" hidden="1" customWidth="1"/>
    <col min="2079" max="2292" width="9.140625" style="27"/>
    <col min="2293" max="2293" width="10.7109375" style="27" customWidth="1"/>
    <col min="2294" max="2294" width="11.42578125" style="27" customWidth="1"/>
    <col min="2295" max="2295" width="16.7109375" style="27" customWidth="1"/>
    <col min="2296" max="2298" width="15" style="27" customWidth="1"/>
    <col min="2299" max="2299" width="11.5703125" style="27" customWidth="1"/>
    <col min="2300" max="2300" width="19.7109375" style="27" customWidth="1"/>
    <col min="2301" max="2301" width="49.7109375" style="27" customWidth="1"/>
    <col min="2302" max="2302" width="9" style="27" customWidth="1"/>
    <col min="2303" max="2303" width="13.85546875" style="27" customWidth="1"/>
    <col min="2304" max="2304" width="17.85546875" style="27" customWidth="1"/>
    <col min="2305" max="2305" width="13.5703125" style="27" customWidth="1"/>
    <col min="2306" max="2306" width="18.5703125" style="27" customWidth="1"/>
    <col min="2307" max="2307" width="12.7109375" style="27" customWidth="1"/>
    <col min="2308" max="2308" width="13.28515625" style="27" customWidth="1"/>
    <col min="2309" max="2309" width="16.140625" style="27" customWidth="1"/>
    <col min="2310" max="2310" width="16.7109375" style="27" customWidth="1"/>
    <col min="2311" max="2311" width="12.28515625" style="27" bestFit="1" customWidth="1"/>
    <col min="2312" max="2312" width="11.140625" style="27" customWidth="1"/>
    <col min="2313" max="2313" width="13.5703125" style="27" customWidth="1"/>
    <col min="2314" max="2314" width="11.5703125" style="27" customWidth="1"/>
    <col min="2315" max="2315" width="15" style="27" bestFit="1" customWidth="1"/>
    <col min="2316" max="2316" width="14.85546875" style="27" bestFit="1" customWidth="1"/>
    <col min="2317" max="2334" width="0" style="27" hidden="1" customWidth="1"/>
    <col min="2335" max="2548" width="9.140625" style="27"/>
    <col min="2549" max="2549" width="10.7109375" style="27" customWidth="1"/>
    <col min="2550" max="2550" width="11.42578125" style="27" customWidth="1"/>
    <col min="2551" max="2551" width="16.7109375" style="27" customWidth="1"/>
    <col min="2552" max="2554" width="15" style="27" customWidth="1"/>
    <col min="2555" max="2555" width="11.5703125" style="27" customWidth="1"/>
    <col min="2556" max="2556" width="19.7109375" style="27" customWidth="1"/>
    <col min="2557" max="2557" width="49.7109375" style="27" customWidth="1"/>
    <col min="2558" max="2558" width="9" style="27" customWidth="1"/>
    <col min="2559" max="2559" width="13.85546875" style="27" customWidth="1"/>
    <col min="2560" max="2560" width="17.85546875" style="27" customWidth="1"/>
    <col min="2561" max="2561" width="13.5703125" style="27" customWidth="1"/>
    <col min="2562" max="2562" width="18.5703125" style="27" customWidth="1"/>
    <col min="2563" max="2563" width="12.7109375" style="27" customWidth="1"/>
    <col min="2564" max="2564" width="13.28515625" style="27" customWidth="1"/>
    <col min="2565" max="2565" width="16.140625" style="27" customWidth="1"/>
    <col min="2566" max="2566" width="16.7109375" style="27" customWidth="1"/>
    <col min="2567" max="2567" width="12.28515625" style="27" bestFit="1" customWidth="1"/>
    <col min="2568" max="2568" width="11.140625" style="27" customWidth="1"/>
    <col min="2569" max="2569" width="13.5703125" style="27" customWidth="1"/>
    <col min="2570" max="2570" width="11.5703125" style="27" customWidth="1"/>
    <col min="2571" max="2571" width="15" style="27" bestFit="1" customWidth="1"/>
    <col min="2572" max="2572" width="14.85546875" style="27" bestFit="1" customWidth="1"/>
    <col min="2573" max="2590" width="0" style="27" hidden="1" customWidth="1"/>
    <col min="2591" max="2804" width="9.140625" style="27"/>
    <col min="2805" max="2805" width="10.7109375" style="27" customWidth="1"/>
    <col min="2806" max="2806" width="11.42578125" style="27" customWidth="1"/>
    <col min="2807" max="2807" width="16.7109375" style="27" customWidth="1"/>
    <col min="2808" max="2810" width="15" style="27" customWidth="1"/>
    <col min="2811" max="2811" width="11.5703125" style="27" customWidth="1"/>
    <col min="2812" max="2812" width="19.7109375" style="27" customWidth="1"/>
    <col min="2813" max="2813" width="49.7109375" style="27" customWidth="1"/>
    <col min="2814" max="2814" width="9" style="27" customWidth="1"/>
    <col min="2815" max="2815" width="13.85546875" style="27" customWidth="1"/>
    <col min="2816" max="2816" width="17.85546875" style="27" customWidth="1"/>
    <col min="2817" max="2817" width="13.5703125" style="27" customWidth="1"/>
    <col min="2818" max="2818" width="18.5703125" style="27" customWidth="1"/>
    <col min="2819" max="2819" width="12.7109375" style="27" customWidth="1"/>
    <col min="2820" max="2820" width="13.28515625" style="27" customWidth="1"/>
    <col min="2821" max="2821" width="16.140625" style="27" customWidth="1"/>
    <col min="2822" max="2822" width="16.7109375" style="27" customWidth="1"/>
    <col min="2823" max="2823" width="12.28515625" style="27" bestFit="1" customWidth="1"/>
    <col min="2824" max="2824" width="11.140625" style="27" customWidth="1"/>
    <col min="2825" max="2825" width="13.5703125" style="27" customWidth="1"/>
    <col min="2826" max="2826" width="11.5703125" style="27" customWidth="1"/>
    <col min="2827" max="2827" width="15" style="27" bestFit="1" customWidth="1"/>
    <col min="2828" max="2828" width="14.85546875" style="27" bestFit="1" customWidth="1"/>
    <col min="2829" max="2846" width="0" style="27" hidden="1" customWidth="1"/>
    <col min="2847" max="3060" width="9.140625" style="27"/>
    <col min="3061" max="3061" width="10.7109375" style="27" customWidth="1"/>
    <col min="3062" max="3062" width="11.42578125" style="27" customWidth="1"/>
    <col min="3063" max="3063" width="16.7109375" style="27" customWidth="1"/>
    <col min="3064" max="3066" width="15" style="27" customWidth="1"/>
    <col min="3067" max="3067" width="11.5703125" style="27" customWidth="1"/>
    <col min="3068" max="3068" width="19.7109375" style="27" customWidth="1"/>
    <col min="3069" max="3069" width="49.7109375" style="27" customWidth="1"/>
    <col min="3070" max="3070" width="9" style="27" customWidth="1"/>
    <col min="3071" max="3071" width="13.85546875" style="27" customWidth="1"/>
    <col min="3072" max="3072" width="17.85546875" style="27" customWidth="1"/>
    <col min="3073" max="3073" width="13.5703125" style="27" customWidth="1"/>
    <col min="3074" max="3074" width="18.5703125" style="27" customWidth="1"/>
    <col min="3075" max="3075" width="12.7109375" style="27" customWidth="1"/>
    <col min="3076" max="3076" width="13.28515625" style="27" customWidth="1"/>
    <col min="3077" max="3077" width="16.140625" style="27" customWidth="1"/>
    <col min="3078" max="3078" width="16.7109375" style="27" customWidth="1"/>
    <col min="3079" max="3079" width="12.28515625" style="27" bestFit="1" customWidth="1"/>
    <col min="3080" max="3080" width="11.140625" style="27" customWidth="1"/>
    <col min="3081" max="3081" width="13.5703125" style="27" customWidth="1"/>
    <col min="3082" max="3082" width="11.5703125" style="27" customWidth="1"/>
    <col min="3083" max="3083" width="15" style="27" bestFit="1" customWidth="1"/>
    <col min="3084" max="3084" width="14.85546875" style="27" bestFit="1" customWidth="1"/>
    <col min="3085" max="3102" width="0" style="27" hidden="1" customWidth="1"/>
    <col min="3103" max="3316" width="9.140625" style="27"/>
    <col min="3317" max="3317" width="10.7109375" style="27" customWidth="1"/>
    <col min="3318" max="3318" width="11.42578125" style="27" customWidth="1"/>
    <col min="3319" max="3319" width="16.7109375" style="27" customWidth="1"/>
    <col min="3320" max="3322" width="15" style="27" customWidth="1"/>
    <col min="3323" max="3323" width="11.5703125" style="27" customWidth="1"/>
    <col min="3324" max="3324" width="19.7109375" style="27" customWidth="1"/>
    <col min="3325" max="3325" width="49.7109375" style="27" customWidth="1"/>
    <col min="3326" max="3326" width="9" style="27" customWidth="1"/>
    <col min="3327" max="3327" width="13.85546875" style="27" customWidth="1"/>
    <col min="3328" max="3328" width="17.85546875" style="27" customWidth="1"/>
    <col min="3329" max="3329" width="13.5703125" style="27" customWidth="1"/>
    <col min="3330" max="3330" width="18.5703125" style="27" customWidth="1"/>
    <col min="3331" max="3331" width="12.7109375" style="27" customWidth="1"/>
    <col min="3332" max="3332" width="13.28515625" style="27" customWidth="1"/>
    <col min="3333" max="3333" width="16.140625" style="27" customWidth="1"/>
    <col min="3334" max="3334" width="16.7109375" style="27" customWidth="1"/>
    <col min="3335" max="3335" width="12.28515625" style="27" bestFit="1" customWidth="1"/>
    <col min="3336" max="3336" width="11.140625" style="27" customWidth="1"/>
    <col min="3337" max="3337" width="13.5703125" style="27" customWidth="1"/>
    <col min="3338" max="3338" width="11.5703125" style="27" customWidth="1"/>
    <col min="3339" max="3339" width="15" style="27" bestFit="1" customWidth="1"/>
    <col min="3340" max="3340" width="14.85546875" style="27" bestFit="1" customWidth="1"/>
    <col min="3341" max="3358" width="0" style="27" hidden="1" customWidth="1"/>
    <col min="3359" max="3572" width="9.140625" style="27"/>
    <col min="3573" max="3573" width="10.7109375" style="27" customWidth="1"/>
    <col min="3574" max="3574" width="11.42578125" style="27" customWidth="1"/>
    <col min="3575" max="3575" width="16.7109375" style="27" customWidth="1"/>
    <col min="3576" max="3578" width="15" style="27" customWidth="1"/>
    <col min="3579" max="3579" width="11.5703125" style="27" customWidth="1"/>
    <col min="3580" max="3580" width="19.7109375" style="27" customWidth="1"/>
    <col min="3581" max="3581" width="49.7109375" style="27" customWidth="1"/>
    <col min="3582" max="3582" width="9" style="27" customWidth="1"/>
    <col min="3583" max="3583" width="13.85546875" style="27" customWidth="1"/>
    <col min="3584" max="3584" width="17.85546875" style="27" customWidth="1"/>
    <col min="3585" max="3585" width="13.5703125" style="27" customWidth="1"/>
    <col min="3586" max="3586" width="18.5703125" style="27" customWidth="1"/>
    <col min="3587" max="3587" width="12.7109375" style="27" customWidth="1"/>
    <col min="3588" max="3588" width="13.28515625" style="27" customWidth="1"/>
    <col min="3589" max="3589" width="16.140625" style="27" customWidth="1"/>
    <col min="3590" max="3590" width="16.7109375" style="27" customWidth="1"/>
    <col min="3591" max="3591" width="12.28515625" style="27" bestFit="1" customWidth="1"/>
    <col min="3592" max="3592" width="11.140625" style="27" customWidth="1"/>
    <col min="3593" max="3593" width="13.5703125" style="27" customWidth="1"/>
    <col min="3594" max="3594" width="11.5703125" style="27" customWidth="1"/>
    <col min="3595" max="3595" width="15" style="27" bestFit="1" customWidth="1"/>
    <col min="3596" max="3596" width="14.85546875" style="27" bestFit="1" customWidth="1"/>
    <col min="3597" max="3614" width="0" style="27" hidden="1" customWidth="1"/>
    <col min="3615" max="3828" width="9.140625" style="27"/>
    <col min="3829" max="3829" width="10.7109375" style="27" customWidth="1"/>
    <col min="3830" max="3830" width="11.42578125" style="27" customWidth="1"/>
    <col min="3831" max="3831" width="16.7109375" style="27" customWidth="1"/>
    <col min="3832" max="3834" width="15" style="27" customWidth="1"/>
    <col min="3835" max="3835" width="11.5703125" style="27" customWidth="1"/>
    <col min="3836" max="3836" width="19.7109375" style="27" customWidth="1"/>
    <col min="3837" max="3837" width="49.7109375" style="27" customWidth="1"/>
    <col min="3838" max="3838" width="9" style="27" customWidth="1"/>
    <col min="3839" max="3839" width="13.85546875" style="27" customWidth="1"/>
    <col min="3840" max="3840" width="17.85546875" style="27" customWidth="1"/>
    <col min="3841" max="3841" width="13.5703125" style="27" customWidth="1"/>
    <col min="3842" max="3842" width="18.5703125" style="27" customWidth="1"/>
    <col min="3843" max="3843" width="12.7109375" style="27" customWidth="1"/>
    <col min="3844" max="3844" width="13.28515625" style="27" customWidth="1"/>
    <col min="3845" max="3845" width="16.140625" style="27" customWidth="1"/>
    <col min="3846" max="3846" width="16.7109375" style="27" customWidth="1"/>
    <col min="3847" max="3847" width="12.28515625" style="27" bestFit="1" customWidth="1"/>
    <col min="3848" max="3848" width="11.140625" style="27" customWidth="1"/>
    <col min="3849" max="3849" width="13.5703125" style="27" customWidth="1"/>
    <col min="3850" max="3850" width="11.5703125" style="27" customWidth="1"/>
    <col min="3851" max="3851" width="15" style="27" bestFit="1" customWidth="1"/>
    <col min="3852" max="3852" width="14.85546875" style="27" bestFit="1" customWidth="1"/>
    <col min="3853" max="3870" width="0" style="27" hidden="1" customWidth="1"/>
    <col min="3871" max="4084" width="9.140625" style="27"/>
    <col min="4085" max="4085" width="10.7109375" style="27" customWidth="1"/>
    <col min="4086" max="4086" width="11.42578125" style="27" customWidth="1"/>
    <col min="4087" max="4087" width="16.7109375" style="27" customWidth="1"/>
    <col min="4088" max="4090" width="15" style="27" customWidth="1"/>
    <col min="4091" max="4091" width="11.5703125" style="27" customWidth="1"/>
    <col min="4092" max="4092" width="19.7109375" style="27" customWidth="1"/>
    <col min="4093" max="4093" width="49.7109375" style="27" customWidth="1"/>
    <col min="4094" max="4094" width="9" style="27" customWidth="1"/>
    <col min="4095" max="4095" width="13.85546875" style="27" customWidth="1"/>
    <col min="4096" max="4096" width="17.85546875" style="27" customWidth="1"/>
    <col min="4097" max="4097" width="13.5703125" style="27" customWidth="1"/>
    <col min="4098" max="4098" width="18.5703125" style="27" customWidth="1"/>
    <col min="4099" max="4099" width="12.7109375" style="27" customWidth="1"/>
    <col min="4100" max="4100" width="13.28515625" style="27" customWidth="1"/>
    <col min="4101" max="4101" width="16.140625" style="27" customWidth="1"/>
    <col min="4102" max="4102" width="16.7109375" style="27" customWidth="1"/>
    <col min="4103" max="4103" width="12.28515625" style="27" bestFit="1" customWidth="1"/>
    <col min="4104" max="4104" width="11.140625" style="27" customWidth="1"/>
    <col min="4105" max="4105" width="13.5703125" style="27" customWidth="1"/>
    <col min="4106" max="4106" width="11.5703125" style="27" customWidth="1"/>
    <col min="4107" max="4107" width="15" style="27" bestFit="1" customWidth="1"/>
    <col min="4108" max="4108" width="14.85546875" style="27" bestFit="1" customWidth="1"/>
    <col min="4109" max="4126" width="0" style="27" hidden="1" customWidth="1"/>
    <col min="4127" max="4340" width="9.140625" style="27"/>
    <col min="4341" max="4341" width="10.7109375" style="27" customWidth="1"/>
    <col min="4342" max="4342" width="11.42578125" style="27" customWidth="1"/>
    <col min="4343" max="4343" width="16.7109375" style="27" customWidth="1"/>
    <col min="4344" max="4346" width="15" style="27" customWidth="1"/>
    <col min="4347" max="4347" width="11.5703125" style="27" customWidth="1"/>
    <col min="4348" max="4348" width="19.7109375" style="27" customWidth="1"/>
    <col min="4349" max="4349" width="49.7109375" style="27" customWidth="1"/>
    <col min="4350" max="4350" width="9" style="27" customWidth="1"/>
    <col min="4351" max="4351" width="13.85546875" style="27" customWidth="1"/>
    <col min="4352" max="4352" width="17.85546875" style="27" customWidth="1"/>
    <col min="4353" max="4353" width="13.5703125" style="27" customWidth="1"/>
    <col min="4354" max="4354" width="18.5703125" style="27" customWidth="1"/>
    <col min="4355" max="4355" width="12.7109375" style="27" customWidth="1"/>
    <col min="4356" max="4356" width="13.28515625" style="27" customWidth="1"/>
    <col min="4357" max="4357" width="16.140625" style="27" customWidth="1"/>
    <col min="4358" max="4358" width="16.7109375" style="27" customWidth="1"/>
    <col min="4359" max="4359" width="12.28515625" style="27" bestFit="1" customWidth="1"/>
    <col min="4360" max="4360" width="11.140625" style="27" customWidth="1"/>
    <col min="4361" max="4361" width="13.5703125" style="27" customWidth="1"/>
    <col min="4362" max="4362" width="11.5703125" style="27" customWidth="1"/>
    <col min="4363" max="4363" width="15" style="27" bestFit="1" customWidth="1"/>
    <col min="4364" max="4364" width="14.85546875" style="27" bestFit="1" customWidth="1"/>
    <col min="4365" max="4382" width="0" style="27" hidden="1" customWidth="1"/>
    <col min="4383" max="4596" width="9.140625" style="27"/>
    <col min="4597" max="4597" width="10.7109375" style="27" customWidth="1"/>
    <col min="4598" max="4598" width="11.42578125" style="27" customWidth="1"/>
    <col min="4599" max="4599" width="16.7109375" style="27" customWidth="1"/>
    <col min="4600" max="4602" width="15" style="27" customWidth="1"/>
    <col min="4603" max="4603" width="11.5703125" style="27" customWidth="1"/>
    <col min="4604" max="4604" width="19.7109375" style="27" customWidth="1"/>
    <col min="4605" max="4605" width="49.7109375" style="27" customWidth="1"/>
    <col min="4606" max="4606" width="9" style="27" customWidth="1"/>
    <col min="4607" max="4607" width="13.85546875" style="27" customWidth="1"/>
    <col min="4608" max="4608" width="17.85546875" style="27" customWidth="1"/>
    <col min="4609" max="4609" width="13.5703125" style="27" customWidth="1"/>
    <col min="4610" max="4610" width="18.5703125" style="27" customWidth="1"/>
    <col min="4611" max="4611" width="12.7109375" style="27" customWidth="1"/>
    <col min="4612" max="4612" width="13.28515625" style="27" customWidth="1"/>
    <col min="4613" max="4613" width="16.140625" style="27" customWidth="1"/>
    <col min="4614" max="4614" width="16.7109375" style="27" customWidth="1"/>
    <col min="4615" max="4615" width="12.28515625" style="27" bestFit="1" customWidth="1"/>
    <col min="4616" max="4616" width="11.140625" style="27" customWidth="1"/>
    <col min="4617" max="4617" width="13.5703125" style="27" customWidth="1"/>
    <col min="4618" max="4618" width="11.5703125" style="27" customWidth="1"/>
    <col min="4619" max="4619" width="15" style="27" bestFit="1" customWidth="1"/>
    <col min="4620" max="4620" width="14.85546875" style="27" bestFit="1" customWidth="1"/>
    <col min="4621" max="4638" width="0" style="27" hidden="1" customWidth="1"/>
    <col min="4639" max="4852" width="9.140625" style="27"/>
    <col min="4853" max="4853" width="10.7109375" style="27" customWidth="1"/>
    <col min="4854" max="4854" width="11.42578125" style="27" customWidth="1"/>
    <col min="4855" max="4855" width="16.7109375" style="27" customWidth="1"/>
    <col min="4856" max="4858" width="15" style="27" customWidth="1"/>
    <col min="4859" max="4859" width="11.5703125" style="27" customWidth="1"/>
    <col min="4860" max="4860" width="19.7109375" style="27" customWidth="1"/>
    <col min="4861" max="4861" width="49.7109375" style="27" customWidth="1"/>
    <col min="4862" max="4862" width="9" style="27" customWidth="1"/>
    <col min="4863" max="4863" width="13.85546875" style="27" customWidth="1"/>
    <col min="4864" max="4864" width="17.85546875" style="27" customWidth="1"/>
    <col min="4865" max="4865" width="13.5703125" style="27" customWidth="1"/>
    <col min="4866" max="4866" width="18.5703125" style="27" customWidth="1"/>
    <col min="4867" max="4867" width="12.7109375" style="27" customWidth="1"/>
    <col min="4868" max="4868" width="13.28515625" style="27" customWidth="1"/>
    <col min="4869" max="4869" width="16.140625" style="27" customWidth="1"/>
    <col min="4870" max="4870" width="16.7109375" style="27" customWidth="1"/>
    <col min="4871" max="4871" width="12.28515625" style="27" bestFit="1" customWidth="1"/>
    <col min="4872" max="4872" width="11.140625" style="27" customWidth="1"/>
    <col min="4873" max="4873" width="13.5703125" style="27" customWidth="1"/>
    <col min="4874" max="4874" width="11.5703125" style="27" customWidth="1"/>
    <col min="4875" max="4875" width="15" style="27" bestFit="1" customWidth="1"/>
    <col min="4876" max="4876" width="14.85546875" style="27" bestFit="1" customWidth="1"/>
    <col min="4877" max="4894" width="0" style="27" hidden="1" customWidth="1"/>
    <col min="4895" max="5108" width="9.140625" style="27"/>
    <col min="5109" max="5109" width="10.7109375" style="27" customWidth="1"/>
    <col min="5110" max="5110" width="11.42578125" style="27" customWidth="1"/>
    <col min="5111" max="5111" width="16.7109375" style="27" customWidth="1"/>
    <col min="5112" max="5114" width="15" style="27" customWidth="1"/>
    <col min="5115" max="5115" width="11.5703125" style="27" customWidth="1"/>
    <col min="5116" max="5116" width="19.7109375" style="27" customWidth="1"/>
    <col min="5117" max="5117" width="49.7109375" style="27" customWidth="1"/>
    <col min="5118" max="5118" width="9" style="27" customWidth="1"/>
    <col min="5119" max="5119" width="13.85546875" style="27" customWidth="1"/>
    <col min="5120" max="5120" width="17.85546875" style="27" customWidth="1"/>
    <col min="5121" max="5121" width="13.5703125" style="27" customWidth="1"/>
    <col min="5122" max="5122" width="18.5703125" style="27" customWidth="1"/>
    <col min="5123" max="5123" width="12.7109375" style="27" customWidth="1"/>
    <col min="5124" max="5124" width="13.28515625" style="27" customWidth="1"/>
    <col min="5125" max="5125" width="16.140625" style="27" customWidth="1"/>
    <col min="5126" max="5126" width="16.7109375" style="27" customWidth="1"/>
    <col min="5127" max="5127" width="12.28515625" style="27" bestFit="1" customWidth="1"/>
    <col min="5128" max="5128" width="11.140625" style="27" customWidth="1"/>
    <col min="5129" max="5129" width="13.5703125" style="27" customWidth="1"/>
    <col min="5130" max="5130" width="11.5703125" style="27" customWidth="1"/>
    <col min="5131" max="5131" width="15" style="27" bestFit="1" customWidth="1"/>
    <col min="5132" max="5132" width="14.85546875" style="27" bestFit="1" customWidth="1"/>
    <col min="5133" max="5150" width="0" style="27" hidden="1" customWidth="1"/>
    <col min="5151" max="5364" width="9.140625" style="27"/>
    <col min="5365" max="5365" width="10.7109375" style="27" customWidth="1"/>
    <col min="5366" max="5366" width="11.42578125" style="27" customWidth="1"/>
    <col min="5367" max="5367" width="16.7109375" style="27" customWidth="1"/>
    <col min="5368" max="5370" width="15" style="27" customWidth="1"/>
    <col min="5371" max="5371" width="11.5703125" style="27" customWidth="1"/>
    <col min="5372" max="5372" width="19.7109375" style="27" customWidth="1"/>
    <col min="5373" max="5373" width="49.7109375" style="27" customWidth="1"/>
    <col min="5374" max="5374" width="9" style="27" customWidth="1"/>
    <col min="5375" max="5375" width="13.85546875" style="27" customWidth="1"/>
    <col min="5376" max="5376" width="17.85546875" style="27" customWidth="1"/>
    <col min="5377" max="5377" width="13.5703125" style="27" customWidth="1"/>
    <col min="5378" max="5378" width="18.5703125" style="27" customWidth="1"/>
    <col min="5379" max="5379" width="12.7109375" style="27" customWidth="1"/>
    <col min="5380" max="5380" width="13.28515625" style="27" customWidth="1"/>
    <col min="5381" max="5381" width="16.140625" style="27" customWidth="1"/>
    <col min="5382" max="5382" width="16.7109375" style="27" customWidth="1"/>
    <col min="5383" max="5383" width="12.28515625" style="27" bestFit="1" customWidth="1"/>
    <col min="5384" max="5384" width="11.140625" style="27" customWidth="1"/>
    <col min="5385" max="5385" width="13.5703125" style="27" customWidth="1"/>
    <col min="5386" max="5386" width="11.5703125" style="27" customWidth="1"/>
    <col min="5387" max="5387" width="15" style="27" bestFit="1" customWidth="1"/>
    <col min="5388" max="5388" width="14.85546875" style="27" bestFit="1" customWidth="1"/>
    <col min="5389" max="5406" width="0" style="27" hidden="1" customWidth="1"/>
    <col min="5407" max="5620" width="9.140625" style="27"/>
    <col min="5621" max="5621" width="10.7109375" style="27" customWidth="1"/>
    <col min="5622" max="5622" width="11.42578125" style="27" customWidth="1"/>
    <col min="5623" max="5623" width="16.7109375" style="27" customWidth="1"/>
    <col min="5624" max="5626" width="15" style="27" customWidth="1"/>
    <col min="5627" max="5627" width="11.5703125" style="27" customWidth="1"/>
    <col min="5628" max="5628" width="19.7109375" style="27" customWidth="1"/>
    <col min="5629" max="5629" width="49.7109375" style="27" customWidth="1"/>
    <col min="5630" max="5630" width="9" style="27" customWidth="1"/>
    <col min="5631" max="5631" width="13.85546875" style="27" customWidth="1"/>
    <col min="5632" max="5632" width="17.85546875" style="27" customWidth="1"/>
    <col min="5633" max="5633" width="13.5703125" style="27" customWidth="1"/>
    <col min="5634" max="5634" width="18.5703125" style="27" customWidth="1"/>
    <col min="5635" max="5635" width="12.7109375" style="27" customWidth="1"/>
    <col min="5636" max="5636" width="13.28515625" style="27" customWidth="1"/>
    <col min="5637" max="5637" width="16.140625" style="27" customWidth="1"/>
    <col min="5638" max="5638" width="16.7109375" style="27" customWidth="1"/>
    <col min="5639" max="5639" width="12.28515625" style="27" bestFit="1" customWidth="1"/>
    <col min="5640" max="5640" width="11.140625" style="27" customWidth="1"/>
    <col min="5641" max="5641" width="13.5703125" style="27" customWidth="1"/>
    <col min="5642" max="5642" width="11.5703125" style="27" customWidth="1"/>
    <col min="5643" max="5643" width="15" style="27" bestFit="1" customWidth="1"/>
    <col min="5644" max="5644" width="14.85546875" style="27" bestFit="1" customWidth="1"/>
    <col min="5645" max="5662" width="0" style="27" hidden="1" customWidth="1"/>
    <col min="5663" max="5876" width="9.140625" style="27"/>
    <col min="5877" max="5877" width="10.7109375" style="27" customWidth="1"/>
    <col min="5878" max="5878" width="11.42578125" style="27" customWidth="1"/>
    <col min="5879" max="5879" width="16.7109375" style="27" customWidth="1"/>
    <col min="5880" max="5882" width="15" style="27" customWidth="1"/>
    <col min="5883" max="5883" width="11.5703125" style="27" customWidth="1"/>
    <col min="5884" max="5884" width="19.7109375" style="27" customWidth="1"/>
    <col min="5885" max="5885" width="49.7109375" style="27" customWidth="1"/>
    <col min="5886" max="5886" width="9" style="27" customWidth="1"/>
    <col min="5887" max="5887" width="13.85546875" style="27" customWidth="1"/>
    <col min="5888" max="5888" width="17.85546875" style="27" customWidth="1"/>
    <col min="5889" max="5889" width="13.5703125" style="27" customWidth="1"/>
    <col min="5890" max="5890" width="18.5703125" style="27" customWidth="1"/>
    <col min="5891" max="5891" width="12.7109375" style="27" customWidth="1"/>
    <col min="5892" max="5892" width="13.28515625" style="27" customWidth="1"/>
    <col min="5893" max="5893" width="16.140625" style="27" customWidth="1"/>
    <col min="5894" max="5894" width="16.7109375" style="27" customWidth="1"/>
    <col min="5895" max="5895" width="12.28515625" style="27" bestFit="1" customWidth="1"/>
    <col min="5896" max="5896" width="11.140625" style="27" customWidth="1"/>
    <col min="5897" max="5897" width="13.5703125" style="27" customWidth="1"/>
    <col min="5898" max="5898" width="11.5703125" style="27" customWidth="1"/>
    <col min="5899" max="5899" width="15" style="27" bestFit="1" customWidth="1"/>
    <col min="5900" max="5900" width="14.85546875" style="27" bestFit="1" customWidth="1"/>
    <col min="5901" max="5918" width="0" style="27" hidden="1" customWidth="1"/>
    <col min="5919" max="6132" width="9.140625" style="27"/>
    <col min="6133" max="6133" width="10.7109375" style="27" customWidth="1"/>
    <col min="6134" max="6134" width="11.42578125" style="27" customWidth="1"/>
    <col min="6135" max="6135" width="16.7109375" style="27" customWidth="1"/>
    <col min="6136" max="6138" width="15" style="27" customWidth="1"/>
    <col min="6139" max="6139" width="11.5703125" style="27" customWidth="1"/>
    <col min="6140" max="6140" width="19.7109375" style="27" customWidth="1"/>
    <col min="6141" max="6141" width="49.7109375" style="27" customWidth="1"/>
    <col min="6142" max="6142" width="9" style="27" customWidth="1"/>
    <col min="6143" max="6143" width="13.85546875" style="27" customWidth="1"/>
    <col min="6144" max="6144" width="17.85546875" style="27" customWidth="1"/>
    <col min="6145" max="6145" width="13.5703125" style="27" customWidth="1"/>
    <col min="6146" max="6146" width="18.5703125" style="27" customWidth="1"/>
    <col min="6147" max="6147" width="12.7109375" style="27" customWidth="1"/>
    <col min="6148" max="6148" width="13.28515625" style="27" customWidth="1"/>
    <col min="6149" max="6149" width="16.140625" style="27" customWidth="1"/>
    <col min="6150" max="6150" width="16.7109375" style="27" customWidth="1"/>
    <col min="6151" max="6151" width="12.28515625" style="27" bestFit="1" customWidth="1"/>
    <col min="6152" max="6152" width="11.140625" style="27" customWidth="1"/>
    <col min="6153" max="6153" width="13.5703125" style="27" customWidth="1"/>
    <col min="6154" max="6154" width="11.5703125" style="27" customWidth="1"/>
    <col min="6155" max="6155" width="15" style="27" bestFit="1" customWidth="1"/>
    <col min="6156" max="6156" width="14.85546875" style="27" bestFit="1" customWidth="1"/>
    <col min="6157" max="6174" width="0" style="27" hidden="1" customWidth="1"/>
    <col min="6175" max="6388" width="9.140625" style="27"/>
    <col min="6389" max="6389" width="10.7109375" style="27" customWidth="1"/>
    <col min="6390" max="6390" width="11.42578125" style="27" customWidth="1"/>
    <col min="6391" max="6391" width="16.7109375" style="27" customWidth="1"/>
    <col min="6392" max="6394" width="15" style="27" customWidth="1"/>
    <col min="6395" max="6395" width="11.5703125" style="27" customWidth="1"/>
    <col min="6396" max="6396" width="19.7109375" style="27" customWidth="1"/>
    <col min="6397" max="6397" width="49.7109375" style="27" customWidth="1"/>
    <col min="6398" max="6398" width="9" style="27" customWidth="1"/>
    <col min="6399" max="6399" width="13.85546875" style="27" customWidth="1"/>
    <col min="6400" max="6400" width="17.85546875" style="27" customWidth="1"/>
    <col min="6401" max="6401" width="13.5703125" style="27" customWidth="1"/>
    <col min="6402" max="6402" width="18.5703125" style="27" customWidth="1"/>
    <col min="6403" max="6403" width="12.7109375" style="27" customWidth="1"/>
    <col min="6404" max="6404" width="13.28515625" style="27" customWidth="1"/>
    <col min="6405" max="6405" width="16.140625" style="27" customWidth="1"/>
    <col min="6406" max="6406" width="16.7109375" style="27" customWidth="1"/>
    <col min="6407" max="6407" width="12.28515625" style="27" bestFit="1" customWidth="1"/>
    <col min="6408" max="6408" width="11.140625" style="27" customWidth="1"/>
    <col min="6409" max="6409" width="13.5703125" style="27" customWidth="1"/>
    <col min="6410" max="6410" width="11.5703125" style="27" customWidth="1"/>
    <col min="6411" max="6411" width="15" style="27" bestFit="1" customWidth="1"/>
    <col min="6412" max="6412" width="14.85546875" style="27" bestFit="1" customWidth="1"/>
    <col min="6413" max="6430" width="0" style="27" hidden="1" customWidth="1"/>
    <col min="6431" max="6644" width="9.140625" style="27"/>
    <col min="6645" max="6645" width="10.7109375" style="27" customWidth="1"/>
    <col min="6646" max="6646" width="11.42578125" style="27" customWidth="1"/>
    <col min="6647" max="6647" width="16.7109375" style="27" customWidth="1"/>
    <col min="6648" max="6650" width="15" style="27" customWidth="1"/>
    <col min="6651" max="6651" width="11.5703125" style="27" customWidth="1"/>
    <col min="6652" max="6652" width="19.7109375" style="27" customWidth="1"/>
    <col min="6653" max="6653" width="49.7109375" style="27" customWidth="1"/>
    <col min="6654" max="6654" width="9" style="27" customWidth="1"/>
    <col min="6655" max="6655" width="13.85546875" style="27" customWidth="1"/>
    <col min="6656" max="6656" width="17.85546875" style="27" customWidth="1"/>
    <col min="6657" max="6657" width="13.5703125" style="27" customWidth="1"/>
    <col min="6658" max="6658" width="18.5703125" style="27" customWidth="1"/>
    <col min="6659" max="6659" width="12.7109375" style="27" customWidth="1"/>
    <col min="6660" max="6660" width="13.28515625" style="27" customWidth="1"/>
    <col min="6661" max="6661" width="16.140625" style="27" customWidth="1"/>
    <col min="6662" max="6662" width="16.7109375" style="27" customWidth="1"/>
    <col min="6663" max="6663" width="12.28515625" style="27" bestFit="1" customWidth="1"/>
    <col min="6664" max="6664" width="11.140625" style="27" customWidth="1"/>
    <col min="6665" max="6665" width="13.5703125" style="27" customWidth="1"/>
    <col min="6666" max="6666" width="11.5703125" style="27" customWidth="1"/>
    <col min="6667" max="6667" width="15" style="27" bestFit="1" customWidth="1"/>
    <col min="6668" max="6668" width="14.85546875" style="27" bestFit="1" customWidth="1"/>
    <col min="6669" max="6686" width="0" style="27" hidden="1" customWidth="1"/>
    <col min="6687" max="6900" width="9.140625" style="27"/>
    <col min="6901" max="6901" width="10.7109375" style="27" customWidth="1"/>
    <col min="6902" max="6902" width="11.42578125" style="27" customWidth="1"/>
    <col min="6903" max="6903" width="16.7109375" style="27" customWidth="1"/>
    <col min="6904" max="6906" width="15" style="27" customWidth="1"/>
    <col min="6907" max="6907" width="11.5703125" style="27" customWidth="1"/>
    <col min="6908" max="6908" width="19.7109375" style="27" customWidth="1"/>
    <col min="6909" max="6909" width="49.7109375" style="27" customWidth="1"/>
    <col min="6910" max="6910" width="9" style="27" customWidth="1"/>
    <col min="6911" max="6911" width="13.85546875" style="27" customWidth="1"/>
    <col min="6912" max="6912" width="17.85546875" style="27" customWidth="1"/>
    <col min="6913" max="6913" width="13.5703125" style="27" customWidth="1"/>
    <col min="6914" max="6914" width="18.5703125" style="27" customWidth="1"/>
    <col min="6915" max="6915" width="12.7109375" style="27" customWidth="1"/>
    <col min="6916" max="6916" width="13.28515625" style="27" customWidth="1"/>
    <col min="6917" max="6917" width="16.140625" style="27" customWidth="1"/>
    <col min="6918" max="6918" width="16.7109375" style="27" customWidth="1"/>
    <col min="6919" max="6919" width="12.28515625" style="27" bestFit="1" customWidth="1"/>
    <col min="6920" max="6920" width="11.140625" style="27" customWidth="1"/>
    <col min="6921" max="6921" width="13.5703125" style="27" customWidth="1"/>
    <col min="6922" max="6922" width="11.5703125" style="27" customWidth="1"/>
    <col min="6923" max="6923" width="15" style="27" bestFit="1" customWidth="1"/>
    <col min="6924" max="6924" width="14.85546875" style="27" bestFit="1" customWidth="1"/>
    <col min="6925" max="6942" width="0" style="27" hidden="1" customWidth="1"/>
    <col min="6943" max="7156" width="9.140625" style="27"/>
    <col min="7157" max="7157" width="10.7109375" style="27" customWidth="1"/>
    <col min="7158" max="7158" width="11.42578125" style="27" customWidth="1"/>
    <col min="7159" max="7159" width="16.7109375" style="27" customWidth="1"/>
    <col min="7160" max="7162" width="15" style="27" customWidth="1"/>
    <col min="7163" max="7163" width="11.5703125" style="27" customWidth="1"/>
    <col min="7164" max="7164" width="19.7109375" style="27" customWidth="1"/>
    <col min="7165" max="7165" width="49.7109375" style="27" customWidth="1"/>
    <col min="7166" max="7166" width="9" style="27" customWidth="1"/>
    <col min="7167" max="7167" width="13.85546875" style="27" customWidth="1"/>
    <col min="7168" max="7168" width="17.85546875" style="27" customWidth="1"/>
    <col min="7169" max="7169" width="13.5703125" style="27" customWidth="1"/>
    <col min="7170" max="7170" width="18.5703125" style="27" customWidth="1"/>
    <col min="7171" max="7171" width="12.7109375" style="27" customWidth="1"/>
    <col min="7172" max="7172" width="13.28515625" style="27" customWidth="1"/>
    <col min="7173" max="7173" width="16.140625" style="27" customWidth="1"/>
    <col min="7174" max="7174" width="16.7109375" style="27" customWidth="1"/>
    <col min="7175" max="7175" width="12.28515625" style="27" bestFit="1" customWidth="1"/>
    <col min="7176" max="7176" width="11.140625" style="27" customWidth="1"/>
    <col min="7177" max="7177" width="13.5703125" style="27" customWidth="1"/>
    <col min="7178" max="7178" width="11.5703125" style="27" customWidth="1"/>
    <col min="7179" max="7179" width="15" style="27" bestFit="1" customWidth="1"/>
    <col min="7180" max="7180" width="14.85546875" style="27" bestFit="1" customWidth="1"/>
    <col min="7181" max="7198" width="0" style="27" hidden="1" customWidth="1"/>
    <col min="7199" max="7412" width="9.140625" style="27"/>
    <col min="7413" max="7413" width="10.7109375" style="27" customWidth="1"/>
    <col min="7414" max="7414" width="11.42578125" style="27" customWidth="1"/>
    <col min="7415" max="7415" width="16.7109375" style="27" customWidth="1"/>
    <col min="7416" max="7418" width="15" style="27" customWidth="1"/>
    <col min="7419" max="7419" width="11.5703125" style="27" customWidth="1"/>
    <col min="7420" max="7420" width="19.7109375" style="27" customWidth="1"/>
    <col min="7421" max="7421" width="49.7109375" style="27" customWidth="1"/>
    <col min="7422" max="7422" width="9" style="27" customWidth="1"/>
    <col min="7423" max="7423" width="13.85546875" style="27" customWidth="1"/>
    <col min="7424" max="7424" width="17.85546875" style="27" customWidth="1"/>
    <col min="7425" max="7425" width="13.5703125" style="27" customWidth="1"/>
    <col min="7426" max="7426" width="18.5703125" style="27" customWidth="1"/>
    <col min="7427" max="7427" width="12.7109375" style="27" customWidth="1"/>
    <col min="7428" max="7428" width="13.28515625" style="27" customWidth="1"/>
    <col min="7429" max="7429" width="16.140625" style="27" customWidth="1"/>
    <col min="7430" max="7430" width="16.7109375" style="27" customWidth="1"/>
    <col min="7431" max="7431" width="12.28515625" style="27" bestFit="1" customWidth="1"/>
    <col min="7432" max="7432" width="11.140625" style="27" customWidth="1"/>
    <col min="7433" max="7433" width="13.5703125" style="27" customWidth="1"/>
    <col min="7434" max="7434" width="11.5703125" style="27" customWidth="1"/>
    <col min="7435" max="7435" width="15" style="27" bestFit="1" customWidth="1"/>
    <col min="7436" max="7436" width="14.85546875" style="27" bestFit="1" customWidth="1"/>
    <col min="7437" max="7454" width="0" style="27" hidden="1" customWidth="1"/>
    <col min="7455" max="7668" width="9.140625" style="27"/>
    <col min="7669" max="7669" width="10.7109375" style="27" customWidth="1"/>
    <col min="7670" max="7670" width="11.42578125" style="27" customWidth="1"/>
    <col min="7671" max="7671" width="16.7109375" style="27" customWidth="1"/>
    <col min="7672" max="7674" width="15" style="27" customWidth="1"/>
    <col min="7675" max="7675" width="11.5703125" style="27" customWidth="1"/>
    <col min="7676" max="7676" width="19.7109375" style="27" customWidth="1"/>
    <col min="7677" max="7677" width="49.7109375" style="27" customWidth="1"/>
    <col min="7678" max="7678" width="9" style="27" customWidth="1"/>
    <col min="7679" max="7679" width="13.85546875" style="27" customWidth="1"/>
    <col min="7680" max="7680" width="17.85546875" style="27" customWidth="1"/>
    <col min="7681" max="7681" width="13.5703125" style="27" customWidth="1"/>
    <col min="7682" max="7682" width="18.5703125" style="27" customWidth="1"/>
    <col min="7683" max="7683" width="12.7109375" style="27" customWidth="1"/>
    <col min="7684" max="7684" width="13.28515625" style="27" customWidth="1"/>
    <col min="7685" max="7685" width="16.140625" style="27" customWidth="1"/>
    <col min="7686" max="7686" width="16.7109375" style="27" customWidth="1"/>
    <col min="7687" max="7687" width="12.28515625" style="27" bestFit="1" customWidth="1"/>
    <col min="7688" max="7688" width="11.140625" style="27" customWidth="1"/>
    <col min="7689" max="7689" width="13.5703125" style="27" customWidth="1"/>
    <col min="7690" max="7690" width="11.5703125" style="27" customWidth="1"/>
    <col min="7691" max="7691" width="15" style="27" bestFit="1" customWidth="1"/>
    <col min="7692" max="7692" width="14.85546875" style="27" bestFit="1" customWidth="1"/>
    <col min="7693" max="7710" width="0" style="27" hidden="1" customWidth="1"/>
    <col min="7711" max="7924" width="9.140625" style="27"/>
    <col min="7925" max="7925" width="10.7109375" style="27" customWidth="1"/>
    <col min="7926" max="7926" width="11.42578125" style="27" customWidth="1"/>
    <col min="7927" max="7927" width="16.7109375" style="27" customWidth="1"/>
    <col min="7928" max="7930" width="15" style="27" customWidth="1"/>
    <col min="7931" max="7931" width="11.5703125" style="27" customWidth="1"/>
    <col min="7932" max="7932" width="19.7109375" style="27" customWidth="1"/>
    <col min="7933" max="7933" width="49.7109375" style="27" customWidth="1"/>
    <col min="7934" max="7934" width="9" style="27" customWidth="1"/>
    <col min="7935" max="7935" width="13.85546875" style="27" customWidth="1"/>
    <col min="7936" max="7936" width="17.85546875" style="27" customWidth="1"/>
    <col min="7937" max="7937" width="13.5703125" style="27" customWidth="1"/>
    <col min="7938" max="7938" width="18.5703125" style="27" customWidth="1"/>
    <col min="7939" max="7939" width="12.7109375" style="27" customWidth="1"/>
    <col min="7940" max="7940" width="13.28515625" style="27" customWidth="1"/>
    <col min="7941" max="7941" width="16.140625" style="27" customWidth="1"/>
    <col min="7942" max="7942" width="16.7109375" style="27" customWidth="1"/>
    <col min="7943" max="7943" width="12.28515625" style="27" bestFit="1" customWidth="1"/>
    <col min="7944" max="7944" width="11.140625" style="27" customWidth="1"/>
    <col min="7945" max="7945" width="13.5703125" style="27" customWidth="1"/>
    <col min="7946" max="7946" width="11.5703125" style="27" customWidth="1"/>
    <col min="7947" max="7947" width="15" style="27" bestFit="1" customWidth="1"/>
    <col min="7948" max="7948" width="14.85546875" style="27" bestFit="1" customWidth="1"/>
    <col min="7949" max="7966" width="0" style="27" hidden="1" customWidth="1"/>
    <col min="7967" max="8180" width="9.140625" style="27"/>
    <col min="8181" max="8181" width="10.7109375" style="27" customWidth="1"/>
    <col min="8182" max="8182" width="11.42578125" style="27" customWidth="1"/>
    <col min="8183" max="8183" width="16.7109375" style="27" customWidth="1"/>
    <col min="8184" max="8186" width="15" style="27" customWidth="1"/>
    <col min="8187" max="8187" width="11.5703125" style="27" customWidth="1"/>
    <col min="8188" max="8188" width="19.7109375" style="27" customWidth="1"/>
    <col min="8189" max="8189" width="49.7109375" style="27" customWidth="1"/>
    <col min="8190" max="8190" width="9" style="27" customWidth="1"/>
    <col min="8191" max="8191" width="13.85546875" style="27" customWidth="1"/>
    <col min="8192" max="8192" width="17.85546875" style="27" customWidth="1"/>
    <col min="8193" max="8193" width="13.5703125" style="27" customWidth="1"/>
    <col min="8194" max="8194" width="18.5703125" style="27" customWidth="1"/>
    <col min="8195" max="8195" width="12.7109375" style="27" customWidth="1"/>
    <col min="8196" max="8196" width="13.28515625" style="27" customWidth="1"/>
    <col min="8197" max="8197" width="16.140625" style="27" customWidth="1"/>
    <col min="8198" max="8198" width="16.7109375" style="27" customWidth="1"/>
    <col min="8199" max="8199" width="12.28515625" style="27" bestFit="1" customWidth="1"/>
    <col min="8200" max="8200" width="11.140625" style="27" customWidth="1"/>
    <col min="8201" max="8201" width="13.5703125" style="27" customWidth="1"/>
    <col min="8202" max="8202" width="11.5703125" style="27" customWidth="1"/>
    <col min="8203" max="8203" width="15" style="27" bestFit="1" customWidth="1"/>
    <col min="8204" max="8204" width="14.85546875" style="27" bestFit="1" customWidth="1"/>
    <col min="8205" max="8222" width="0" style="27" hidden="1" customWidth="1"/>
    <col min="8223" max="8436" width="9.140625" style="27"/>
    <col min="8437" max="8437" width="10.7109375" style="27" customWidth="1"/>
    <col min="8438" max="8438" width="11.42578125" style="27" customWidth="1"/>
    <col min="8439" max="8439" width="16.7109375" style="27" customWidth="1"/>
    <col min="8440" max="8442" width="15" style="27" customWidth="1"/>
    <col min="8443" max="8443" width="11.5703125" style="27" customWidth="1"/>
    <col min="8444" max="8444" width="19.7109375" style="27" customWidth="1"/>
    <col min="8445" max="8445" width="49.7109375" style="27" customWidth="1"/>
    <col min="8446" max="8446" width="9" style="27" customWidth="1"/>
    <col min="8447" max="8447" width="13.85546875" style="27" customWidth="1"/>
    <col min="8448" max="8448" width="17.85546875" style="27" customWidth="1"/>
    <col min="8449" max="8449" width="13.5703125" style="27" customWidth="1"/>
    <col min="8450" max="8450" width="18.5703125" style="27" customWidth="1"/>
    <col min="8451" max="8451" width="12.7109375" style="27" customWidth="1"/>
    <col min="8452" max="8452" width="13.28515625" style="27" customWidth="1"/>
    <col min="8453" max="8453" width="16.140625" style="27" customWidth="1"/>
    <col min="8454" max="8454" width="16.7109375" style="27" customWidth="1"/>
    <col min="8455" max="8455" width="12.28515625" style="27" bestFit="1" customWidth="1"/>
    <col min="8456" max="8456" width="11.140625" style="27" customWidth="1"/>
    <col min="8457" max="8457" width="13.5703125" style="27" customWidth="1"/>
    <col min="8458" max="8458" width="11.5703125" style="27" customWidth="1"/>
    <col min="8459" max="8459" width="15" style="27" bestFit="1" customWidth="1"/>
    <col min="8460" max="8460" width="14.85546875" style="27" bestFit="1" customWidth="1"/>
    <col min="8461" max="8478" width="0" style="27" hidden="1" customWidth="1"/>
    <col min="8479" max="8692" width="9.140625" style="27"/>
    <col min="8693" max="8693" width="10.7109375" style="27" customWidth="1"/>
    <col min="8694" max="8694" width="11.42578125" style="27" customWidth="1"/>
    <col min="8695" max="8695" width="16.7109375" style="27" customWidth="1"/>
    <col min="8696" max="8698" width="15" style="27" customWidth="1"/>
    <col min="8699" max="8699" width="11.5703125" style="27" customWidth="1"/>
    <col min="8700" max="8700" width="19.7109375" style="27" customWidth="1"/>
    <col min="8701" max="8701" width="49.7109375" style="27" customWidth="1"/>
    <col min="8702" max="8702" width="9" style="27" customWidth="1"/>
    <col min="8703" max="8703" width="13.85546875" style="27" customWidth="1"/>
    <col min="8704" max="8704" width="17.85546875" style="27" customWidth="1"/>
    <col min="8705" max="8705" width="13.5703125" style="27" customWidth="1"/>
    <col min="8706" max="8706" width="18.5703125" style="27" customWidth="1"/>
    <col min="8707" max="8707" width="12.7109375" style="27" customWidth="1"/>
    <col min="8708" max="8708" width="13.28515625" style="27" customWidth="1"/>
    <col min="8709" max="8709" width="16.140625" style="27" customWidth="1"/>
    <col min="8710" max="8710" width="16.7109375" style="27" customWidth="1"/>
    <col min="8711" max="8711" width="12.28515625" style="27" bestFit="1" customWidth="1"/>
    <col min="8712" max="8712" width="11.140625" style="27" customWidth="1"/>
    <col min="8713" max="8713" width="13.5703125" style="27" customWidth="1"/>
    <col min="8714" max="8714" width="11.5703125" style="27" customWidth="1"/>
    <col min="8715" max="8715" width="15" style="27" bestFit="1" customWidth="1"/>
    <col min="8716" max="8716" width="14.85546875" style="27" bestFit="1" customWidth="1"/>
    <col min="8717" max="8734" width="0" style="27" hidden="1" customWidth="1"/>
    <col min="8735" max="8948" width="9.140625" style="27"/>
    <col min="8949" max="8949" width="10.7109375" style="27" customWidth="1"/>
    <col min="8950" max="8950" width="11.42578125" style="27" customWidth="1"/>
    <col min="8951" max="8951" width="16.7109375" style="27" customWidth="1"/>
    <col min="8952" max="8954" width="15" style="27" customWidth="1"/>
    <col min="8955" max="8955" width="11.5703125" style="27" customWidth="1"/>
    <col min="8956" max="8956" width="19.7109375" style="27" customWidth="1"/>
    <col min="8957" max="8957" width="49.7109375" style="27" customWidth="1"/>
    <col min="8958" max="8958" width="9" style="27" customWidth="1"/>
    <col min="8959" max="8959" width="13.85546875" style="27" customWidth="1"/>
    <col min="8960" max="8960" width="17.85546875" style="27" customWidth="1"/>
    <col min="8961" max="8961" width="13.5703125" style="27" customWidth="1"/>
    <col min="8962" max="8962" width="18.5703125" style="27" customWidth="1"/>
    <col min="8963" max="8963" width="12.7109375" style="27" customWidth="1"/>
    <col min="8964" max="8964" width="13.28515625" style="27" customWidth="1"/>
    <col min="8965" max="8965" width="16.140625" style="27" customWidth="1"/>
    <col min="8966" max="8966" width="16.7109375" style="27" customWidth="1"/>
    <col min="8967" max="8967" width="12.28515625" style="27" bestFit="1" customWidth="1"/>
    <col min="8968" max="8968" width="11.140625" style="27" customWidth="1"/>
    <col min="8969" max="8969" width="13.5703125" style="27" customWidth="1"/>
    <col min="8970" max="8970" width="11.5703125" style="27" customWidth="1"/>
    <col min="8971" max="8971" width="15" style="27" bestFit="1" customWidth="1"/>
    <col min="8972" max="8972" width="14.85546875" style="27" bestFit="1" customWidth="1"/>
    <col min="8973" max="8990" width="0" style="27" hidden="1" customWidth="1"/>
    <col min="8991" max="9204" width="9.140625" style="27"/>
    <col min="9205" max="9205" width="10.7109375" style="27" customWidth="1"/>
    <col min="9206" max="9206" width="11.42578125" style="27" customWidth="1"/>
    <col min="9207" max="9207" width="16.7109375" style="27" customWidth="1"/>
    <col min="9208" max="9210" width="15" style="27" customWidth="1"/>
    <col min="9211" max="9211" width="11.5703125" style="27" customWidth="1"/>
    <col min="9212" max="9212" width="19.7109375" style="27" customWidth="1"/>
    <col min="9213" max="9213" width="49.7109375" style="27" customWidth="1"/>
    <col min="9214" max="9214" width="9" style="27" customWidth="1"/>
    <col min="9215" max="9215" width="13.85546875" style="27" customWidth="1"/>
    <col min="9216" max="9216" width="17.85546875" style="27" customWidth="1"/>
    <col min="9217" max="9217" width="13.5703125" style="27" customWidth="1"/>
    <col min="9218" max="9218" width="18.5703125" style="27" customWidth="1"/>
    <col min="9219" max="9219" width="12.7109375" style="27" customWidth="1"/>
    <col min="9220" max="9220" width="13.28515625" style="27" customWidth="1"/>
    <col min="9221" max="9221" width="16.140625" style="27" customWidth="1"/>
    <col min="9222" max="9222" width="16.7109375" style="27" customWidth="1"/>
    <col min="9223" max="9223" width="12.28515625" style="27" bestFit="1" customWidth="1"/>
    <col min="9224" max="9224" width="11.140625" style="27" customWidth="1"/>
    <col min="9225" max="9225" width="13.5703125" style="27" customWidth="1"/>
    <col min="9226" max="9226" width="11.5703125" style="27" customWidth="1"/>
    <col min="9227" max="9227" width="15" style="27" bestFit="1" customWidth="1"/>
    <col min="9228" max="9228" width="14.85546875" style="27" bestFit="1" customWidth="1"/>
    <col min="9229" max="9246" width="0" style="27" hidden="1" customWidth="1"/>
    <col min="9247" max="9460" width="9.140625" style="27"/>
    <col min="9461" max="9461" width="10.7109375" style="27" customWidth="1"/>
    <col min="9462" max="9462" width="11.42578125" style="27" customWidth="1"/>
    <col min="9463" max="9463" width="16.7109375" style="27" customWidth="1"/>
    <col min="9464" max="9466" width="15" style="27" customWidth="1"/>
    <col min="9467" max="9467" width="11.5703125" style="27" customWidth="1"/>
    <col min="9468" max="9468" width="19.7109375" style="27" customWidth="1"/>
    <col min="9469" max="9469" width="49.7109375" style="27" customWidth="1"/>
    <col min="9470" max="9470" width="9" style="27" customWidth="1"/>
    <col min="9471" max="9471" width="13.85546875" style="27" customWidth="1"/>
    <col min="9472" max="9472" width="17.85546875" style="27" customWidth="1"/>
    <col min="9473" max="9473" width="13.5703125" style="27" customWidth="1"/>
    <col min="9474" max="9474" width="18.5703125" style="27" customWidth="1"/>
    <col min="9475" max="9475" width="12.7109375" style="27" customWidth="1"/>
    <col min="9476" max="9476" width="13.28515625" style="27" customWidth="1"/>
    <col min="9477" max="9477" width="16.140625" style="27" customWidth="1"/>
    <col min="9478" max="9478" width="16.7109375" style="27" customWidth="1"/>
    <col min="9479" max="9479" width="12.28515625" style="27" bestFit="1" customWidth="1"/>
    <col min="9480" max="9480" width="11.140625" style="27" customWidth="1"/>
    <col min="9481" max="9481" width="13.5703125" style="27" customWidth="1"/>
    <col min="9482" max="9482" width="11.5703125" style="27" customWidth="1"/>
    <col min="9483" max="9483" width="15" style="27" bestFit="1" customWidth="1"/>
    <col min="9484" max="9484" width="14.85546875" style="27" bestFit="1" customWidth="1"/>
    <col min="9485" max="9502" width="0" style="27" hidden="1" customWidth="1"/>
    <col min="9503" max="9716" width="9.140625" style="27"/>
    <col min="9717" max="9717" width="10.7109375" style="27" customWidth="1"/>
    <col min="9718" max="9718" width="11.42578125" style="27" customWidth="1"/>
    <col min="9719" max="9719" width="16.7109375" style="27" customWidth="1"/>
    <col min="9720" max="9722" width="15" style="27" customWidth="1"/>
    <col min="9723" max="9723" width="11.5703125" style="27" customWidth="1"/>
    <col min="9724" max="9724" width="19.7109375" style="27" customWidth="1"/>
    <col min="9725" max="9725" width="49.7109375" style="27" customWidth="1"/>
    <col min="9726" max="9726" width="9" style="27" customWidth="1"/>
    <col min="9727" max="9727" width="13.85546875" style="27" customWidth="1"/>
    <col min="9728" max="9728" width="17.85546875" style="27" customWidth="1"/>
    <col min="9729" max="9729" width="13.5703125" style="27" customWidth="1"/>
    <col min="9730" max="9730" width="18.5703125" style="27" customWidth="1"/>
    <col min="9731" max="9731" width="12.7109375" style="27" customWidth="1"/>
    <col min="9732" max="9732" width="13.28515625" style="27" customWidth="1"/>
    <col min="9733" max="9733" width="16.140625" style="27" customWidth="1"/>
    <col min="9734" max="9734" width="16.7109375" style="27" customWidth="1"/>
    <col min="9735" max="9735" width="12.28515625" style="27" bestFit="1" customWidth="1"/>
    <col min="9736" max="9736" width="11.140625" style="27" customWidth="1"/>
    <col min="9737" max="9737" width="13.5703125" style="27" customWidth="1"/>
    <col min="9738" max="9738" width="11.5703125" style="27" customWidth="1"/>
    <col min="9739" max="9739" width="15" style="27" bestFit="1" customWidth="1"/>
    <col min="9740" max="9740" width="14.85546875" style="27" bestFit="1" customWidth="1"/>
    <col min="9741" max="9758" width="0" style="27" hidden="1" customWidth="1"/>
    <col min="9759" max="9972" width="9.140625" style="27"/>
    <col min="9973" max="9973" width="10.7109375" style="27" customWidth="1"/>
    <col min="9974" max="9974" width="11.42578125" style="27" customWidth="1"/>
    <col min="9975" max="9975" width="16.7109375" style="27" customWidth="1"/>
    <col min="9976" max="9978" width="15" style="27" customWidth="1"/>
    <col min="9979" max="9979" width="11.5703125" style="27" customWidth="1"/>
    <col min="9980" max="9980" width="19.7109375" style="27" customWidth="1"/>
    <col min="9981" max="9981" width="49.7109375" style="27" customWidth="1"/>
    <col min="9982" max="9982" width="9" style="27" customWidth="1"/>
    <col min="9983" max="9983" width="13.85546875" style="27" customWidth="1"/>
    <col min="9984" max="9984" width="17.85546875" style="27" customWidth="1"/>
    <col min="9985" max="9985" width="13.5703125" style="27" customWidth="1"/>
    <col min="9986" max="9986" width="18.5703125" style="27" customWidth="1"/>
    <col min="9987" max="9987" width="12.7109375" style="27" customWidth="1"/>
    <col min="9988" max="9988" width="13.28515625" style="27" customWidth="1"/>
    <col min="9989" max="9989" width="16.140625" style="27" customWidth="1"/>
    <col min="9990" max="9990" width="16.7109375" style="27" customWidth="1"/>
    <col min="9991" max="9991" width="12.28515625" style="27" bestFit="1" customWidth="1"/>
    <col min="9992" max="9992" width="11.140625" style="27" customWidth="1"/>
    <col min="9993" max="9993" width="13.5703125" style="27" customWidth="1"/>
    <col min="9994" max="9994" width="11.5703125" style="27" customWidth="1"/>
    <col min="9995" max="9995" width="15" style="27" bestFit="1" customWidth="1"/>
    <col min="9996" max="9996" width="14.85546875" style="27" bestFit="1" customWidth="1"/>
    <col min="9997" max="10014" width="0" style="27" hidden="1" customWidth="1"/>
    <col min="10015" max="10228" width="9.140625" style="27"/>
    <col min="10229" max="10229" width="10.7109375" style="27" customWidth="1"/>
    <col min="10230" max="10230" width="11.42578125" style="27" customWidth="1"/>
    <col min="10231" max="10231" width="16.7109375" style="27" customWidth="1"/>
    <col min="10232" max="10234" width="15" style="27" customWidth="1"/>
    <col min="10235" max="10235" width="11.5703125" style="27" customWidth="1"/>
    <col min="10236" max="10236" width="19.7109375" style="27" customWidth="1"/>
    <col min="10237" max="10237" width="49.7109375" style="27" customWidth="1"/>
    <col min="10238" max="10238" width="9" style="27" customWidth="1"/>
    <col min="10239" max="10239" width="13.85546875" style="27" customWidth="1"/>
    <col min="10240" max="10240" width="17.85546875" style="27" customWidth="1"/>
    <col min="10241" max="10241" width="13.5703125" style="27" customWidth="1"/>
    <col min="10242" max="10242" width="18.5703125" style="27" customWidth="1"/>
    <col min="10243" max="10243" width="12.7109375" style="27" customWidth="1"/>
    <col min="10244" max="10244" width="13.28515625" style="27" customWidth="1"/>
    <col min="10245" max="10245" width="16.140625" style="27" customWidth="1"/>
    <col min="10246" max="10246" width="16.7109375" style="27" customWidth="1"/>
    <col min="10247" max="10247" width="12.28515625" style="27" bestFit="1" customWidth="1"/>
    <col min="10248" max="10248" width="11.140625" style="27" customWidth="1"/>
    <col min="10249" max="10249" width="13.5703125" style="27" customWidth="1"/>
    <col min="10250" max="10250" width="11.5703125" style="27" customWidth="1"/>
    <col min="10251" max="10251" width="15" style="27" bestFit="1" customWidth="1"/>
    <col min="10252" max="10252" width="14.85546875" style="27" bestFit="1" customWidth="1"/>
    <col min="10253" max="10270" width="0" style="27" hidden="1" customWidth="1"/>
    <col min="10271" max="10484" width="9.140625" style="27"/>
    <col min="10485" max="10485" width="10.7109375" style="27" customWidth="1"/>
    <col min="10486" max="10486" width="11.42578125" style="27" customWidth="1"/>
    <col min="10487" max="10487" width="16.7109375" style="27" customWidth="1"/>
    <col min="10488" max="10490" width="15" style="27" customWidth="1"/>
    <col min="10491" max="10491" width="11.5703125" style="27" customWidth="1"/>
    <col min="10492" max="10492" width="19.7109375" style="27" customWidth="1"/>
    <col min="10493" max="10493" width="49.7109375" style="27" customWidth="1"/>
    <col min="10494" max="10494" width="9" style="27" customWidth="1"/>
    <col min="10495" max="10495" width="13.85546875" style="27" customWidth="1"/>
    <col min="10496" max="10496" width="17.85546875" style="27" customWidth="1"/>
    <col min="10497" max="10497" width="13.5703125" style="27" customWidth="1"/>
    <col min="10498" max="10498" width="18.5703125" style="27" customWidth="1"/>
    <col min="10499" max="10499" width="12.7109375" style="27" customWidth="1"/>
    <col min="10500" max="10500" width="13.28515625" style="27" customWidth="1"/>
    <col min="10501" max="10501" width="16.140625" style="27" customWidth="1"/>
    <col min="10502" max="10502" width="16.7109375" style="27" customWidth="1"/>
    <col min="10503" max="10503" width="12.28515625" style="27" bestFit="1" customWidth="1"/>
    <col min="10504" max="10504" width="11.140625" style="27" customWidth="1"/>
    <col min="10505" max="10505" width="13.5703125" style="27" customWidth="1"/>
    <col min="10506" max="10506" width="11.5703125" style="27" customWidth="1"/>
    <col min="10507" max="10507" width="15" style="27" bestFit="1" customWidth="1"/>
    <col min="10508" max="10508" width="14.85546875" style="27" bestFit="1" customWidth="1"/>
    <col min="10509" max="10526" width="0" style="27" hidden="1" customWidth="1"/>
    <col min="10527" max="10740" width="9.140625" style="27"/>
    <col min="10741" max="10741" width="10.7109375" style="27" customWidth="1"/>
    <col min="10742" max="10742" width="11.42578125" style="27" customWidth="1"/>
    <col min="10743" max="10743" width="16.7109375" style="27" customWidth="1"/>
    <col min="10744" max="10746" width="15" style="27" customWidth="1"/>
    <col min="10747" max="10747" width="11.5703125" style="27" customWidth="1"/>
    <col min="10748" max="10748" width="19.7109375" style="27" customWidth="1"/>
    <col min="10749" max="10749" width="49.7109375" style="27" customWidth="1"/>
    <col min="10750" max="10750" width="9" style="27" customWidth="1"/>
    <col min="10751" max="10751" width="13.85546875" style="27" customWidth="1"/>
    <col min="10752" max="10752" width="17.85546875" style="27" customWidth="1"/>
    <col min="10753" max="10753" width="13.5703125" style="27" customWidth="1"/>
    <col min="10754" max="10754" width="18.5703125" style="27" customWidth="1"/>
    <col min="10755" max="10755" width="12.7109375" style="27" customWidth="1"/>
    <col min="10756" max="10756" width="13.28515625" style="27" customWidth="1"/>
    <col min="10757" max="10757" width="16.140625" style="27" customWidth="1"/>
    <col min="10758" max="10758" width="16.7109375" style="27" customWidth="1"/>
    <col min="10759" max="10759" width="12.28515625" style="27" bestFit="1" customWidth="1"/>
    <col min="10760" max="10760" width="11.140625" style="27" customWidth="1"/>
    <col min="10761" max="10761" width="13.5703125" style="27" customWidth="1"/>
    <col min="10762" max="10762" width="11.5703125" style="27" customWidth="1"/>
    <col min="10763" max="10763" width="15" style="27" bestFit="1" customWidth="1"/>
    <col min="10764" max="10764" width="14.85546875" style="27" bestFit="1" customWidth="1"/>
    <col min="10765" max="10782" width="0" style="27" hidden="1" customWidth="1"/>
    <col min="10783" max="10996" width="9.140625" style="27"/>
    <col min="10997" max="10997" width="10.7109375" style="27" customWidth="1"/>
    <col min="10998" max="10998" width="11.42578125" style="27" customWidth="1"/>
    <col min="10999" max="10999" width="16.7109375" style="27" customWidth="1"/>
    <col min="11000" max="11002" width="15" style="27" customWidth="1"/>
    <col min="11003" max="11003" width="11.5703125" style="27" customWidth="1"/>
    <col min="11004" max="11004" width="19.7109375" style="27" customWidth="1"/>
    <col min="11005" max="11005" width="49.7109375" style="27" customWidth="1"/>
    <col min="11006" max="11006" width="9" style="27" customWidth="1"/>
    <col min="11007" max="11007" width="13.85546875" style="27" customWidth="1"/>
    <col min="11008" max="11008" width="17.85546875" style="27" customWidth="1"/>
    <col min="11009" max="11009" width="13.5703125" style="27" customWidth="1"/>
    <col min="11010" max="11010" width="18.5703125" style="27" customWidth="1"/>
    <col min="11011" max="11011" width="12.7109375" style="27" customWidth="1"/>
    <col min="11012" max="11012" width="13.28515625" style="27" customWidth="1"/>
    <col min="11013" max="11013" width="16.140625" style="27" customWidth="1"/>
    <col min="11014" max="11014" width="16.7109375" style="27" customWidth="1"/>
    <col min="11015" max="11015" width="12.28515625" style="27" bestFit="1" customWidth="1"/>
    <col min="11016" max="11016" width="11.140625" style="27" customWidth="1"/>
    <col min="11017" max="11017" width="13.5703125" style="27" customWidth="1"/>
    <col min="11018" max="11018" width="11.5703125" style="27" customWidth="1"/>
    <col min="11019" max="11019" width="15" style="27" bestFit="1" customWidth="1"/>
    <col min="11020" max="11020" width="14.85546875" style="27" bestFit="1" customWidth="1"/>
    <col min="11021" max="11038" width="0" style="27" hidden="1" customWidth="1"/>
    <col min="11039" max="11252" width="9.140625" style="27"/>
    <col min="11253" max="11253" width="10.7109375" style="27" customWidth="1"/>
    <col min="11254" max="11254" width="11.42578125" style="27" customWidth="1"/>
    <col min="11255" max="11255" width="16.7109375" style="27" customWidth="1"/>
    <col min="11256" max="11258" width="15" style="27" customWidth="1"/>
    <col min="11259" max="11259" width="11.5703125" style="27" customWidth="1"/>
    <col min="11260" max="11260" width="19.7109375" style="27" customWidth="1"/>
    <col min="11261" max="11261" width="49.7109375" style="27" customWidth="1"/>
    <col min="11262" max="11262" width="9" style="27" customWidth="1"/>
    <col min="11263" max="11263" width="13.85546875" style="27" customWidth="1"/>
    <col min="11264" max="11264" width="17.85546875" style="27" customWidth="1"/>
    <col min="11265" max="11265" width="13.5703125" style="27" customWidth="1"/>
    <col min="11266" max="11266" width="18.5703125" style="27" customWidth="1"/>
    <col min="11267" max="11267" width="12.7109375" style="27" customWidth="1"/>
    <col min="11268" max="11268" width="13.28515625" style="27" customWidth="1"/>
    <col min="11269" max="11269" width="16.140625" style="27" customWidth="1"/>
    <col min="11270" max="11270" width="16.7109375" style="27" customWidth="1"/>
    <col min="11271" max="11271" width="12.28515625" style="27" bestFit="1" customWidth="1"/>
    <col min="11272" max="11272" width="11.140625" style="27" customWidth="1"/>
    <col min="11273" max="11273" width="13.5703125" style="27" customWidth="1"/>
    <col min="11274" max="11274" width="11.5703125" style="27" customWidth="1"/>
    <col min="11275" max="11275" width="15" style="27" bestFit="1" customWidth="1"/>
    <col min="11276" max="11276" width="14.85546875" style="27" bestFit="1" customWidth="1"/>
    <col min="11277" max="11294" width="0" style="27" hidden="1" customWidth="1"/>
    <col min="11295" max="11508" width="9.140625" style="27"/>
    <col min="11509" max="11509" width="10.7109375" style="27" customWidth="1"/>
    <col min="11510" max="11510" width="11.42578125" style="27" customWidth="1"/>
    <col min="11511" max="11511" width="16.7109375" style="27" customWidth="1"/>
    <col min="11512" max="11514" width="15" style="27" customWidth="1"/>
    <col min="11515" max="11515" width="11.5703125" style="27" customWidth="1"/>
    <col min="11516" max="11516" width="19.7109375" style="27" customWidth="1"/>
    <col min="11517" max="11517" width="49.7109375" style="27" customWidth="1"/>
    <col min="11518" max="11518" width="9" style="27" customWidth="1"/>
    <col min="11519" max="11519" width="13.85546875" style="27" customWidth="1"/>
    <col min="11520" max="11520" width="17.85546875" style="27" customWidth="1"/>
    <col min="11521" max="11521" width="13.5703125" style="27" customWidth="1"/>
    <col min="11522" max="11522" width="18.5703125" style="27" customWidth="1"/>
    <col min="11523" max="11523" width="12.7109375" style="27" customWidth="1"/>
    <col min="11524" max="11524" width="13.28515625" style="27" customWidth="1"/>
    <col min="11525" max="11525" width="16.140625" style="27" customWidth="1"/>
    <col min="11526" max="11526" width="16.7109375" style="27" customWidth="1"/>
    <col min="11527" max="11527" width="12.28515625" style="27" bestFit="1" customWidth="1"/>
    <col min="11528" max="11528" width="11.140625" style="27" customWidth="1"/>
    <col min="11529" max="11529" width="13.5703125" style="27" customWidth="1"/>
    <col min="11530" max="11530" width="11.5703125" style="27" customWidth="1"/>
    <col min="11531" max="11531" width="15" style="27" bestFit="1" customWidth="1"/>
    <col min="11532" max="11532" width="14.85546875" style="27" bestFit="1" customWidth="1"/>
    <col min="11533" max="11550" width="0" style="27" hidden="1" customWidth="1"/>
    <col min="11551" max="11764" width="9.140625" style="27"/>
    <col min="11765" max="11765" width="10.7109375" style="27" customWidth="1"/>
    <col min="11766" max="11766" width="11.42578125" style="27" customWidth="1"/>
    <col min="11767" max="11767" width="16.7109375" style="27" customWidth="1"/>
    <col min="11768" max="11770" width="15" style="27" customWidth="1"/>
    <col min="11771" max="11771" width="11.5703125" style="27" customWidth="1"/>
    <col min="11772" max="11772" width="19.7109375" style="27" customWidth="1"/>
    <col min="11773" max="11773" width="49.7109375" style="27" customWidth="1"/>
    <col min="11774" max="11774" width="9" style="27" customWidth="1"/>
    <col min="11775" max="11775" width="13.85546875" style="27" customWidth="1"/>
    <col min="11776" max="11776" width="17.85546875" style="27" customWidth="1"/>
    <col min="11777" max="11777" width="13.5703125" style="27" customWidth="1"/>
    <col min="11778" max="11778" width="18.5703125" style="27" customWidth="1"/>
    <col min="11779" max="11779" width="12.7109375" style="27" customWidth="1"/>
    <col min="11780" max="11780" width="13.28515625" style="27" customWidth="1"/>
    <col min="11781" max="11781" width="16.140625" style="27" customWidth="1"/>
    <col min="11782" max="11782" width="16.7109375" style="27" customWidth="1"/>
    <col min="11783" max="11783" width="12.28515625" style="27" bestFit="1" customWidth="1"/>
    <col min="11784" max="11784" width="11.140625" style="27" customWidth="1"/>
    <col min="11785" max="11785" width="13.5703125" style="27" customWidth="1"/>
    <col min="11786" max="11786" width="11.5703125" style="27" customWidth="1"/>
    <col min="11787" max="11787" width="15" style="27" bestFit="1" customWidth="1"/>
    <col min="11788" max="11788" width="14.85546875" style="27" bestFit="1" customWidth="1"/>
    <col min="11789" max="11806" width="0" style="27" hidden="1" customWidth="1"/>
    <col min="11807" max="12020" width="9.140625" style="27"/>
    <col min="12021" max="12021" width="10.7109375" style="27" customWidth="1"/>
    <col min="12022" max="12022" width="11.42578125" style="27" customWidth="1"/>
    <col min="12023" max="12023" width="16.7109375" style="27" customWidth="1"/>
    <col min="12024" max="12026" width="15" style="27" customWidth="1"/>
    <col min="12027" max="12027" width="11.5703125" style="27" customWidth="1"/>
    <col min="12028" max="12028" width="19.7109375" style="27" customWidth="1"/>
    <col min="12029" max="12029" width="49.7109375" style="27" customWidth="1"/>
    <col min="12030" max="12030" width="9" style="27" customWidth="1"/>
    <col min="12031" max="12031" width="13.85546875" style="27" customWidth="1"/>
    <col min="12032" max="12032" width="17.85546875" style="27" customWidth="1"/>
    <col min="12033" max="12033" width="13.5703125" style="27" customWidth="1"/>
    <col min="12034" max="12034" width="18.5703125" style="27" customWidth="1"/>
    <col min="12035" max="12035" width="12.7109375" style="27" customWidth="1"/>
    <col min="12036" max="12036" width="13.28515625" style="27" customWidth="1"/>
    <col min="12037" max="12037" width="16.140625" style="27" customWidth="1"/>
    <col min="12038" max="12038" width="16.7109375" style="27" customWidth="1"/>
    <col min="12039" max="12039" width="12.28515625" style="27" bestFit="1" customWidth="1"/>
    <col min="12040" max="12040" width="11.140625" style="27" customWidth="1"/>
    <col min="12041" max="12041" width="13.5703125" style="27" customWidth="1"/>
    <col min="12042" max="12042" width="11.5703125" style="27" customWidth="1"/>
    <col min="12043" max="12043" width="15" style="27" bestFit="1" customWidth="1"/>
    <col min="12044" max="12044" width="14.85546875" style="27" bestFit="1" customWidth="1"/>
    <col min="12045" max="12062" width="0" style="27" hidden="1" customWidth="1"/>
    <col min="12063" max="12276" width="9.140625" style="27"/>
    <col min="12277" max="12277" width="10.7109375" style="27" customWidth="1"/>
    <col min="12278" max="12278" width="11.42578125" style="27" customWidth="1"/>
    <col min="12279" max="12279" width="16.7109375" style="27" customWidth="1"/>
    <col min="12280" max="12282" width="15" style="27" customWidth="1"/>
    <col min="12283" max="12283" width="11.5703125" style="27" customWidth="1"/>
    <col min="12284" max="12284" width="19.7109375" style="27" customWidth="1"/>
    <col min="12285" max="12285" width="49.7109375" style="27" customWidth="1"/>
    <col min="12286" max="12286" width="9" style="27" customWidth="1"/>
    <col min="12287" max="12287" width="13.85546875" style="27" customWidth="1"/>
    <col min="12288" max="12288" width="17.85546875" style="27" customWidth="1"/>
    <col min="12289" max="12289" width="13.5703125" style="27" customWidth="1"/>
    <col min="12290" max="12290" width="18.5703125" style="27" customWidth="1"/>
    <col min="12291" max="12291" width="12.7109375" style="27" customWidth="1"/>
    <col min="12292" max="12292" width="13.28515625" style="27" customWidth="1"/>
    <col min="12293" max="12293" width="16.140625" style="27" customWidth="1"/>
    <col min="12294" max="12294" width="16.7109375" style="27" customWidth="1"/>
    <col min="12295" max="12295" width="12.28515625" style="27" bestFit="1" customWidth="1"/>
    <col min="12296" max="12296" width="11.140625" style="27" customWidth="1"/>
    <col min="12297" max="12297" width="13.5703125" style="27" customWidth="1"/>
    <col min="12298" max="12298" width="11.5703125" style="27" customWidth="1"/>
    <col min="12299" max="12299" width="15" style="27" bestFit="1" customWidth="1"/>
    <col min="12300" max="12300" width="14.85546875" style="27" bestFit="1" customWidth="1"/>
    <col min="12301" max="12318" width="0" style="27" hidden="1" customWidth="1"/>
    <col min="12319" max="12532" width="9.140625" style="27"/>
    <col min="12533" max="12533" width="10.7109375" style="27" customWidth="1"/>
    <col min="12534" max="12534" width="11.42578125" style="27" customWidth="1"/>
    <col min="12535" max="12535" width="16.7109375" style="27" customWidth="1"/>
    <col min="12536" max="12538" width="15" style="27" customWidth="1"/>
    <col min="12539" max="12539" width="11.5703125" style="27" customWidth="1"/>
    <col min="12540" max="12540" width="19.7109375" style="27" customWidth="1"/>
    <col min="12541" max="12541" width="49.7109375" style="27" customWidth="1"/>
    <col min="12542" max="12542" width="9" style="27" customWidth="1"/>
    <col min="12543" max="12543" width="13.85546875" style="27" customWidth="1"/>
    <col min="12544" max="12544" width="17.85546875" style="27" customWidth="1"/>
    <col min="12545" max="12545" width="13.5703125" style="27" customWidth="1"/>
    <col min="12546" max="12546" width="18.5703125" style="27" customWidth="1"/>
    <col min="12547" max="12547" width="12.7109375" style="27" customWidth="1"/>
    <col min="12548" max="12548" width="13.28515625" style="27" customWidth="1"/>
    <col min="12549" max="12549" width="16.140625" style="27" customWidth="1"/>
    <col min="12550" max="12550" width="16.7109375" style="27" customWidth="1"/>
    <col min="12551" max="12551" width="12.28515625" style="27" bestFit="1" customWidth="1"/>
    <col min="12552" max="12552" width="11.140625" style="27" customWidth="1"/>
    <col min="12553" max="12553" width="13.5703125" style="27" customWidth="1"/>
    <col min="12554" max="12554" width="11.5703125" style="27" customWidth="1"/>
    <col min="12555" max="12555" width="15" style="27" bestFit="1" customWidth="1"/>
    <col min="12556" max="12556" width="14.85546875" style="27" bestFit="1" customWidth="1"/>
    <col min="12557" max="12574" width="0" style="27" hidden="1" customWidth="1"/>
    <col min="12575" max="12788" width="9.140625" style="27"/>
    <col min="12789" max="12789" width="10.7109375" style="27" customWidth="1"/>
    <col min="12790" max="12790" width="11.42578125" style="27" customWidth="1"/>
    <col min="12791" max="12791" width="16.7109375" style="27" customWidth="1"/>
    <col min="12792" max="12794" width="15" style="27" customWidth="1"/>
    <col min="12795" max="12795" width="11.5703125" style="27" customWidth="1"/>
    <col min="12796" max="12796" width="19.7109375" style="27" customWidth="1"/>
    <col min="12797" max="12797" width="49.7109375" style="27" customWidth="1"/>
    <col min="12798" max="12798" width="9" style="27" customWidth="1"/>
    <col min="12799" max="12799" width="13.85546875" style="27" customWidth="1"/>
    <col min="12800" max="12800" width="17.85546875" style="27" customWidth="1"/>
    <col min="12801" max="12801" width="13.5703125" style="27" customWidth="1"/>
    <col min="12802" max="12802" width="18.5703125" style="27" customWidth="1"/>
    <col min="12803" max="12803" width="12.7109375" style="27" customWidth="1"/>
    <col min="12804" max="12804" width="13.28515625" style="27" customWidth="1"/>
    <col min="12805" max="12805" width="16.140625" style="27" customWidth="1"/>
    <col min="12806" max="12806" width="16.7109375" style="27" customWidth="1"/>
    <col min="12807" max="12807" width="12.28515625" style="27" bestFit="1" customWidth="1"/>
    <col min="12808" max="12808" width="11.140625" style="27" customWidth="1"/>
    <col min="12809" max="12809" width="13.5703125" style="27" customWidth="1"/>
    <col min="12810" max="12810" width="11.5703125" style="27" customWidth="1"/>
    <col min="12811" max="12811" width="15" style="27" bestFit="1" customWidth="1"/>
    <col min="12812" max="12812" width="14.85546875" style="27" bestFit="1" customWidth="1"/>
    <col min="12813" max="12830" width="0" style="27" hidden="1" customWidth="1"/>
    <col min="12831" max="13044" width="9.140625" style="27"/>
    <col min="13045" max="13045" width="10.7109375" style="27" customWidth="1"/>
    <col min="13046" max="13046" width="11.42578125" style="27" customWidth="1"/>
    <col min="13047" max="13047" width="16.7109375" style="27" customWidth="1"/>
    <col min="13048" max="13050" width="15" style="27" customWidth="1"/>
    <col min="13051" max="13051" width="11.5703125" style="27" customWidth="1"/>
    <col min="13052" max="13052" width="19.7109375" style="27" customWidth="1"/>
    <col min="13053" max="13053" width="49.7109375" style="27" customWidth="1"/>
    <col min="13054" max="13054" width="9" style="27" customWidth="1"/>
    <col min="13055" max="13055" width="13.85546875" style="27" customWidth="1"/>
    <col min="13056" max="13056" width="17.85546875" style="27" customWidth="1"/>
    <col min="13057" max="13057" width="13.5703125" style="27" customWidth="1"/>
    <col min="13058" max="13058" width="18.5703125" style="27" customWidth="1"/>
    <col min="13059" max="13059" width="12.7109375" style="27" customWidth="1"/>
    <col min="13060" max="13060" width="13.28515625" style="27" customWidth="1"/>
    <col min="13061" max="13061" width="16.140625" style="27" customWidth="1"/>
    <col min="13062" max="13062" width="16.7109375" style="27" customWidth="1"/>
    <col min="13063" max="13063" width="12.28515625" style="27" bestFit="1" customWidth="1"/>
    <col min="13064" max="13064" width="11.140625" style="27" customWidth="1"/>
    <col min="13065" max="13065" width="13.5703125" style="27" customWidth="1"/>
    <col min="13066" max="13066" width="11.5703125" style="27" customWidth="1"/>
    <col min="13067" max="13067" width="15" style="27" bestFit="1" customWidth="1"/>
    <col min="13068" max="13068" width="14.85546875" style="27" bestFit="1" customWidth="1"/>
    <col min="13069" max="13086" width="0" style="27" hidden="1" customWidth="1"/>
    <col min="13087" max="13300" width="9.140625" style="27"/>
    <col min="13301" max="13301" width="10.7109375" style="27" customWidth="1"/>
    <col min="13302" max="13302" width="11.42578125" style="27" customWidth="1"/>
    <col min="13303" max="13303" width="16.7109375" style="27" customWidth="1"/>
    <col min="13304" max="13306" width="15" style="27" customWidth="1"/>
    <col min="13307" max="13307" width="11.5703125" style="27" customWidth="1"/>
    <col min="13308" max="13308" width="19.7109375" style="27" customWidth="1"/>
    <col min="13309" max="13309" width="49.7109375" style="27" customWidth="1"/>
    <col min="13310" max="13310" width="9" style="27" customWidth="1"/>
    <col min="13311" max="13311" width="13.85546875" style="27" customWidth="1"/>
    <col min="13312" max="13312" width="17.85546875" style="27" customWidth="1"/>
    <col min="13313" max="13313" width="13.5703125" style="27" customWidth="1"/>
    <col min="13314" max="13314" width="18.5703125" style="27" customWidth="1"/>
    <col min="13315" max="13315" width="12.7109375" style="27" customWidth="1"/>
    <col min="13316" max="13316" width="13.28515625" style="27" customWidth="1"/>
    <col min="13317" max="13317" width="16.140625" style="27" customWidth="1"/>
    <col min="13318" max="13318" width="16.7109375" style="27" customWidth="1"/>
    <col min="13319" max="13319" width="12.28515625" style="27" bestFit="1" customWidth="1"/>
    <col min="13320" max="13320" width="11.140625" style="27" customWidth="1"/>
    <col min="13321" max="13321" width="13.5703125" style="27" customWidth="1"/>
    <col min="13322" max="13322" width="11.5703125" style="27" customWidth="1"/>
    <col min="13323" max="13323" width="15" style="27" bestFit="1" customWidth="1"/>
    <col min="13324" max="13324" width="14.85546875" style="27" bestFit="1" customWidth="1"/>
    <col min="13325" max="13342" width="0" style="27" hidden="1" customWidth="1"/>
    <col min="13343" max="13556" width="9.140625" style="27"/>
    <col min="13557" max="13557" width="10.7109375" style="27" customWidth="1"/>
    <col min="13558" max="13558" width="11.42578125" style="27" customWidth="1"/>
    <col min="13559" max="13559" width="16.7109375" style="27" customWidth="1"/>
    <col min="13560" max="13562" width="15" style="27" customWidth="1"/>
    <col min="13563" max="13563" width="11.5703125" style="27" customWidth="1"/>
    <col min="13564" max="13564" width="19.7109375" style="27" customWidth="1"/>
    <col min="13565" max="13565" width="49.7109375" style="27" customWidth="1"/>
    <col min="13566" max="13566" width="9" style="27" customWidth="1"/>
    <col min="13567" max="13567" width="13.85546875" style="27" customWidth="1"/>
    <col min="13568" max="13568" width="17.85546875" style="27" customWidth="1"/>
    <col min="13569" max="13569" width="13.5703125" style="27" customWidth="1"/>
    <col min="13570" max="13570" width="18.5703125" style="27" customWidth="1"/>
    <col min="13571" max="13571" width="12.7109375" style="27" customWidth="1"/>
    <col min="13572" max="13572" width="13.28515625" style="27" customWidth="1"/>
    <col min="13573" max="13573" width="16.140625" style="27" customWidth="1"/>
    <col min="13574" max="13574" width="16.7109375" style="27" customWidth="1"/>
    <col min="13575" max="13575" width="12.28515625" style="27" bestFit="1" customWidth="1"/>
    <col min="13576" max="13576" width="11.140625" style="27" customWidth="1"/>
    <col min="13577" max="13577" width="13.5703125" style="27" customWidth="1"/>
    <col min="13578" max="13578" width="11.5703125" style="27" customWidth="1"/>
    <col min="13579" max="13579" width="15" style="27" bestFit="1" customWidth="1"/>
    <col min="13580" max="13580" width="14.85546875" style="27" bestFit="1" customWidth="1"/>
    <col min="13581" max="13598" width="0" style="27" hidden="1" customWidth="1"/>
    <col min="13599" max="13812" width="9.140625" style="27"/>
    <col min="13813" max="13813" width="10.7109375" style="27" customWidth="1"/>
    <col min="13814" max="13814" width="11.42578125" style="27" customWidth="1"/>
    <col min="13815" max="13815" width="16.7109375" style="27" customWidth="1"/>
    <col min="13816" max="13818" width="15" style="27" customWidth="1"/>
    <col min="13819" max="13819" width="11.5703125" style="27" customWidth="1"/>
    <col min="13820" max="13820" width="19.7109375" style="27" customWidth="1"/>
    <col min="13821" max="13821" width="49.7109375" style="27" customWidth="1"/>
    <col min="13822" max="13822" width="9" style="27" customWidth="1"/>
    <col min="13823" max="13823" width="13.85546875" style="27" customWidth="1"/>
    <col min="13824" max="13824" width="17.85546875" style="27" customWidth="1"/>
    <col min="13825" max="13825" width="13.5703125" style="27" customWidth="1"/>
    <col min="13826" max="13826" width="18.5703125" style="27" customWidth="1"/>
    <col min="13827" max="13827" width="12.7109375" style="27" customWidth="1"/>
    <col min="13828" max="13828" width="13.28515625" style="27" customWidth="1"/>
    <col min="13829" max="13829" width="16.140625" style="27" customWidth="1"/>
    <col min="13830" max="13830" width="16.7109375" style="27" customWidth="1"/>
    <col min="13831" max="13831" width="12.28515625" style="27" bestFit="1" customWidth="1"/>
    <col min="13832" max="13832" width="11.140625" style="27" customWidth="1"/>
    <col min="13833" max="13833" width="13.5703125" style="27" customWidth="1"/>
    <col min="13834" max="13834" width="11.5703125" style="27" customWidth="1"/>
    <col min="13835" max="13835" width="15" style="27" bestFit="1" customWidth="1"/>
    <col min="13836" max="13836" width="14.85546875" style="27" bestFit="1" customWidth="1"/>
    <col min="13837" max="13854" width="0" style="27" hidden="1" customWidth="1"/>
    <col min="13855" max="14068" width="9.140625" style="27"/>
    <col min="14069" max="14069" width="10.7109375" style="27" customWidth="1"/>
    <col min="14070" max="14070" width="11.42578125" style="27" customWidth="1"/>
    <col min="14071" max="14071" width="16.7109375" style="27" customWidth="1"/>
    <col min="14072" max="14074" width="15" style="27" customWidth="1"/>
    <col min="14075" max="14075" width="11.5703125" style="27" customWidth="1"/>
    <col min="14076" max="14076" width="19.7109375" style="27" customWidth="1"/>
    <col min="14077" max="14077" width="49.7109375" style="27" customWidth="1"/>
    <col min="14078" max="14078" width="9" style="27" customWidth="1"/>
    <col min="14079" max="14079" width="13.85546875" style="27" customWidth="1"/>
    <col min="14080" max="14080" width="17.85546875" style="27" customWidth="1"/>
    <col min="14081" max="14081" width="13.5703125" style="27" customWidth="1"/>
    <col min="14082" max="14082" width="18.5703125" style="27" customWidth="1"/>
    <col min="14083" max="14083" width="12.7109375" style="27" customWidth="1"/>
    <col min="14084" max="14084" width="13.28515625" style="27" customWidth="1"/>
    <col min="14085" max="14085" width="16.140625" style="27" customWidth="1"/>
    <col min="14086" max="14086" width="16.7109375" style="27" customWidth="1"/>
    <col min="14087" max="14087" width="12.28515625" style="27" bestFit="1" customWidth="1"/>
    <col min="14088" max="14088" width="11.140625" style="27" customWidth="1"/>
    <col min="14089" max="14089" width="13.5703125" style="27" customWidth="1"/>
    <col min="14090" max="14090" width="11.5703125" style="27" customWidth="1"/>
    <col min="14091" max="14091" width="15" style="27" bestFit="1" customWidth="1"/>
    <col min="14092" max="14092" width="14.85546875" style="27" bestFit="1" customWidth="1"/>
    <col min="14093" max="14110" width="0" style="27" hidden="1" customWidth="1"/>
    <col min="14111" max="14324" width="9.140625" style="27"/>
    <col min="14325" max="14325" width="10.7109375" style="27" customWidth="1"/>
    <col min="14326" max="14326" width="11.42578125" style="27" customWidth="1"/>
    <col min="14327" max="14327" width="16.7109375" style="27" customWidth="1"/>
    <col min="14328" max="14330" width="15" style="27" customWidth="1"/>
    <col min="14331" max="14331" width="11.5703125" style="27" customWidth="1"/>
    <col min="14332" max="14332" width="19.7109375" style="27" customWidth="1"/>
    <col min="14333" max="14333" width="49.7109375" style="27" customWidth="1"/>
    <col min="14334" max="14334" width="9" style="27" customWidth="1"/>
    <col min="14335" max="14335" width="13.85546875" style="27" customWidth="1"/>
    <col min="14336" max="14336" width="17.85546875" style="27" customWidth="1"/>
    <col min="14337" max="14337" width="13.5703125" style="27" customWidth="1"/>
    <col min="14338" max="14338" width="18.5703125" style="27" customWidth="1"/>
    <col min="14339" max="14339" width="12.7109375" style="27" customWidth="1"/>
    <col min="14340" max="14340" width="13.28515625" style="27" customWidth="1"/>
    <col min="14341" max="14341" width="16.140625" style="27" customWidth="1"/>
    <col min="14342" max="14342" width="16.7109375" style="27" customWidth="1"/>
    <col min="14343" max="14343" width="12.28515625" style="27" bestFit="1" customWidth="1"/>
    <col min="14344" max="14344" width="11.140625" style="27" customWidth="1"/>
    <col min="14345" max="14345" width="13.5703125" style="27" customWidth="1"/>
    <col min="14346" max="14346" width="11.5703125" style="27" customWidth="1"/>
    <col min="14347" max="14347" width="15" style="27" bestFit="1" customWidth="1"/>
    <col min="14348" max="14348" width="14.85546875" style="27" bestFit="1" customWidth="1"/>
    <col min="14349" max="14366" width="0" style="27" hidden="1" customWidth="1"/>
    <col min="14367" max="14580" width="9.140625" style="27"/>
    <col min="14581" max="14581" width="10.7109375" style="27" customWidth="1"/>
    <col min="14582" max="14582" width="11.42578125" style="27" customWidth="1"/>
    <col min="14583" max="14583" width="16.7109375" style="27" customWidth="1"/>
    <col min="14584" max="14586" width="15" style="27" customWidth="1"/>
    <col min="14587" max="14587" width="11.5703125" style="27" customWidth="1"/>
    <col min="14588" max="14588" width="19.7109375" style="27" customWidth="1"/>
    <col min="14589" max="14589" width="49.7109375" style="27" customWidth="1"/>
    <col min="14590" max="14590" width="9" style="27" customWidth="1"/>
    <col min="14591" max="14591" width="13.85546875" style="27" customWidth="1"/>
    <col min="14592" max="14592" width="17.85546875" style="27" customWidth="1"/>
    <col min="14593" max="14593" width="13.5703125" style="27" customWidth="1"/>
    <col min="14594" max="14594" width="18.5703125" style="27" customWidth="1"/>
    <col min="14595" max="14595" width="12.7109375" style="27" customWidth="1"/>
    <col min="14596" max="14596" width="13.28515625" style="27" customWidth="1"/>
    <col min="14597" max="14597" width="16.140625" style="27" customWidth="1"/>
    <col min="14598" max="14598" width="16.7109375" style="27" customWidth="1"/>
    <col min="14599" max="14599" width="12.28515625" style="27" bestFit="1" customWidth="1"/>
    <col min="14600" max="14600" width="11.140625" style="27" customWidth="1"/>
    <col min="14601" max="14601" width="13.5703125" style="27" customWidth="1"/>
    <col min="14602" max="14602" width="11.5703125" style="27" customWidth="1"/>
    <col min="14603" max="14603" width="15" style="27" bestFit="1" customWidth="1"/>
    <col min="14604" max="14604" width="14.85546875" style="27" bestFit="1" customWidth="1"/>
    <col min="14605" max="14622" width="0" style="27" hidden="1" customWidth="1"/>
    <col min="14623" max="14836" width="9.140625" style="27"/>
    <col min="14837" max="14837" width="10.7109375" style="27" customWidth="1"/>
    <col min="14838" max="14838" width="11.42578125" style="27" customWidth="1"/>
    <col min="14839" max="14839" width="16.7109375" style="27" customWidth="1"/>
    <col min="14840" max="14842" width="15" style="27" customWidth="1"/>
    <col min="14843" max="14843" width="11.5703125" style="27" customWidth="1"/>
    <col min="14844" max="14844" width="19.7109375" style="27" customWidth="1"/>
    <col min="14845" max="14845" width="49.7109375" style="27" customWidth="1"/>
    <col min="14846" max="14846" width="9" style="27" customWidth="1"/>
    <col min="14847" max="14847" width="13.85546875" style="27" customWidth="1"/>
    <col min="14848" max="14848" width="17.85546875" style="27" customWidth="1"/>
    <col min="14849" max="14849" width="13.5703125" style="27" customWidth="1"/>
    <col min="14850" max="14850" width="18.5703125" style="27" customWidth="1"/>
    <col min="14851" max="14851" width="12.7109375" style="27" customWidth="1"/>
    <col min="14852" max="14852" width="13.28515625" style="27" customWidth="1"/>
    <col min="14853" max="14853" width="16.140625" style="27" customWidth="1"/>
    <col min="14854" max="14854" width="16.7109375" style="27" customWidth="1"/>
    <col min="14855" max="14855" width="12.28515625" style="27" bestFit="1" customWidth="1"/>
    <col min="14856" max="14856" width="11.140625" style="27" customWidth="1"/>
    <col min="14857" max="14857" width="13.5703125" style="27" customWidth="1"/>
    <col min="14858" max="14858" width="11.5703125" style="27" customWidth="1"/>
    <col min="14859" max="14859" width="15" style="27" bestFit="1" customWidth="1"/>
    <col min="14860" max="14860" width="14.85546875" style="27" bestFit="1" customWidth="1"/>
    <col min="14861" max="14878" width="0" style="27" hidden="1" customWidth="1"/>
    <col min="14879" max="15092" width="9.140625" style="27"/>
    <col min="15093" max="15093" width="10.7109375" style="27" customWidth="1"/>
    <col min="15094" max="15094" width="11.42578125" style="27" customWidth="1"/>
    <col min="15095" max="15095" width="16.7109375" style="27" customWidth="1"/>
    <col min="15096" max="15098" width="15" style="27" customWidth="1"/>
    <col min="15099" max="15099" width="11.5703125" style="27" customWidth="1"/>
    <col min="15100" max="15100" width="19.7109375" style="27" customWidth="1"/>
    <col min="15101" max="15101" width="49.7109375" style="27" customWidth="1"/>
    <col min="15102" max="15102" width="9" style="27" customWidth="1"/>
    <col min="15103" max="15103" width="13.85546875" style="27" customWidth="1"/>
    <col min="15104" max="15104" width="17.85546875" style="27" customWidth="1"/>
    <col min="15105" max="15105" width="13.5703125" style="27" customWidth="1"/>
    <col min="15106" max="15106" width="18.5703125" style="27" customWidth="1"/>
    <col min="15107" max="15107" width="12.7109375" style="27" customWidth="1"/>
    <col min="15108" max="15108" width="13.28515625" style="27" customWidth="1"/>
    <col min="15109" max="15109" width="16.140625" style="27" customWidth="1"/>
    <col min="15110" max="15110" width="16.7109375" style="27" customWidth="1"/>
    <col min="15111" max="15111" width="12.28515625" style="27" bestFit="1" customWidth="1"/>
    <col min="15112" max="15112" width="11.140625" style="27" customWidth="1"/>
    <col min="15113" max="15113" width="13.5703125" style="27" customWidth="1"/>
    <col min="15114" max="15114" width="11.5703125" style="27" customWidth="1"/>
    <col min="15115" max="15115" width="15" style="27" bestFit="1" customWidth="1"/>
    <col min="15116" max="15116" width="14.85546875" style="27" bestFit="1" customWidth="1"/>
    <col min="15117" max="15134" width="0" style="27" hidden="1" customWidth="1"/>
    <col min="15135" max="15348" width="9.140625" style="27"/>
    <col min="15349" max="15349" width="10.7109375" style="27" customWidth="1"/>
    <col min="15350" max="15350" width="11.42578125" style="27" customWidth="1"/>
    <col min="15351" max="15351" width="16.7109375" style="27" customWidth="1"/>
    <col min="15352" max="15354" width="15" style="27" customWidth="1"/>
    <col min="15355" max="15355" width="11.5703125" style="27" customWidth="1"/>
    <col min="15356" max="15356" width="19.7109375" style="27" customWidth="1"/>
    <col min="15357" max="15357" width="49.7109375" style="27" customWidth="1"/>
    <col min="15358" max="15358" width="9" style="27" customWidth="1"/>
    <col min="15359" max="15359" width="13.85546875" style="27" customWidth="1"/>
    <col min="15360" max="15360" width="17.85546875" style="27" customWidth="1"/>
    <col min="15361" max="15361" width="13.5703125" style="27" customWidth="1"/>
    <col min="15362" max="15362" width="18.5703125" style="27" customWidth="1"/>
    <col min="15363" max="15363" width="12.7109375" style="27" customWidth="1"/>
    <col min="15364" max="15364" width="13.28515625" style="27" customWidth="1"/>
    <col min="15365" max="15365" width="16.140625" style="27" customWidth="1"/>
    <col min="15366" max="15366" width="16.7109375" style="27" customWidth="1"/>
    <col min="15367" max="15367" width="12.28515625" style="27" bestFit="1" customWidth="1"/>
    <col min="15368" max="15368" width="11.140625" style="27" customWidth="1"/>
    <col min="15369" max="15369" width="13.5703125" style="27" customWidth="1"/>
    <col min="15370" max="15370" width="11.5703125" style="27" customWidth="1"/>
    <col min="15371" max="15371" width="15" style="27" bestFit="1" customWidth="1"/>
    <col min="15372" max="15372" width="14.85546875" style="27" bestFit="1" customWidth="1"/>
    <col min="15373" max="15390" width="0" style="27" hidden="1" customWidth="1"/>
    <col min="15391" max="15604" width="9.140625" style="27"/>
    <col min="15605" max="15605" width="10.7109375" style="27" customWidth="1"/>
    <col min="15606" max="15606" width="11.42578125" style="27" customWidth="1"/>
    <col min="15607" max="15607" width="16.7109375" style="27" customWidth="1"/>
    <col min="15608" max="15610" width="15" style="27" customWidth="1"/>
    <col min="15611" max="15611" width="11.5703125" style="27" customWidth="1"/>
    <col min="15612" max="15612" width="19.7109375" style="27" customWidth="1"/>
    <col min="15613" max="15613" width="49.7109375" style="27" customWidth="1"/>
    <col min="15614" max="15614" width="9" style="27" customWidth="1"/>
    <col min="15615" max="15615" width="13.85546875" style="27" customWidth="1"/>
    <col min="15616" max="15616" width="17.85546875" style="27" customWidth="1"/>
    <col min="15617" max="15617" width="13.5703125" style="27" customWidth="1"/>
    <col min="15618" max="15618" width="18.5703125" style="27" customWidth="1"/>
    <col min="15619" max="15619" width="12.7109375" style="27" customWidth="1"/>
    <col min="15620" max="15620" width="13.28515625" style="27" customWidth="1"/>
    <col min="15621" max="15621" width="16.140625" style="27" customWidth="1"/>
    <col min="15622" max="15622" width="16.7109375" style="27" customWidth="1"/>
    <col min="15623" max="15623" width="12.28515625" style="27" bestFit="1" customWidth="1"/>
    <col min="15624" max="15624" width="11.140625" style="27" customWidth="1"/>
    <col min="15625" max="15625" width="13.5703125" style="27" customWidth="1"/>
    <col min="15626" max="15626" width="11.5703125" style="27" customWidth="1"/>
    <col min="15627" max="15627" width="15" style="27" bestFit="1" customWidth="1"/>
    <col min="15628" max="15628" width="14.85546875" style="27" bestFit="1" customWidth="1"/>
    <col min="15629" max="15646" width="0" style="27" hidden="1" customWidth="1"/>
    <col min="15647" max="15860" width="9.140625" style="27"/>
    <col min="15861" max="15861" width="10.7109375" style="27" customWidth="1"/>
    <col min="15862" max="15862" width="11.42578125" style="27" customWidth="1"/>
    <col min="15863" max="15863" width="16.7109375" style="27" customWidth="1"/>
    <col min="15864" max="15866" width="15" style="27" customWidth="1"/>
    <col min="15867" max="15867" width="11.5703125" style="27" customWidth="1"/>
    <col min="15868" max="15868" width="19.7109375" style="27" customWidth="1"/>
    <col min="15869" max="15869" width="49.7109375" style="27" customWidth="1"/>
    <col min="15870" max="15870" width="9" style="27" customWidth="1"/>
    <col min="15871" max="15871" width="13.85546875" style="27" customWidth="1"/>
    <col min="15872" max="15872" width="17.85546875" style="27" customWidth="1"/>
    <col min="15873" max="15873" width="13.5703125" style="27" customWidth="1"/>
    <col min="15874" max="15874" width="18.5703125" style="27" customWidth="1"/>
    <col min="15875" max="15875" width="12.7109375" style="27" customWidth="1"/>
    <col min="15876" max="15876" width="13.28515625" style="27" customWidth="1"/>
    <col min="15877" max="15877" width="16.140625" style="27" customWidth="1"/>
    <col min="15878" max="15878" width="16.7109375" style="27" customWidth="1"/>
    <col min="15879" max="15879" width="12.28515625" style="27" bestFit="1" customWidth="1"/>
    <col min="15880" max="15880" width="11.140625" style="27" customWidth="1"/>
    <col min="15881" max="15881" width="13.5703125" style="27" customWidth="1"/>
    <col min="15882" max="15882" width="11.5703125" style="27" customWidth="1"/>
    <col min="15883" max="15883" width="15" style="27" bestFit="1" customWidth="1"/>
    <col min="15884" max="15884" width="14.85546875" style="27" bestFit="1" customWidth="1"/>
    <col min="15885" max="15902" width="0" style="27" hidden="1" customWidth="1"/>
    <col min="15903" max="16116" width="9.140625" style="27"/>
    <col min="16117" max="16117" width="10.7109375" style="27" customWidth="1"/>
    <col min="16118" max="16118" width="11.42578125" style="27" customWidth="1"/>
    <col min="16119" max="16119" width="16.7109375" style="27" customWidth="1"/>
    <col min="16120" max="16122" width="15" style="27" customWidth="1"/>
    <col min="16123" max="16123" width="11.5703125" style="27" customWidth="1"/>
    <col min="16124" max="16124" width="19.7109375" style="27" customWidth="1"/>
    <col min="16125" max="16125" width="49.7109375" style="27" customWidth="1"/>
    <col min="16126" max="16126" width="9" style="27" customWidth="1"/>
    <col min="16127" max="16127" width="13.85546875" style="27" customWidth="1"/>
    <col min="16128" max="16128" width="17.85546875" style="27" customWidth="1"/>
    <col min="16129" max="16129" width="13.5703125" style="27" customWidth="1"/>
    <col min="16130" max="16130" width="18.5703125" style="27" customWidth="1"/>
    <col min="16131" max="16131" width="12.7109375" style="27" customWidth="1"/>
    <col min="16132" max="16132" width="13.28515625" style="27" customWidth="1"/>
    <col min="16133" max="16133" width="16.140625" style="27" customWidth="1"/>
    <col min="16134" max="16134" width="16.7109375" style="27" customWidth="1"/>
    <col min="16135" max="16135" width="12.28515625" style="27" bestFit="1" customWidth="1"/>
    <col min="16136" max="16136" width="11.140625" style="27" customWidth="1"/>
    <col min="16137" max="16137" width="13.5703125" style="27" customWidth="1"/>
    <col min="16138" max="16138" width="11.5703125" style="27" customWidth="1"/>
    <col min="16139" max="16139" width="15" style="27" bestFit="1" customWidth="1"/>
    <col min="16140" max="16140" width="14.85546875" style="27" bestFit="1" customWidth="1"/>
    <col min="16141" max="16158" width="0" style="27" hidden="1" customWidth="1"/>
    <col min="16159" max="16384" width="9.140625" style="27"/>
  </cols>
  <sheetData>
    <row r="1" spans="1:38" s="21" customFormat="1" ht="29.25" customHeight="1">
      <c r="A1" s="20" t="s">
        <v>115</v>
      </c>
      <c r="B1" s="10" t="s">
        <v>116</v>
      </c>
      <c r="C1" s="10" t="s">
        <v>117</v>
      </c>
      <c r="D1" s="37" t="s">
        <v>118</v>
      </c>
      <c r="E1" s="37" t="s">
        <v>30</v>
      </c>
      <c r="F1" s="10" t="s">
        <v>10</v>
      </c>
      <c r="G1" s="10" t="s">
        <v>119</v>
      </c>
      <c r="H1" s="10" t="s">
        <v>120</v>
      </c>
      <c r="I1" s="132" t="s">
        <v>121</v>
      </c>
      <c r="J1" s="132" t="s">
        <v>122</v>
      </c>
      <c r="K1" s="10" t="s">
        <v>123</v>
      </c>
      <c r="L1" s="10" t="s">
        <v>124</v>
      </c>
      <c r="M1" s="11" t="s">
        <v>23</v>
      </c>
      <c r="N1" s="11" t="s">
        <v>125</v>
      </c>
      <c r="O1" s="11" t="s">
        <v>126</v>
      </c>
      <c r="P1" s="11" t="s">
        <v>127</v>
      </c>
      <c r="Q1" s="11" t="s">
        <v>128</v>
      </c>
      <c r="R1" s="19" t="s">
        <v>129</v>
      </c>
      <c r="S1" s="10" t="s">
        <v>130</v>
      </c>
      <c r="T1" s="135" t="s">
        <v>131</v>
      </c>
      <c r="U1" s="40" t="s">
        <v>132</v>
      </c>
      <c r="V1" s="10" t="s">
        <v>133</v>
      </c>
      <c r="W1" s="32" t="s">
        <v>134</v>
      </c>
      <c r="X1" s="10" t="s">
        <v>135</v>
      </c>
      <c r="Y1" s="10" t="s">
        <v>136</v>
      </c>
      <c r="Z1" s="204" t="s">
        <v>137</v>
      </c>
      <c r="AA1" s="15" t="s">
        <v>138</v>
      </c>
      <c r="AB1" s="15" t="s">
        <v>139</v>
      </c>
      <c r="AC1" s="15" t="s">
        <v>140</v>
      </c>
      <c r="AD1" s="15" t="s">
        <v>141</v>
      </c>
      <c r="AE1" s="33" t="s">
        <v>142</v>
      </c>
      <c r="AF1" s="33" t="s">
        <v>143</v>
      </c>
      <c r="AG1" s="34" t="s">
        <v>144</v>
      </c>
      <c r="AH1" s="18" t="s">
        <v>145</v>
      </c>
      <c r="AI1" s="35" t="s">
        <v>146</v>
      </c>
      <c r="AJ1" s="18" t="s">
        <v>19</v>
      </c>
      <c r="AK1" s="36" t="s">
        <v>147</v>
      </c>
      <c r="AL1" s="16" t="s">
        <v>148</v>
      </c>
    </row>
    <row r="2" spans="1:38" s="23" customFormat="1" ht="15">
      <c r="A2" s="23" t="str">
        <f t="shared" ref="A2:A21" si="0">IF(B2="","","New Product")</f>
        <v>New Product</v>
      </c>
      <c r="B2" s="22">
        <f>IF('Product Launch Brief - PM'!D4="","",'Product Launch Brief - PM'!D4)</f>
        <v>45370</v>
      </c>
      <c r="C2" s="24">
        <v>5.19</v>
      </c>
      <c r="D2" s="23" t="s">
        <v>84</v>
      </c>
      <c r="E2" s="152"/>
      <c r="F2" s="23" t="str">
        <f>IF('Product Launch Brief - PM'!G4="","",'Product Launch Brief - PM'!G4)</f>
        <v>Large Loan</v>
      </c>
      <c r="G2" s="133"/>
      <c r="I2" s="133" t="str">
        <f>IF('Product Launch Brief - PM'!L4="","",'Product Launch Brief - PM'!L4)</f>
        <v/>
      </c>
      <c r="J2" s="133">
        <f>IF('Product Launch Brief - PM'!H4="","",'Product Launch Brief - PM'!H4)</f>
        <v>5.0900000000000001E-2</v>
      </c>
      <c r="K2" s="25">
        <f>IF('Product Launch Brief - PM'!E4="","",'Product Launch Brief - PM'!E4)</f>
        <v>46234</v>
      </c>
      <c r="L2" s="23" t="str">
        <f>IF('Product Launch Brief - PM'!F4="","",'Product Launch Brief - PM'!F4)</f>
        <v>2 Year Fixed</v>
      </c>
      <c r="M2" s="23" t="str">
        <f>IF('Product Launch Brief - PM'!T4="","",'Product Launch Brief - PM'!T4)</f>
        <v>Y</v>
      </c>
      <c r="N2" s="23" t="str">
        <f>IF('Product Launch Brief - PM'!U4="","",'Product Launch Brief - PM'!U4)</f>
        <v>Y</v>
      </c>
      <c r="O2" s="23" t="str">
        <f>IF('Product Launch Brief - PM'!V4="","",'Product Launch Brief - PM'!V4)</f>
        <v>N</v>
      </c>
      <c r="P2" s="23" t="str">
        <f>IF(A2="","",'Product Launch Brief - PM'!S4)</f>
        <v>No</v>
      </c>
      <c r="Q2" s="23" t="str">
        <f>IF('Product Launch Brief - PM'!G4="","",'Product Launch Brief - PM'!G4)</f>
        <v>Large Loan</v>
      </c>
      <c r="R2" s="26" t="str">
        <f t="shared" ref="R2:R5" si="1">IF(Q2="", "",IF((OR(Q2="Residential - Interest Only",Q2="Residential - Interest Only - Existing Customer only")),"N","Y"))</f>
        <v>Y</v>
      </c>
      <c r="S2" s="23" t="str">
        <f t="shared" ref="S2:S5" si="2">IF(F2="","","NA")</f>
        <v>NA</v>
      </c>
      <c r="T2" s="136">
        <f>IF('Product Launch Brief - PM'!I4="","",'Product Launch Brief - PM'!I4)</f>
        <v>0.7</v>
      </c>
      <c r="U2" s="142" t="str">
        <f t="shared" ref="U2:U21" si="3">IF(A2="","",IF(AND(Q2="Large Loan",T2&lt;66%),"1,500,001",IF(AND(Q2="Large Loan",T2&lt;76%),"1,000,001",IF(AND(Q2="Large Loan",T2&gt;79%),"500,001",IF(Q2="Shared Ownership","25,000",IF(Q2="Buy to Let","50,000",IF(Q2="Joint Mortgage Sole Proprietor","25,000",IF(Q2="Buy to Let - Existing Customer only",1000,IF(Q2="Joint Mortgage Sole Proprietor - Existing Customer only",1000,IF(Q2="Residential - Existing Customer only",1000,IF(Q2="Residential - Interest Only - Existing Customer only",1000,IF(Q2="Large Loan - Existing Customer only",1000,IF(Q2="Help to Buy - Existing Customer only",1000,IF(AG2="","50,000",IF(AG2&gt;1,30000)))))))))))))))</f>
        <v>1,000,001</v>
      </c>
      <c r="V2" s="153" t="str">
        <f t="shared" ref="V2:V20" si="4">IF(T2="","",IF(Q2="Shared Ownership","405,000",IF(Q2="Government First Home Scheme","399,000",IF(Q2="Deposit Unlock","750,000",IF(AND(Q2="Large Loan",T2&lt;66%),"2,000,000",IF(AND(Q2="Large Loan - Existing Customer only",T2&lt;66%),"2,000,000",IF(AND(Q2="Large Loan - Discounted Rate",T2&lt;66%),"2,000,000",IF(AND(Q2="Large Loan",T2&lt;76%),"1,500,000",IF(AND(Q2="Large Loan - Existing Customer only",T2&lt;76%),"1,500,000",IF(AND(Q2="Large Loan - Discounted Rate",T2&lt;76%),"1,500,000",IF(AND(Q2="Large Loan",T2&gt;75%),"1,000,000",IF(AND(Q2="Large Loan - Existing Customer only",T2&gt;75%),"1,000,000",IF(AND(Q2="Large Loan - Discounted Rate",T2&gt;75%),"1,000,000",IF(AND(Q2="Buy to Let",T2&lt;71%),"1,000,000",IF(AND(Q2="Buy to Let",T2&lt;76%),"750,000",IF(AND(Q2="Buy to Let",T2&gt;79%),"500,000",IF(AND(Q2="Buy to Let - Existing Customer only",T2&lt;71%),"1,000,000",IF(AND(Q2="Buy to Let - Existing Customer only",T2&lt;76%),"750,000",IF(AND(Q2="Buy to Let - Existing Customer only",T2&gt;79%),"500,000",IF(Q2="Help to Buy","450,000",IF(Q2="Help to Buy - Existing Customer Only","450,000",VLOOKUP(T2,Max,2,FALSE))))))))))))))))))))))</f>
        <v>1,500,000</v>
      </c>
      <c r="W2" s="24"/>
      <c r="X2" s="23">
        <v>6.94</v>
      </c>
      <c r="Y2" s="23" t="str">
        <f t="shared" ref="Y2:Y5" si="5">IF(B2="","","SVR")</f>
        <v>SVR</v>
      </c>
      <c r="Z2" s="205">
        <v>2</v>
      </c>
      <c r="AA2" s="23">
        <v>1</v>
      </c>
      <c r="AG2" s="23">
        <f>IF('Product Launch Brief - PM'!J4="","",'Product Launch Brief - PM'!J4)</f>
        <v>999</v>
      </c>
      <c r="AH2" s="23" t="str">
        <f t="shared" ref="AH2:AH5" si="6">IF(A2="","","Y")</f>
        <v>Y</v>
      </c>
      <c r="AI2" s="23" t="str">
        <f t="shared" ref="AI2:AI4" si="7">IF(AJ2="Free standard valuation up to £500k, £1000 cashback + 10% overpayments per annum", "1000",IF(AJ2="Free standard valuation up to £500k, £250 cashback + 10% overpayments per annum", "250", IF((OR(AJ2="Free standard valuation up to £500k, £500 cashback + 10% overpayments per annum", AJ2="Free standard valuation up to £500k, £500 cashback")), "500", "")))</f>
        <v>500</v>
      </c>
      <c r="AJ2" s="23" t="str">
        <f>IF('Product Launch Brief - PM'!P4="","",'Product Launch Brief - PM'!P4)</f>
        <v>Free standard valuation up to £500k, £500 cashback</v>
      </c>
    </row>
    <row r="3" spans="1:38" s="143" customFormat="1" ht="15">
      <c r="A3" s="143" t="str">
        <f t="shared" si="0"/>
        <v>New Product</v>
      </c>
      <c r="B3" s="144">
        <f>IF('Product Launch Brief - PM'!D5="","",'Product Launch Brief - PM'!D5)</f>
        <v>45370</v>
      </c>
      <c r="C3" s="145">
        <v>5.39</v>
      </c>
      <c r="D3" s="143" t="s">
        <v>85</v>
      </c>
      <c r="E3" s="146" t="str">
        <f>IF('Product Launch Brief - PM'!AB10="","",'Product Launch Brief - PM'!AB10)</f>
        <v>FIIX024</v>
      </c>
      <c r="F3" s="143" t="str">
        <f>IF('Product Launch Brief - PM'!G5="","",'Product Launch Brief - PM'!G5)</f>
        <v>Residential</v>
      </c>
      <c r="G3" s="147"/>
      <c r="I3" s="147" t="str">
        <f>IF('Product Launch Brief - PM'!L5="","",'Product Launch Brief - PM'!L5)</f>
        <v/>
      </c>
      <c r="J3" s="147">
        <f>IF('Product Launch Brief - PM'!H5="","",'Product Launch Brief - PM'!H5)</f>
        <v>5.2900000000000003E-2</v>
      </c>
      <c r="K3" s="148">
        <f>IF('Product Launch Brief - PM'!E5="","",'Product Launch Brief - PM'!E5)</f>
        <v>46234</v>
      </c>
      <c r="L3" s="143" t="str">
        <f>IF('Product Launch Brief - PM'!F5="","",'Product Launch Brief - PM'!F5)</f>
        <v>2 Year Fixed</v>
      </c>
      <c r="M3" s="143" t="str">
        <f>IF('Product Launch Brief - PM'!T5="","",'Product Launch Brief - PM'!T5)</f>
        <v>Y</v>
      </c>
      <c r="N3" s="143" t="str">
        <f>IF('Product Launch Brief - PM'!U5="","",'Product Launch Brief - PM'!U5)</f>
        <v>Y</v>
      </c>
      <c r="O3" s="143" t="str">
        <f>IF('Product Launch Brief - PM'!V5="","",'Product Launch Brief - PM'!V5)</f>
        <v>N</v>
      </c>
      <c r="P3" s="143" t="str">
        <f>IF(A3="","",'Product Launch Brief - PM'!S5)</f>
        <v>No</v>
      </c>
      <c r="Q3" s="143" t="str">
        <f>IF('Product Launch Brief - PM'!G5="","",'Product Launch Brief - PM'!G5)</f>
        <v>Residential</v>
      </c>
      <c r="R3" s="149" t="str">
        <f t="shared" si="1"/>
        <v>Y</v>
      </c>
      <c r="S3" s="143" t="str">
        <f t="shared" si="2"/>
        <v>NA</v>
      </c>
      <c r="T3" s="150">
        <f>IF('Product Launch Brief - PM'!I5="","",'Product Launch Brief - PM'!I5)</f>
        <v>0.8</v>
      </c>
      <c r="U3" s="151" t="str">
        <f t="shared" si="3"/>
        <v>50,000</v>
      </c>
      <c r="V3" s="151">
        <f t="shared" si="4"/>
        <v>1500000</v>
      </c>
      <c r="W3" s="145"/>
      <c r="X3" s="143">
        <v>6.94</v>
      </c>
      <c r="Y3" s="143" t="str">
        <f t="shared" si="5"/>
        <v>SVR</v>
      </c>
      <c r="Z3" s="206">
        <v>2</v>
      </c>
      <c r="AA3" s="143">
        <v>1</v>
      </c>
      <c r="AG3" s="143" t="str">
        <f>IF('Product Launch Brief - PM'!J5="","",'Product Launch Brief - PM'!J5)</f>
        <v/>
      </c>
      <c r="AJ3" s="143" t="str">
        <f>IF('Product Launch Brief - PM'!P5="","",'Product Launch Brief - PM'!P5)</f>
        <v>Free standard valuation up to £500k + 10% overpayments per annum</v>
      </c>
    </row>
    <row r="4" spans="1:38" s="23" customFormat="1" ht="15">
      <c r="A4" s="23" t="str">
        <f t="shared" si="0"/>
        <v>New Product</v>
      </c>
      <c r="B4" s="22">
        <f>IF('Product Launch Brief - PM'!D6="","",'Product Launch Brief - PM'!D6)</f>
        <v>45370</v>
      </c>
      <c r="C4" s="24">
        <v>4.9000000000000004</v>
      </c>
      <c r="D4" s="23" t="s">
        <v>86</v>
      </c>
      <c r="E4" s="152" t="str">
        <f>IF('Product Launch Brief - PM'!AB11="","",'Product Launch Brief - PM'!AB11)</f>
        <v>FIIX025</v>
      </c>
      <c r="F4" s="23" t="str">
        <f>IF('Product Launch Brief - PM'!G6="","",'Product Launch Brief - PM'!G6)</f>
        <v>Self Employed</v>
      </c>
      <c r="G4" s="133"/>
      <c r="I4" s="133" t="str">
        <f>IF('Product Launch Brief - PM'!L6="","",'Product Launch Brief - PM'!L6)</f>
        <v/>
      </c>
      <c r="J4" s="133">
        <f>IF('Product Launch Brief - PM'!H6="","",'Product Launch Brief - PM'!H6)</f>
        <v>4.8000000000000001E-2</v>
      </c>
      <c r="K4" s="25">
        <f>IF('Product Launch Brief - PM'!E6="","",'Product Launch Brief - PM'!E6)</f>
        <v>47330</v>
      </c>
      <c r="L4" s="23" t="str">
        <f>IF('Product Launch Brief - PM'!F6="","",'Product Launch Brief - PM'!F6)</f>
        <v>5 Year Fixed</v>
      </c>
      <c r="M4" s="23" t="str">
        <f>IF('Product Launch Brief - PM'!T6="","",'Product Launch Brief - PM'!T6)</f>
        <v>Y</v>
      </c>
      <c r="N4" s="23" t="str">
        <f>IF('Product Launch Brief - PM'!U6="","",'Product Launch Brief - PM'!U6)</f>
        <v>Y</v>
      </c>
      <c r="O4" s="23" t="str">
        <f>IF('Product Launch Brief - PM'!V6="","",'Product Launch Brief - PM'!V6)</f>
        <v>N</v>
      </c>
      <c r="P4" s="23" t="str">
        <f>IF(A4="","",'Product Launch Brief - PM'!S6)</f>
        <v>No</v>
      </c>
      <c r="Q4" s="23" t="str">
        <f>IF('Product Launch Brief - PM'!G6="","",'Product Launch Brief - PM'!G6)</f>
        <v>Self Employed</v>
      </c>
      <c r="R4" s="26" t="str">
        <f t="shared" si="1"/>
        <v>Y</v>
      </c>
      <c r="S4" s="23" t="str">
        <f t="shared" si="2"/>
        <v>NA</v>
      </c>
      <c r="T4" s="136">
        <f>IF('Product Launch Brief - PM'!I6="","",'Product Launch Brief - PM'!I6)</f>
        <v>0.8</v>
      </c>
      <c r="U4" s="142" t="str">
        <f t="shared" si="3"/>
        <v>50,000</v>
      </c>
      <c r="V4" s="153">
        <f t="shared" si="4"/>
        <v>1500000</v>
      </c>
      <c r="W4" s="24"/>
      <c r="X4" s="23">
        <v>6.94</v>
      </c>
      <c r="Y4" s="23" t="str">
        <f t="shared" si="5"/>
        <v>SVR</v>
      </c>
      <c r="Z4" s="205">
        <v>5</v>
      </c>
      <c r="AA4" s="23">
        <v>4</v>
      </c>
      <c r="AB4" s="23">
        <v>3</v>
      </c>
      <c r="AC4" s="23">
        <v>2</v>
      </c>
      <c r="AD4" s="23">
        <v>1</v>
      </c>
      <c r="AG4" s="23" t="str">
        <f>IF('Product Launch Brief - PM'!J6="","",'Product Launch Brief - PM'!J6)</f>
        <v/>
      </c>
      <c r="AI4" s="23" t="str">
        <f t="shared" si="7"/>
        <v/>
      </c>
      <c r="AJ4" s="23" t="str">
        <f>IF('Product Launch Brief - PM'!P6="","",'Product Launch Brief - PM'!P6)</f>
        <v>Free standard valuation up to £500k + 10% overpayments per annum</v>
      </c>
    </row>
    <row r="5" spans="1:38" s="143" customFormat="1" ht="15">
      <c r="A5" s="143" t="str">
        <f t="shared" si="0"/>
        <v>New Product</v>
      </c>
      <c r="B5" s="144">
        <f>IF('Product Launch Brief - PM'!D7="","",'Product Launch Brief - PM'!D7)</f>
        <v>45370</v>
      </c>
      <c r="C5" s="145">
        <v>4.75</v>
      </c>
      <c r="D5" s="143" t="s">
        <v>87</v>
      </c>
      <c r="E5" s="146" t="str">
        <f>IF('Product Launch Brief - PM'!AB12="","",'Product Launch Brief - PM'!AB12)</f>
        <v>FIIX026</v>
      </c>
      <c r="F5" s="143" t="str">
        <f>IF('Product Launch Brief - PM'!G7="","",'Product Launch Brief - PM'!G7)</f>
        <v>Residential</v>
      </c>
      <c r="G5" s="147"/>
      <c r="I5" s="147" t="str">
        <f>IF('Product Launch Brief - PM'!L7="","",'Product Launch Brief - PM'!L7)</f>
        <v/>
      </c>
      <c r="J5" s="147">
        <f>IF('Product Launch Brief - PM'!H7="","",'Product Launch Brief - PM'!H7)</f>
        <v>4.6600000000000003E-2</v>
      </c>
      <c r="K5" s="148">
        <f>IF('Product Launch Brief - PM'!E7="","",'Product Launch Brief - PM'!E7)</f>
        <v>47330</v>
      </c>
      <c r="L5" s="143" t="str">
        <f>IF('Product Launch Brief - PM'!F7="","",'Product Launch Brief - PM'!F7)</f>
        <v>5 Year Fixed</v>
      </c>
      <c r="M5" s="143" t="str">
        <f>IF('Product Launch Brief - PM'!T7="","",'Product Launch Brief - PM'!T7)</f>
        <v>Y</v>
      </c>
      <c r="N5" s="143" t="str">
        <f>IF('Product Launch Brief - PM'!U7="","",'Product Launch Brief - PM'!U7)</f>
        <v>Y</v>
      </c>
      <c r="O5" s="143" t="str">
        <f>IF('Product Launch Brief - PM'!V7="","",'Product Launch Brief - PM'!V7)</f>
        <v>N</v>
      </c>
      <c r="P5" s="143" t="str">
        <f>IF(A5="","",'Product Launch Brief - PM'!S7)</f>
        <v>No</v>
      </c>
      <c r="Q5" s="143" t="str">
        <f>IF('Product Launch Brief - PM'!G7="","",'Product Launch Brief - PM'!G7)</f>
        <v>Residential</v>
      </c>
      <c r="R5" s="149" t="str">
        <f t="shared" si="1"/>
        <v>Y</v>
      </c>
      <c r="S5" s="143" t="str">
        <f t="shared" si="2"/>
        <v>NA</v>
      </c>
      <c r="T5" s="150">
        <f>IF('Product Launch Brief - PM'!I7="","",'Product Launch Brief - PM'!I7)</f>
        <v>0.8</v>
      </c>
      <c r="U5" s="151">
        <f t="shared" si="3"/>
        <v>30000</v>
      </c>
      <c r="V5" s="151">
        <f t="shared" si="4"/>
        <v>1500000</v>
      </c>
      <c r="W5" s="145"/>
      <c r="X5" s="143">
        <v>6.94</v>
      </c>
      <c r="Y5" s="143" t="str">
        <f t="shared" si="5"/>
        <v>SVR</v>
      </c>
      <c r="Z5" s="206">
        <v>5</v>
      </c>
      <c r="AA5" s="143">
        <v>4</v>
      </c>
      <c r="AB5" s="143">
        <v>3</v>
      </c>
      <c r="AC5" s="143">
        <v>2</v>
      </c>
      <c r="AD5" s="143">
        <v>1</v>
      </c>
      <c r="AG5" s="143">
        <f>IF('Product Launch Brief - PM'!J7="","",'Product Launch Brief - PM'!J7)</f>
        <v>999</v>
      </c>
      <c r="AH5" s="143" t="str">
        <f t="shared" si="6"/>
        <v>Y</v>
      </c>
      <c r="AJ5" s="143" t="str">
        <f>IF('Product Launch Brief - PM'!P7="","",'Product Launch Brief - PM'!P7)</f>
        <v>10% overpayments per annum</v>
      </c>
    </row>
    <row r="6" spans="1:38" s="23" customFormat="1" ht="15">
      <c r="A6" s="23" t="str">
        <f t="shared" si="0"/>
        <v>New Product</v>
      </c>
      <c r="B6" s="22">
        <f>IF('Product Launch Brief - PM'!D8="","",'Product Launch Brief - PM'!D8)</f>
        <v>45370</v>
      </c>
      <c r="C6" s="24">
        <v>5.45</v>
      </c>
      <c r="D6" s="23" t="s">
        <v>88</v>
      </c>
      <c r="E6" s="152" t="str">
        <f>IF('Product Launch Brief - PM'!AB13="","",'Product Launch Brief - PM'!AB13)</f>
        <v>RETN349</v>
      </c>
      <c r="F6" s="23" t="str">
        <f>IF('Product Launch Brief - PM'!G8="","",'Product Launch Brief - PM'!G8)</f>
        <v>Residential</v>
      </c>
      <c r="G6" s="133"/>
      <c r="I6" s="133" t="str">
        <f>IF('Product Launch Brief - PM'!L8="","",'Product Launch Brief - PM'!L8)</f>
        <v/>
      </c>
      <c r="J6" s="133">
        <f>IF('Product Launch Brief - PM'!H8="","",'Product Launch Brief - PM'!H8)</f>
        <v>5.5E-2</v>
      </c>
      <c r="K6" s="25">
        <f>IF('Product Launch Brief - PM'!E8="","",'Product Launch Brief - PM'!E8)</f>
        <v>46234</v>
      </c>
      <c r="L6" s="23" t="str">
        <f>IF('Product Launch Brief - PM'!F8="","",'Product Launch Brief - PM'!F8)</f>
        <v>2 Year Fixed</v>
      </c>
      <c r="M6" s="23" t="str">
        <f>IF('Product Launch Brief - PM'!T8="","",'Product Launch Brief - PM'!T8)</f>
        <v>Y</v>
      </c>
      <c r="N6" s="23" t="str">
        <f>IF('Product Launch Brief - PM'!U8="","",'Product Launch Brief - PM'!U8)</f>
        <v>Y</v>
      </c>
      <c r="O6" s="23" t="str">
        <f>IF('Product Launch Brief - PM'!V8="","",'Product Launch Brief - PM'!V8)</f>
        <v>N</v>
      </c>
      <c r="P6" s="23" t="str">
        <f>IF(A6="","",'Product Launch Brief - PM'!S8)</f>
        <v>No</v>
      </c>
      <c r="Q6" s="23" t="str">
        <f>IF('Product Launch Brief - PM'!G8="","",'Product Launch Brief - PM'!G8)</f>
        <v>Residential</v>
      </c>
      <c r="R6" s="26" t="str">
        <f t="shared" ref="R6:R21" si="8">IF(Q6="", "",IF((OR(Q6="Residential - Interest Only",Q6="Residential - Interest Only - Existing Customer only")),"N","Y"))</f>
        <v>Y</v>
      </c>
      <c r="S6" s="23" t="str">
        <f t="shared" ref="S6:S21" si="9">IF(F6="","","NA")</f>
        <v>NA</v>
      </c>
      <c r="T6" s="136">
        <f>IF('Product Launch Brief - PM'!I8="","",'Product Launch Brief - PM'!I8)</f>
        <v>0.9</v>
      </c>
      <c r="U6" s="142" t="str">
        <f t="shared" si="3"/>
        <v>50,000</v>
      </c>
      <c r="V6" s="153">
        <f t="shared" si="4"/>
        <v>750000</v>
      </c>
      <c r="W6" s="24"/>
      <c r="X6" s="23">
        <v>6.94</v>
      </c>
      <c r="Y6" s="23" t="str">
        <f t="shared" ref="Y6:Y21" si="10">IF(B6="","","SVR")</f>
        <v>SVR</v>
      </c>
      <c r="Z6" s="205">
        <v>2</v>
      </c>
      <c r="AA6" s="23">
        <v>1</v>
      </c>
      <c r="AG6" s="23" t="str">
        <f>IF('Product Launch Brief - PM'!J8="","",'Product Launch Brief - PM'!J8)</f>
        <v/>
      </c>
      <c r="AJ6" s="23" t="str">
        <f>IF('Product Launch Brief - PM'!P8="","",'Product Launch Brief - PM'!P8)</f>
        <v>Free standard valuation up to £500k + 10% overpayments per annum</v>
      </c>
    </row>
    <row r="7" spans="1:38" s="143" customFormat="1" ht="15">
      <c r="A7" s="143" t="str">
        <f t="shared" si="0"/>
        <v>New Product</v>
      </c>
      <c r="B7" s="144">
        <f>IF('Product Launch Brief - PM'!D9="","",'Product Launch Brief - PM'!D9)</f>
        <v>45370</v>
      </c>
      <c r="C7" s="145">
        <v>4.95</v>
      </c>
      <c r="D7" s="143" t="s">
        <v>89</v>
      </c>
      <c r="E7" s="146" t="str">
        <f>IF('Product Launch Brief - PM'!AB14="","",'Product Launch Brief - PM'!AB14)</f>
        <v>RETN350</v>
      </c>
      <c r="F7" s="143" t="str">
        <f>IF('Product Launch Brief - PM'!G9="","",'Product Launch Brief - PM'!G9)</f>
        <v>Residential</v>
      </c>
      <c r="G7" s="147"/>
      <c r="I7" s="147" t="str">
        <f>IF('Product Launch Brief - PM'!L9="","",'Product Launch Brief - PM'!L9)</f>
        <v/>
      </c>
      <c r="J7" s="147">
        <f>IF('Product Launch Brief - PM'!H9="","",'Product Launch Brief - PM'!H9)</f>
        <v>4.99E-2</v>
      </c>
      <c r="K7" s="148">
        <f>IF('Product Launch Brief - PM'!E9="","",'Product Launch Brief - PM'!E9)</f>
        <v>47330</v>
      </c>
      <c r="L7" s="143" t="str">
        <f>IF('Product Launch Brief - PM'!F9="","",'Product Launch Brief - PM'!F9)</f>
        <v>5 Year Fixed</v>
      </c>
      <c r="M7" s="143" t="str">
        <f>IF('Product Launch Brief - PM'!T9="","",'Product Launch Brief - PM'!T9)</f>
        <v>Y</v>
      </c>
      <c r="N7" s="143" t="str">
        <f>IF('Product Launch Brief - PM'!U9="","",'Product Launch Brief - PM'!U9)</f>
        <v>Y</v>
      </c>
      <c r="O7" s="143" t="str">
        <f>IF('Product Launch Brief - PM'!V9="","",'Product Launch Brief - PM'!V9)</f>
        <v>N</v>
      </c>
      <c r="P7" s="143" t="str">
        <f>IF(A7="","",'Product Launch Brief - PM'!S9)</f>
        <v>No</v>
      </c>
      <c r="Q7" s="143" t="str">
        <f>IF('Product Launch Brief - PM'!G9="","",'Product Launch Brief - PM'!G9)</f>
        <v>Residential</v>
      </c>
      <c r="R7" s="149" t="str">
        <f t="shared" si="8"/>
        <v>Y</v>
      </c>
      <c r="S7" s="143" t="str">
        <f t="shared" si="9"/>
        <v>NA</v>
      </c>
      <c r="T7" s="150">
        <f>IF('Product Launch Brief - PM'!I9="","",'Product Launch Brief - PM'!I9)</f>
        <v>0.9</v>
      </c>
      <c r="U7" s="151" t="str">
        <f t="shared" si="3"/>
        <v>50,000</v>
      </c>
      <c r="V7" s="151">
        <f t="shared" si="4"/>
        <v>750000</v>
      </c>
      <c r="W7" s="145"/>
      <c r="X7" s="143">
        <v>6.94</v>
      </c>
      <c r="Y7" s="143" t="str">
        <f t="shared" si="10"/>
        <v>SVR</v>
      </c>
      <c r="Z7" s="206">
        <v>5</v>
      </c>
      <c r="AA7" s="143">
        <v>4</v>
      </c>
      <c r="AB7" s="143">
        <v>3</v>
      </c>
      <c r="AC7" s="143">
        <v>2</v>
      </c>
      <c r="AD7" s="143">
        <v>1</v>
      </c>
      <c r="AG7" s="143" t="str">
        <f>IF('Product Launch Brief - PM'!J9="","",'Product Launch Brief - PM'!J9)</f>
        <v/>
      </c>
      <c r="AJ7" s="143" t="str">
        <f>IF('Product Launch Brief - PM'!P9="","",'Product Launch Brief - PM'!P9)</f>
        <v>Free standard valuation up to £500k + 10% overpayments per annum</v>
      </c>
    </row>
    <row r="8" spans="1:38" s="23" customFormat="1" ht="15">
      <c r="A8" s="23" t="str">
        <f t="shared" si="0"/>
        <v>New Product</v>
      </c>
      <c r="B8" s="22">
        <f>IF('Product Launch Brief - PM'!D10="","",'Product Launch Brief - PM'!D10)</f>
        <v>45370</v>
      </c>
      <c r="C8" s="24">
        <v>4.8</v>
      </c>
      <c r="D8" s="23" t="s">
        <v>90</v>
      </c>
      <c r="E8" s="152" t="str">
        <f>IF('Product Launch Brief - PM'!AB15="","",'Product Launch Brief - PM'!AB15)</f>
        <v>DEPU100</v>
      </c>
      <c r="F8" s="23" t="str">
        <f>IF('Product Launch Brief - PM'!G10="","",'Product Launch Brief - PM'!G10)</f>
        <v>Residential</v>
      </c>
      <c r="G8" s="133"/>
      <c r="I8" s="133" t="str">
        <f>IF('Product Launch Brief - PM'!L10="","",'Product Launch Brief - PM'!L10)</f>
        <v/>
      </c>
      <c r="J8" s="133">
        <f>IF('Product Launch Brief - PM'!H10="","",'Product Launch Brief - PM'!H10)</f>
        <v>4.8500000000000001E-2</v>
      </c>
      <c r="K8" s="25">
        <f>IF('Product Launch Brief - PM'!E10="","",'Product Launch Brief - PM'!E10)</f>
        <v>47330</v>
      </c>
      <c r="L8" s="23" t="str">
        <f>IF('Product Launch Brief - PM'!F10="","",'Product Launch Brief - PM'!F10)</f>
        <v>5 Year Fixed</v>
      </c>
      <c r="M8" s="23" t="str">
        <f>IF('Product Launch Brief - PM'!T10="","",'Product Launch Brief - PM'!T10)</f>
        <v>Y</v>
      </c>
      <c r="N8" s="23" t="str">
        <f>IF('Product Launch Brief - PM'!U10="","",'Product Launch Brief - PM'!U10)</f>
        <v>Y</v>
      </c>
      <c r="O8" s="23" t="str">
        <f>IF('Product Launch Brief - PM'!V10="","",'Product Launch Brief - PM'!V10)</f>
        <v>N</v>
      </c>
      <c r="P8" s="23" t="str">
        <f>IF(A8="","",'Product Launch Brief - PM'!S10)</f>
        <v>No</v>
      </c>
      <c r="Q8" s="23" t="str">
        <f>IF('Product Launch Brief - PM'!G10="","",'Product Launch Brief - PM'!G10)</f>
        <v>Residential</v>
      </c>
      <c r="R8" s="26" t="str">
        <f t="shared" si="8"/>
        <v>Y</v>
      </c>
      <c r="S8" s="23" t="str">
        <f t="shared" si="9"/>
        <v>NA</v>
      </c>
      <c r="T8" s="136">
        <f>IF('Product Launch Brief - PM'!I10="","",'Product Launch Brief - PM'!I10)</f>
        <v>0.9</v>
      </c>
      <c r="U8" s="142">
        <f t="shared" si="3"/>
        <v>30000</v>
      </c>
      <c r="V8" s="153">
        <f t="shared" si="4"/>
        <v>750000</v>
      </c>
      <c r="W8" s="24"/>
      <c r="X8" s="23">
        <v>6.94</v>
      </c>
      <c r="Y8" s="23" t="str">
        <f t="shared" si="10"/>
        <v>SVR</v>
      </c>
      <c r="Z8" s="205">
        <v>5</v>
      </c>
      <c r="AA8" s="23">
        <v>4</v>
      </c>
      <c r="AB8" s="23">
        <v>3</v>
      </c>
      <c r="AC8" s="23">
        <v>2</v>
      </c>
      <c r="AD8" s="23">
        <v>1</v>
      </c>
      <c r="AG8" s="23">
        <f>IF('Product Launch Brief - PM'!J10="","",'Product Launch Brief - PM'!J10)</f>
        <v>999</v>
      </c>
      <c r="AH8" s="23" t="str">
        <f t="shared" ref="AH8:AH21" si="11">IF(A8="","","Y")</f>
        <v>Y</v>
      </c>
      <c r="AJ8" s="23" t="str">
        <f>IF('Product Launch Brief - PM'!P10="","",'Product Launch Brief - PM'!P10)</f>
        <v>10% overpayments per annum</v>
      </c>
    </row>
    <row r="9" spans="1:38" s="143" customFormat="1" ht="15">
      <c r="A9" s="143" t="str">
        <f t="shared" si="0"/>
        <v>New Product</v>
      </c>
      <c r="B9" s="144">
        <f>IF('Product Launch Brief - PM'!D11="","",'Product Launch Brief - PM'!D11)</f>
        <v>45370</v>
      </c>
      <c r="C9" s="145">
        <v>5.3</v>
      </c>
      <c r="D9" s="143" t="s">
        <v>91</v>
      </c>
      <c r="E9" s="146" t="str">
        <f>IF('Product Launch Brief - PM'!AB16="","",'Product Launch Brief - PM'!AB16)</f>
        <v>DEPU101</v>
      </c>
      <c r="F9" s="143" t="str">
        <f>IF('Product Launch Brief - PM'!G11="","",'Product Launch Brief - PM'!G11)</f>
        <v>Residential</v>
      </c>
      <c r="G9" s="147"/>
      <c r="I9" s="147" t="str">
        <f>IF('Product Launch Brief - PM'!L11="","",'Product Launch Brief - PM'!L11)</f>
        <v/>
      </c>
      <c r="J9" s="147">
        <f>IF('Product Launch Brief - PM'!H11="","",'Product Launch Brief - PM'!H11)</f>
        <v>5.3499999999999999E-2</v>
      </c>
      <c r="K9" s="148">
        <f>IF('Product Launch Brief - PM'!E11="","",'Product Launch Brief - PM'!E11)</f>
        <v>46234</v>
      </c>
      <c r="L9" s="143" t="str">
        <f>IF('Product Launch Brief - PM'!F11="","",'Product Launch Brief - PM'!F11)</f>
        <v>2 Year Fixed</v>
      </c>
      <c r="M9" s="143" t="str">
        <f>IF('Product Launch Brief - PM'!T11="","",'Product Launch Brief - PM'!T11)</f>
        <v>Y</v>
      </c>
      <c r="N9" s="143" t="str">
        <f>IF('Product Launch Brief - PM'!U11="","",'Product Launch Brief - PM'!U11)</f>
        <v>Y</v>
      </c>
      <c r="O9" s="143" t="str">
        <f>IF('Product Launch Brief - PM'!V11="","",'Product Launch Brief - PM'!V11)</f>
        <v>N</v>
      </c>
      <c r="P9" s="143" t="str">
        <f>IF(A9="","",'Product Launch Brief - PM'!S11)</f>
        <v>No</v>
      </c>
      <c r="Q9" s="143" t="str">
        <f>IF('Product Launch Brief - PM'!G11="","",'Product Launch Brief - PM'!G11)</f>
        <v>Residential</v>
      </c>
      <c r="R9" s="149" t="str">
        <f t="shared" si="8"/>
        <v>Y</v>
      </c>
      <c r="S9" s="143" t="str">
        <f t="shared" si="9"/>
        <v>NA</v>
      </c>
      <c r="T9" s="150">
        <f>IF('Product Launch Brief - PM'!I11="","",'Product Launch Brief - PM'!I11)</f>
        <v>0.95</v>
      </c>
      <c r="U9" s="151">
        <f t="shared" si="3"/>
        <v>30000</v>
      </c>
      <c r="V9" s="151">
        <f t="shared" si="4"/>
        <v>500000</v>
      </c>
      <c r="W9" s="145"/>
      <c r="X9" s="143">
        <v>6.94</v>
      </c>
      <c r="Y9" s="143" t="str">
        <f t="shared" si="10"/>
        <v>SVR</v>
      </c>
      <c r="Z9" s="206">
        <v>2</v>
      </c>
      <c r="AA9" s="143">
        <v>1</v>
      </c>
      <c r="AG9" s="143">
        <f>IF('Product Launch Brief - PM'!J11="","",'Product Launch Brief - PM'!J11)</f>
        <v>999</v>
      </c>
      <c r="AH9" s="143" t="str">
        <f t="shared" si="11"/>
        <v>Y</v>
      </c>
      <c r="AJ9" s="143" t="str">
        <f>IF('Product Launch Brief - PM'!P11="","",'Product Launch Brief - PM'!P11)</f>
        <v>10% overpayments per annum</v>
      </c>
    </row>
    <row r="10" spans="1:38" s="23" customFormat="1" ht="15">
      <c r="A10" s="23" t="str">
        <f t="shared" si="0"/>
        <v>New Product</v>
      </c>
      <c r="B10" s="22">
        <f>IF('Product Launch Brief - PM'!D12="","",'Product Launch Brief - PM'!D12)</f>
        <v>45370</v>
      </c>
      <c r="C10" s="24">
        <v>5.65</v>
      </c>
      <c r="D10" s="23" t="s">
        <v>92</v>
      </c>
      <c r="E10" s="152" t="str">
        <f>IF('Product Launch Brief - PM'!AB17="","",'Product Launch Brief - PM'!AB17)</f>
        <v>EBRT186</v>
      </c>
      <c r="F10" s="23" t="str">
        <f>IF('Product Launch Brief - PM'!G12="","",'Product Launch Brief - PM'!G12)</f>
        <v>Residential</v>
      </c>
      <c r="G10" s="133"/>
      <c r="I10" s="133" t="str">
        <f>IF('Product Launch Brief - PM'!L12="","",'Product Launch Brief - PM'!L12)</f>
        <v/>
      </c>
      <c r="J10" s="133">
        <f>IF('Product Launch Brief - PM'!H12="","",'Product Launch Brief - PM'!H12)</f>
        <v>5.6899999999999999E-2</v>
      </c>
      <c r="K10" s="25">
        <f>IF('Product Launch Brief - PM'!E12="","",'Product Launch Brief - PM'!E12)</f>
        <v>46234</v>
      </c>
      <c r="L10" s="23" t="str">
        <f>IF('Product Launch Brief - PM'!F12="","",'Product Launch Brief - PM'!F12)</f>
        <v>2 Year Fixed</v>
      </c>
      <c r="M10" s="23" t="str">
        <f>IF('Product Launch Brief - PM'!T12="","",'Product Launch Brief - PM'!T12)</f>
        <v>Y</v>
      </c>
      <c r="N10" s="23" t="str">
        <f>IF('Product Launch Brief - PM'!U12="","",'Product Launch Brief - PM'!U12)</f>
        <v>Y</v>
      </c>
      <c r="O10" s="23" t="str">
        <f>IF('Product Launch Brief - PM'!V12="","",'Product Launch Brief - PM'!V12)</f>
        <v>N</v>
      </c>
      <c r="P10" s="23" t="str">
        <f>IF(A10="","",'Product Launch Brief - PM'!S12)</f>
        <v>No</v>
      </c>
      <c r="Q10" s="23" t="str">
        <f>IF('Product Launch Brief - PM'!G12="","",'Product Launch Brief - PM'!G12)</f>
        <v>Residential</v>
      </c>
      <c r="R10" s="26" t="str">
        <f t="shared" si="8"/>
        <v>Y</v>
      </c>
      <c r="S10" s="23" t="str">
        <f t="shared" si="9"/>
        <v>NA</v>
      </c>
      <c r="T10" s="136">
        <f>IF('Product Launch Brief - PM'!I12="","",'Product Launch Brief - PM'!I12)</f>
        <v>0.95</v>
      </c>
      <c r="U10" s="142" t="str">
        <f t="shared" si="3"/>
        <v>50,000</v>
      </c>
      <c r="V10" s="153">
        <f t="shared" si="4"/>
        <v>500000</v>
      </c>
      <c r="W10" s="24"/>
      <c r="X10" s="23">
        <v>6.94</v>
      </c>
      <c r="Y10" s="23" t="str">
        <f t="shared" si="10"/>
        <v>SVR</v>
      </c>
      <c r="Z10" s="205">
        <v>2</v>
      </c>
      <c r="AA10" s="23">
        <v>1</v>
      </c>
      <c r="AG10" s="23" t="str">
        <f>IF('Product Launch Brief - PM'!J12="","",'Product Launch Brief - PM'!J12)</f>
        <v/>
      </c>
      <c r="AI10" s="23" t="str">
        <f t="shared" ref="AI10:AI14" si="12">IF(AJ10="Free standard valuation up to £500k, £1000 cashback + 10% overpayments per annum", "1000",IF(AJ10="Free standard valuation up to £500k, £250 cashback + 10% overpayments per annum", "250", IF((OR(AJ10="Free standard valuation up to £500k, £500 cashback + 10% overpayments per annum", AJ10="Free standard valuation up to £500k, £500 cashback")), "500", "")))</f>
        <v>250</v>
      </c>
      <c r="AJ10" s="23" t="str">
        <f>IF('Product Launch Brief - PM'!P12="","",'Product Launch Brief - PM'!P12)</f>
        <v>Free standard valuation up to £500k, £250 cashback + 10% overpayments per annum</v>
      </c>
    </row>
    <row r="11" spans="1:38" s="143" customFormat="1" ht="15">
      <c r="A11" s="143" t="str">
        <f t="shared" si="0"/>
        <v>New Product</v>
      </c>
      <c r="B11" s="144">
        <f>IF('Product Launch Brief - PM'!D13="","",'Product Launch Brief - PM'!D13)</f>
        <v>45370</v>
      </c>
      <c r="C11" s="145">
        <v>4.8499999999999996</v>
      </c>
      <c r="D11" s="143" t="s">
        <v>93</v>
      </c>
      <c r="E11" s="146" t="str">
        <f>IF('Product Launch Brief - PM'!AB18="","",'Product Launch Brief - PM'!AB18)</f>
        <v>FIIX12</v>
      </c>
      <c r="F11" s="143" t="str">
        <f>IF('Product Launch Brief - PM'!G13="","",'Product Launch Brief - PM'!G13)</f>
        <v>Residential - Existing Customer only</v>
      </c>
      <c r="G11" s="147"/>
      <c r="I11" s="147" t="str">
        <f>IF('Product Launch Brief - PM'!L13="","",'Product Launch Brief - PM'!L13)</f>
        <v/>
      </c>
      <c r="J11" s="147">
        <f>IF('Product Launch Brief - PM'!H13="","",'Product Launch Brief - PM'!H13)</f>
        <v>4.7500000000000001E-2</v>
      </c>
      <c r="K11" s="148">
        <f>IF('Product Launch Brief - PM'!E13="","",'Product Launch Brief - PM'!E13)</f>
        <v>47330</v>
      </c>
      <c r="L11" s="143" t="str">
        <f>IF('Product Launch Brief - PM'!F13="","",'Product Launch Brief - PM'!F13)</f>
        <v>5 Year Fixed</v>
      </c>
      <c r="M11" s="143" t="str">
        <f>IF('Product Launch Brief - PM'!T13="","",'Product Launch Brief - PM'!T13)</f>
        <v>N</v>
      </c>
      <c r="N11" s="143" t="str">
        <f>IF('Product Launch Brief - PM'!U13="","",'Product Launch Brief - PM'!U13)</f>
        <v>N</v>
      </c>
      <c r="O11" s="143" t="str">
        <f>IF('Product Launch Brief - PM'!V13="","",'Product Launch Brief - PM'!V13)</f>
        <v>Y</v>
      </c>
      <c r="P11" s="143" t="str">
        <f>IF(A11="","",'Product Launch Brief - PM'!S13)</f>
        <v>Yes</v>
      </c>
      <c r="Q11" s="143" t="str">
        <f>IF('Product Launch Brief - PM'!G13="","",'Product Launch Brief - PM'!G13)</f>
        <v>Residential - Existing Customer only</v>
      </c>
      <c r="R11" s="149" t="str">
        <f t="shared" si="8"/>
        <v>Y</v>
      </c>
      <c r="S11" s="143" t="str">
        <f t="shared" si="9"/>
        <v>NA</v>
      </c>
      <c r="T11" s="150">
        <f>IF('Product Launch Brief - PM'!I13="","",'Product Launch Brief - PM'!I13)</f>
        <v>0.8</v>
      </c>
      <c r="U11" s="151">
        <f t="shared" si="3"/>
        <v>1000</v>
      </c>
      <c r="V11" s="151">
        <f t="shared" si="4"/>
        <v>1500000</v>
      </c>
      <c r="W11" s="145"/>
      <c r="X11" s="143">
        <v>6.94</v>
      </c>
      <c r="Y11" s="143" t="str">
        <f t="shared" si="10"/>
        <v>SVR</v>
      </c>
      <c r="Z11" s="206">
        <v>5</v>
      </c>
      <c r="AA11" s="143">
        <v>4</v>
      </c>
      <c r="AB11" s="143">
        <v>3</v>
      </c>
      <c r="AC11" s="143">
        <v>2</v>
      </c>
      <c r="AD11" s="143">
        <v>1</v>
      </c>
      <c r="AG11" s="143" t="str">
        <f>IF('Product Launch Brief - PM'!J13="","",'Product Launch Brief - PM'!J13)</f>
        <v/>
      </c>
      <c r="AJ11" s="143" t="str">
        <f>IF('Product Launch Brief - PM'!P13="","",'Product Launch Brief - PM'!P13)</f>
        <v>10% overpayments per annum</v>
      </c>
    </row>
    <row r="12" spans="1:38" s="23" customFormat="1" ht="15">
      <c r="A12" s="23" t="str">
        <f t="shared" si="0"/>
        <v>New Product</v>
      </c>
      <c r="B12" s="22">
        <f>IF('Product Launch Brief - PM'!D14="","",'Product Launch Brief - PM'!D14)</f>
        <v>45370</v>
      </c>
      <c r="C12" s="24">
        <v>4.6900000000000004</v>
      </c>
      <c r="D12" s="23" t="s">
        <v>94</v>
      </c>
      <c r="E12" s="152" t="str">
        <f>IF('Product Launch Brief - PM'!AB19="","",'Product Launch Brief - PM'!AB19)</f>
        <v>FIIX13</v>
      </c>
      <c r="F12" s="23" t="str">
        <f>IF('Product Launch Brief - PM'!G14="","",'Product Launch Brief - PM'!G14)</f>
        <v>Residential - Existing Customer only</v>
      </c>
      <c r="G12" s="133"/>
      <c r="I12" s="133" t="str">
        <f>IF('Product Launch Brief - PM'!L14="","",'Product Launch Brief - PM'!L14)</f>
        <v/>
      </c>
      <c r="J12" s="133">
        <f>IF('Product Launch Brief - PM'!H14="","",'Product Launch Brief - PM'!H14)</f>
        <v>4.5999999999999999E-2</v>
      </c>
      <c r="K12" s="25">
        <f>IF('Product Launch Brief - PM'!E14="","",'Product Launch Brief - PM'!E14)</f>
        <v>47330</v>
      </c>
      <c r="L12" s="23" t="str">
        <f>IF('Product Launch Brief - PM'!F14="","",'Product Launch Brief - PM'!F14)</f>
        <v>5 Year Fixed</v>
      </c>
      <c r="M12" s="23" t="str">
        <f>IF('Product Launch Brief - PM'!T14="","",'Product Launch Brief - PM'!T14)</f>
        <v>N</v>
      </c>
      <c r="N12" s="23" t="str">
        <f>IF('Product Launch Brief - PM'!U14="","",'Product Launch Brief - PM'!U14)</f>
        <v>N</v>
      </c>
      <c r="O12" s="23" t="str">
        <f>IF('Product Launch Brief - PM'!V14="","",'Product Launch Brief - PM'!V14)</f>
        <v>Y</v>
      </c>
      <c r="P12" s="23" t="str">
        <f>IF(A12="","",'Product Launch Brief - PM'!S14)</f>
        <v>Yes</v>
      </c>
      <c r="Q12" s="23" t="str">
        <f>IF('Product Launch Brief - PM'!G14="","",'Product Launch Brief - PM'!G14)</f>
        <v>Residential - Existing Customer only</v>
      </c>
      <c r="R12" s="26" t="str">
        <f t="shared" si="8"/>
        <v>Y</v>
      </c>
      <c r="S12" s="23" t="str">
        <f t="shared" si="9"/>
        <v>NA</v>
      </c>
      <c r="T12" s="136">
        <f>IF('Product Launch Brief - PM'!I14="","",'Product Launch Brief - PM'!I14)</f>
        <v>0.8</v>
      </c>
      <c r="U12" s="142">
        <f t="shared" si="3"/>
        <v>1000</v>
      </c>
      <c r="V12" s="153">
        <f t="shared" si="4"/>
        <v>1500000</v>
      </c>
      <c r="W12" s="24"/>
      <c r="X12" s="23">
        <v>6.94</v>
      </c>
      <c r="Y12" s="23" t="str">
        <f t="shared" si="10"/>
        <v>SVR</v>
      </c>
      <c r="Z12" s="205">
        <v>5</v>
      </c>
      <c r="AA12" s="23">
        <v>4</v>
      </c>
      <c r="AB12" s="23">
        <v>3</v>
      </c>
      <c r="AC12" s="23">
        <v>2</v>
      </c>
      <c r="AD12" s="23">
        <v>1</v>
      </c>
      <c r="AG12" s="23">
        <f>IF('Product Launch Brief - PM'!J14="","",'Product Launch Brief - PM'!J14)</f>
        <v>999</v>
      </c>
      <c r="AH12" s="23" t="str">
        <f t="shared" si="11"/>
        <v>Y</v>
      </c>
      <c r="AJ12" s="23" t="str">
        <f>IF('Product Launch Brief - PM'!P14="","",'Product Launch Brief - PM'!P14)</f>
        <v>Free standard valuation up to £500k, Free Legals + 10% overpayments per annum</v>
      </c>
    </row>
    <row r="13" spans="1:38" s="143" customFormat="1" ht="15">
      <c r="A13" s="143" t="str">
        <f t="shared" si="0"/>
        <v>New Product</v>
      </c>
      <c r="B13" s="144">
        <f>IF('Product Launch Brief - PM'!D15="","",'Product Launch Brief - PM'!D15)</f>
        <v>45370</v>
      </c>
      <c r="C13" s="145">
        <v>5.3</v>
      </c>
      <c r="D13" s="143" t="s">
        <v>95</v>
      </c>
      <c r="E13" s="146" t="str">
        <f>IF('Product Launch Brief - PM'!AB20="","",'Product Launch Brief - PM'!AB20)</f>
        <v>EBRT187</v>
      </c>
      <c r="F13" s="143" t="str">
        <f>IF('Product Launch Brief - PM'!G15="","",'Product Launch Brief - PM'!G15)</f>
        <v>Deposit Unlock</v>
      </c>
      <c r="G13" s="147"/>
      <c r="I13" s="147" t="str">
        <f>IF('Product Launch Brief - PM'!L15="","",'Product Launch Brief - PM'!L15)</f>
        <v/>
      </c>
      <c r="J13" s="147">
        <f>IF('Product Launch Brief - PM'!H15="","",'Product Launch Brief - PM'!H15)</f>
        <v>5.3499999999999999E-2</v>
      </c>
      <c r="K13" s="148">
        <f>IF('Product Launch Brief - PM'!E15="","",'Product Launch Brief - PM'!E15)</f>
        <v>46234</v>
      </c>
      <c r="L13" s="143" t="str">
        <f>IF('Product Launch Brief - PM'!F15="","",'Product Launch Brief - PM'!F15)</f>
        <v>2 Year Fixed</v>
      </c>
      <c r="M13" s="143" t="str">
        <f>IF('Product Launch Brief - PM'!T15="","",'Product Launch Brief - PM'!T15)</f>
        <v>Y</v>
      </c>
      <c r="N13" s="143" t="str">
        <f>IF('Product Launch Brief - PM'!U15="","",'Product Launch Brief - PM'!U15)</f>
        <v>Y</v>
      </c>
      <c r="O13" s="143" t="str">
        <f>IF('Product Launch Brief - PM'!V15="","",'Product Launch Brief - PM'!V15)</f>
        <v>N</v>
      </c>
      <c r="P13" s="143" t="str">
        <f>IF(A13="","",'Product Launch Brief - PM'!S15)</f>
        <v>No</v>
      </c>
      <c r="Q13" s="143" t="str">
        <f>IF('Product Launch Brief - PM'!G15="","",'Product Launch Brief - PM'!G15)</f>
        <v>Deposit Unlock</v>
      </c>
      <c r="R13" s="149" t="str">
        <f t="shared" si="8"/>
        <v>Y</v>
      </c>
      <c r="S13" s="143" t="str">
        <f t="shared" si="9"/>
        <v>NA</v>
      </c>
      <c r="T13" s="150">
        <f>IF('Product Launch Brief - PM'!I15="","",'Product Launch Brief - PM'!I15)</f>
        <v>0.95</v>
      </c>
      <c r="U13" s="151">
        <f t="shared" si="3"/>
        <v>30000</v>
      </c>
      <c r="V13" s="151" t="str">
        <f t="shared" si="4"/>
        <v>750,000</v>
      </c>
      <c r="W13" s="145"/>
      <c r="X13" s="143">
        <v>6.94</v>
      </c>
      <c r="Y13" s="143" t="str">
        <f t="shared" si="10"/>
        <v>SVR</v>
      </c>
      <c r="Z13" s="206">
        <v>2</v>
      </c>
      <c r="AA13" s="143">
        <v>1</v>
      </c>
      <c r="AG13" s="143">
        <f>IF('Product Launch Brief - PM'!J15="","",'Product Launch Brief - PM'!J15)</f>
        <v>999</v>
      </c>
      <c r="AH13" s="143" t="str">
        <f t="shared" si="11"/>
        <v>Y</v>
      </c>
      <c r="AJ13" s="143" t="str">
        <f>IF('Product Launch Brief - PM'!P15="","",'Product Launch Brief - PM'!P15)</f>
        <v>10% overpayments per annum</v>
      </c>
    </row>
    <row r="14" spans="1:38" s="23" customFormat="1" ht="15">
      <c r="A14" s="23" t="str">
        <f t="shared" si="0"/>
        <v>New Product</v>
      </c>
      <c r="B14" s="22">
        <f>IF('Product Launch Brief - PM'!D16="","",'Product Launch Brief - PM'!D16)</f>
        <v>45370</v>
      </c>
      <c r="C14" s="24">
        <v>5.65</v>
      </c>
      <c r="D14" s="23" t="s">
        <v>96</v>
      </c>
      <c r="E14" s="152" t="str">
        <f>IF('Product Launch Brief - PM'!AB21="","",'Product Launch Brief - PM'!AB21)</f>
        <v>FIIX14</v>
      </c>
      <c r="F14" s="23" t="str">
        <f>IF('Product Launch Brief - PM'!G16="","",'Product Launch Brief - PM'!G16)</f>
        <v>Deposit Unlock</v>
      </c>
      <c r="G14" s="133"/>
      <c r="I14" s="133" t="str">
        <f>IF('Product Launch Brief - PM'!L16="","",'Product Launch Brief - PM'!L16)</f>
        <v/>
      </c>
      <c r="J14" s="133">
        <f>IF('Product Launch Brief - PM'!H16="","",'Product Launch Brief - PM'!H16)</f>
        <v>5.6899999999999999E-2</v>
      </c>
      <c r="K14" s="25">
        <f>IF('Product Launch Brief - PM'!E16="","",'Product Launch Brief - PM'!E16)</f>
        <v>46234</v>
      </c>
      <c r="L14" s="23" t="str">
        <f>IF('Product Launch Brief - PM'!F16="","",'Product Launch Brief - PM'!F16)</f>
        <v>2 Year Fixed</v>
      </c>
      <c r="M14" s="23" t="str">
        <f>IF('Product Launch Brief - PM'!T16="","",'Product Launch Brief - PM'!T16)</f>
        <v>Y</v>
      </c>
      <c r="N14" s="23" t="str">
        <f>IF('Product Launch Brief - PM'!U16="","",'Product Launch Brief - PM'!U16)</f>
        <v>Y</v>
      </c>
      <c r="O14" s="23" t="str">
        <f>IF('Product Launch Brief - PM'!V16="","",'Product Launch Brief - PM'!V16)</f>
        <v>N</v>
      </c>
      <c r="P14" s="23" t="str">
        <f>IF(A14="","",'Product Launch Brief - PM'!S16)</f>
        <v>No</v>
      </c>
      <c r="Q14" s="23" t="str">
        <f>IF('Product Launch Brief - PM'!G16="","",'Product Launch Brief - PM'!G16)</f>
        <v>Deposit Unlock</v>
      </c>
      <c r="R14" s="26" t="str">
        <f t="shared" si="8"/>
        <v>Y</v>
      </c>
      <c r="S14" s="23" t="str">
        <f t="shared" si="9"/>
        <v>NA</v>
      </c>
      <c r="T14" s="136">
        <f>IF('Product Launch Brief - PM'!I16="","",'Product Launch Brief - PM'!I16)</f>
        <v>0.95</v>
      </c>
      <c r="U14" s="142" t="str">
        <f t="shared" si="3"/>
        <v>50,000</v>
      </c>
      <c r="V14" s="153" t="str">
        <f t="shared" si="4"/>
        <v>750,000</v>
      </c>
      <c r="W14" s="24"/>
      <c r="X14" s="23">
        <v>6.94</v>
      </c>
      <c r="Y14" s="23" t="str">
        <f t="shared" si="10"/>
        <v>SVR</v>
      </c>
      <c r="Z14" s="205">
        <v>2</v>
      </c>
      <c r="AA14" s="23">
        <v>1</v>
      </c>
      <c r="AG14" s="23" t="str">
        <f>IF('Product Launch Brief - PM'!J16="","",'Product Launch Brief - PM'!J16)</f>
        <v/>
      </c>
      <c r="AI14" s="23" t="str">
        <f t="shared" si="12"/>
        <v>250</v>
      </c>
      <c r="AJ14" s="23" t="str">
        <f>IF('Product Launch Brief - PM'!P16="","",'Product Launch Brief - PM'!P16)</f>
        <v>Free standard valuation up to £500k, £250 cashback + 10% overpayments per annum</v>
      </c>
    </row>
    <row r="15" spans="1:38" s="143" customFormat="1" ht="15">
      <c r="A15" s="143" t="str">
        <f t="shared" si="0"/>
        <v>New Product</v>
      </c>
      <c r="B15" s="144">
        <f>IF('Product Launch Brief - PM'!D17="","",'Product Launch Brief - PM'!D17)</f>
        <v>45370</v>
      </c>
      <c r="C15" s="145">
        <v>6.05</v>
      </c>
      <c r="D15" s="143" t="s">
        <v>97</v>
      </c>
      <c r="E15" s="146" t="str">
        <f>IF('Product Launch Brief - PM'!AB22="","",'Product Launch Brief - PM'!AB22)</f>
        <v>FIIX15</v>
      </c>
      <c r="F15" s="143" t="str">
        <f>IF('Product Launch Brief - PM'!G17="","",'Product Launch Brief - PM'!G17)</f>
        <v>Large Loan</v>
      </c>
      <c r="G15" s="147"/>
      <c r="I15" s="147">
        <f>IF('Product Launch Brief - PM'!L17="","",'Product Launch Brief - PM'!L17)</f>
        <v>0.03</v>
      </c>
      <c r="J15" s="147">
        <f>IF('Product Launch Brief - PM'!H17="","",'Product Launch Brief - PM'!H17)</f>
        <v>5.9900000000000002E-2</v>
      </c>
      <c r="K15" s="148">
        <f>IF('Product Launch Brief - PM'!E17="","",'Product Launch Brief - PM'!E17)</f>
        <v>46234</v>
      </c>
      <c r="L15" s="143" t="str">
        <f>IF('Product Launch Brief - PM'!F17="","",'Product Launch Brief - PM'!F17)</f>
        <v>2 Year Variable</v>
      </c>
      <c r="M15" s="143" t="str">
        <f>IF('Product Launch Brief - PM'!T17="","",'Product Launch Brief - PM'!T17)</f>
        <v>Y</v>
      </c>
      <c r="N15" s="143" t="str">
        <f>IF('Product Launch Brief - PM'!U17="","",'Product Launch Brief - PM'!U17)</f>
        <v>Y</v>
      </c>
      <c r="O15" s="143" t="str">
        <f>IF('Product Launch Brief - PM'!V17="","",'Product Launch Brief - PM'!V17)</f>
        <v>N</v>
      </c>
      <c r="P15" s="143" t="str">
        <f>IF(A15="","",'Product Launch Brief - PM'!S17)</f>
        <v>Yes</v>
      </c>
      <c r="Q15" s="143" t="str">
        <f>IF('Product Launch Brief - PM'!G17="","",'Product Launch Brief - PM'!G17)</f>
        <v>Large Loan</v>
      </c>
      <c r="R15" s="149" t="str">
        <f t="shared" si="8"/>
        <v>Y</v>
      </c>
      <c r="S15" s="143" t="str">
        <f t="shared" si="9"/>
        <v>NA</v>
      </c>
      <c r="T15" s="150">
        <f>IF('Product Launch Brief - PM'!I17="","",'Product Launch Brief - PM'!I17)</f>
        <v>0.65</v>
      </c>
      <c r="U15" s="151" t="str">
        <f t="shared" si="3"/>
        <v>1,500,001</v>
      </c>
      <c r="V15" s="151">
        <v>3000000</v>
      </c>
      <c r="W15" s="145"/>
      <c r="X15" s="143">
        <v>6.94</v>
      </c>
      <c r="Y15" s="143" t="str">
        <f t="shared" si="10"/>
        <v>SVR</v>
      </c>
      <c r="Z15" s="206" t="s">
        <v>149</v>
      </c>
      <c r="AG15" s="143">
        <f>IF('Product Launch Brief - PM'!J17="","",'Product Launch Brief - PM'!J17)</f>
        <v>1999</v>
      </c>
      <c r="AH15" s="143" t="str">
        <f t="shared" si="11"/>
        <v>Y</v>
      </c>
      <c r="AJ15" s="143" t="str">
        <f>IF('Product Launch Brief - PM'!P17="","",'Product Launch Brief - PM'!P17)</f>
        <v>10% overpayments per annum</v>
      </c>
    </row>
    <row r="16" spans="1:38" s="23" customFormat="1" ht="15">
      <c r="A16" s="23" t="str">
        <f t="shared" si="0"/>
        <v>New Product</v>
      </c>
      <c r="B16" s="22">
        <f>IF('Product Launch Brief - PM'!D18="","",'Product Launch Brief - PM'!D18)</f>
        <v>45370</v>
      </c>
      <c r="C16" s="24">
        <v>5.25</v>
      </c>
      <c r="D16" s="23" t="s">
        <v>98</v>
      </c>
      <c r="E16" s="152" t="str">
        <f>IF('Product Launch Brief - PM'!AB23="","",'Product Launch Brief - PM'!AB23)</f>
        <v>EBRT188</v>
      </c>
      <c r="F16" s="23" t="str">
        <f>IF('Product Launch Brief - PM'!G18="","",'Product Launch Brief - PM'!G18)</f>
        <v>Large Loan</v>
      </c>
      <c r="G16" s="133"/>
      <c r="I16" s="133" t="str">
        <f>IF('Product Launch Brief - PM'!L18="","",'Product Launch Brief - PM'!L18)</f>
        <v/>
      </c>
      <c r="J16" s="133">
        <f>IF('Product Launch Brief - PM'!H18="","",'Product Launch Brief - PM'!H18)</f>
        <v>5.1499999999999997E-2</v>
      </c>
      <c r="K16" s="25">
        <f>IF('Product Launch Brief - PM'!E18="","",'Product Launch Brief - PM'!E18)</f>
        <v>46234</v>
      </c>
      <c r="L16" s="23" t="str">
        <f>IF('Product Launch Brief - PM'!F18="","",'Product Launch Brief - PM'!F18)</f>
        <v>2 Year Fixed</v>
      </c>
      <c r="M16" s="23" t="str">
        <f>IF('Product Launch Brief - PM'!T18="","",'Product Launch Brief - PM'!T18)</f>
        <v>Y</v>
      </c>
      <c r="N16" s="23" t="str">
        <f>IF('Product Launch Brief - PM'!U18="","",'Product Launch Brief - PM'!U18)</f>
        <v>Y</v>
      </c>
      <c r="O16" s="23" t="str">
        <f>IF('Product Launch Brief - PM'!V18="","",'Product Launch Brief - PM'!V18)</f>
        <v>N</v>
      </c>
      <c r="P16" s="23" t="str">
        <f>IF(A16="","",'Product Launch Brief - PM'!S18)</f>
        <v>Yes</v>
      </c>
      <c r="Q16" s="23" t="str">
        <f>IF('Product Launch Brief - PM'!G18="","",'Product Launch Brief - PM'!G18)</f>
        <v>Large Loan</v>
      </c>
      <c r="R16" s="26" t="str">
        <f t="shared" si="8"/>
        <v>Y</v>
      </c>
      <c r="S16" s="23" t="str">
        <f t="shared" si="9"/>
        <v>NA</v>
      </c>
      <c r="T16" s="136">
        <f>IF('Product Launch Brief - PM'!I18="","",'Product Launch Brief - PM'!I18)</f>
        <v>0.65</v>
      </c>
      <c r="U16" s="142" t="str">
        <f t="shared" si="3"/>
        <v>1,500,001</v>
      </c>
      <c r="V16" s="153">
        <v>3000000</v>
      </c>
      <c r="W16" s="24"/>
      <c r="X16" s="23">
        <v>6.94</v>
      </c>
      <c r="Y16" s="23" t="str">
        <f t="shared" si="10"/>
        <v>SVR</v>
      </c>
      <c r="Z16" s="205">
        <v>2</v>
      </c>
      <c r="AA16" s="23">
        <v>1</v>
      </c>
      <c r="AG16" s="23">
        <f>IF('Product Launch Brief - PM'!J18="","",'Product Launch Brief - PM'!J18)</f>
        <v>1999</v>
      </c>
      <c r="AH16" s="23" t="str">
        <f t="shared" si="11"/>
        <v>Y</v>
      </c>
      <c r="AJ16" s="23" t="str">
        <f>IF('Product Launch Brief - PM'!P18="","",'Product Launch Brief - PM'!P18)</f>
        <v>10% overpayments per annum</v>
      </c>
    </row>
    <row r="17" spans="1:36" s="143" customFormat="1" ht="15">
      <c r="A17" s="143" t="str">
        <f t="shared" si="0"/>
        <v>New Product</v>
      </c>
      <c r="B17" s="144">
        <f>IF('Product Launch Brief - PM'!D19="","",'Product Launch Brief - PM'!D19)</f>
        <v>45370</v>
      </c>
      <c r="C17" s="145">
        <v>4.8499999999999996</v>
      </c>
      <c r="D17" s="143" t="s">
        <v>99</v>
      </c>
      <c r="E17" s="146" t="str">
        <f>IF('Product Launch Brief - PM'!AB24="","",'Product Launch Brief - PM'!AB24)</f>
        <v>FIIX16</v>
      </c>
      <c r="F17" s="143" t="str">
        <f>IF('Product Launch Brief - PM'!G19="","",'Product Launch Brief - PM'!G19)</f>
        <v>Large Loan</v>
      </c>
      <c r="G17" s="147"/>
      <c r="I17" s="147" t="str">
        <f>IF('Product Launch Brief - PM'!L19="","",'Product Launch Brief - PM'!L19)</f>
        <v/>
      </c>
      <c r="J17" s="147">
        <f>IF('Product Launch Brief - PM'!H19="","",'Product Launch Brief - PM'!H19)</f>
        <v>4.7500000000000001E-2</v>
      </c>
      <c r="K17" s="148">
        <f>IF('Product Launch Brief - PM'!E19="","",'Product Launch Brief - PM'!E19)</f>
        <v>47330</v>
      </c>
      <c r="L17" s="143" t="str">
        <f>IF('Product Launch Brief - PM'!F19="","",'Product Launch Brief - PM'!F19)</f>
        <v>5 Year Fixed</v>
      </c>
      <c r="M17" s="143" t="str">
        <f>IF('Product Launch Brief - PM'!T19="","",'Product Launch Brief - PM'!T19)</f>
        <v>Y</v>
      </c>
      <c r="N17" s="143" t="str">
        <f>IF('Product Launch Brief - PM'!U19="","",'Product Launch Brief - PM'!U19)</f>
        <v>Y</v>
      </c>
      <c r="O17" s="143" t="str">
        <f>IF('Product Launch Brief - PM'!V19="","",'Product Launch Brief - PM'!V19)</f>
        <v>N</v>
      </c>
      <c r="P17" s="143" t="str">
        <f>IF(A17="","",'Product Launch Brief - PM'!S19)</f>
        <v>Yes</v>
      </c>
      <c r="Q17" s="143" t="str">
        <f>IF('Product Launch Brief - PM'!G19="","",'Product Launch Brief - PM'!G19)</f>
        <v>Large Loan</v>
      </c>
      <c r="R17" s="149" t="str">
        <f t="shared" si="8"/>
        <v>Y</v>
      </c>
      <c r="S17" s="143" t="str">
        <f t="shared" si="9"/>
        <v>NA</v>
      </c>
      <c r="T17" s="150">
        <f>IF('Product Launch Brief - PM'!I19="","",'Product Launch Brief - PM'!I19)</f>
        <v>0.65</v>
      </c>
      <c r="U17" s="151" t="str">
        <f t="shared" si="3"/>
        <v>1,500,001</v>
      </c>
      <c r="V17" s="151">
        <v>3000000</v>
      </c>
      <c r="W17" s="145"/>
      <c r="X17" s="143">
        <v>6.94</v>
      </c>
      <c r="Y17" s="143" t="str">
        <f t="shared" si="10"/>
        <v>SVR</v>
      </c>
      <c r="Z17" s="206">
        <v>5</v>
      </c>
      <c r="AA17" s="143">
        <v>4</v>
      </c>
      <c r="AB17" s="143">
        <v>3</v>
      </c>
      <c r="AC17" s="143">
        <v>2</v>
      </c>
      <c r="AD17" s="143">
        <v>1</v>
      </c>
      <c r="AG17" s="143">
        <f>IF('Product Launch Brief - PM'!J19="","",'Product Launch Brief - PM'!J19)</f>
        <v>1999</v>
      </c>
      <c r="AH17" s="143" t="str">
        <f t="shared" si="11"/>
        <v>Y</v>
      </c>
      <c r="AJ17" s="143" t="str">
        <f>IF('Product Launch Brief - PM'!P19="","",'Product Launch Brief - PM'!P19)</f>
        <v>10% overpayments per annum</v>
      </c>
    </row>
    <row r="18" spans="1:36" s="23" customFormat="1" ht="15">
      <c r="A18" s="23" t="str">
        <f t="shared" si="0"/>
        <v>New Product</v>
      </c>
      <c r="B18" s="22">
        <f>IF('Product Launch Brief - PM'!D20="","",'Product Launch Brief - PM'!D20)</f>
        <v>45370</v>
      </c>
      <c r="C18" s="24">
        <v>6.15</v>
      </c>
      <c r="D18" s="23" t="s">
        <v>100</v>
      </c>
      <c r="E18" s="152" t="str">
        <f>IF('Product Launch Brief - PM'!AB25="","",'Product Launch Brief - PM'!AB25)</f>
        <v>FIIX17</v>
      </c>
      <c r="F18" s="23" t="str">
        <f>IF('Product Launch Brief - PM'!G20="","",'Product Launch Brief - PM'!G20)</f>
        <v>Large Loan</v>
      </c>
      <c r="G18" s="133"/>
      <c r="I18" s="133">
        <f>IF('Product Launch Brief - PM'!L20="","",'Product Launch Brief - PM'!L20)</f>
        <v>0.03</v>
      </c>
      <c r="J18" s="133">
        <f>IF('Product Launch Brief - PM'!H20="","",'Product Launch Brief - PM'!H20)</f>
        <v>6.0900000000000003E-2</v>
      </c>
      <c r="K18" s="25">
        <f>IF('Product Launch Brief - PM'!E20="","",'Product Launch Brief - PM'!E20)</f>
        <v>46234</v>
      </c>
      <c r="L18" s="23" t="str">
        <f>IF('Product Launch Brief - PM'!F20="","",'Product Launch Brief - PM'!F20)</f>
        <v>2 Year Variable</v>
      </c>
      <c r="M18" s="23" t="str">
        <f>IF('Product Launch Brief - PM'!T20="","",'Product Launch Brief - PM'!T20)</f>
        <v>Y</v>
      </c>
      <c r="N18" s="23" t="str">
        <f>IF('Product Launch Brief - PM'!U20="","",'Product Launch Brief - PM'!U20)</f>
        <v>Y</v>
      </c>
      <c r="O18" s="23" t="str">
        <f>IF('Product Launch Brief - PM'!V20="","",'Product Launch Brief - PM'!V20)</f>
        <v>N</v>
      </c>
      <c r="P18" s="23" t="str">
        <f>IF(A18="","",'Product Launch Brief - PM'!S20)</f>
        <v>Yes</v>
      </c>
      <c r="Q18" s="23" t="str">
        <f>IF('Product Launch Brief - PM'!G20="","",'Product Launch Brief - PM'!G20)</f>
        <v>Large Loan</v>
      </c>
      <c r="R18" s="26" t="str">
        <f t="shared" si="8"/>
        <v>Y</v>
      </c>
      <c r="S18" s="23" t="str">
        <f t="shared" si="9"/>
        <v>NA</v>
      </c>
      <c r="T18" s="136">
        <f>IF('Product Launch Brief - PM'!I20="","",'Product Launch Brief - PM'!I20)</f>
        <v>0.75</v>
      </c>
      <c r="U18" s="142" t="str">
        <f t="shared" si="3"/>
        <v>1,000,001</v>
      </c>
      <c r="V18" s="153" t="str">
        <f t="shared" si="4"/>
        <v>1,500,000</v>
      </c>
      <c r="W18" s="24"/>
      <c r="X18" s="23">
        <v>6.94</v>
      </c>
      <c r="Y18" s="23" t="str">
        <f t="shared" si="10"/>
        <v>SVR</v>
      </c>
      <c r="Z18" s="205" t="s">
        <v>149</v>
      </c>
      <c r="AG18" s="23">
        <f>IF('Product Launch Brief - PM'!J20="","",'Product Launch Brief - PM'!J20)</f>
        <v>1999</v>
      </c>
      <c r="AH18" s="23" t="str">
        <f t="shared" si="11"/>
        <v>Y</v>
      </c>
      <c r="AJ18" s="23" t="str">
        <f>IF('Product Launch Brief - PM'!P20="","",'Product Launch Brief - PM'!P20)</f>
        <v>10% overpayments per annum</v>
      </c>
    </row>
    <row r="19" spans="1:36" s="143" customFormat="1" ht="15">
      <c r="A19" s="143" t="str">
        <f t="shared" si="0"/>
        <v>New Product</v>
      </c>
      <c r="B19" s="144">
        <f>IF('Product Launch Brief - PM'!D21="","",'Product Launch Brief - PM'!D21)</f>
        <v>45370</v>
      </c>
      <c r="C19" s="145">
        <v>5.3</v>
      </c>
      <c r="D19" s="143" t="s">
        <v>101</v>
      </c>
      <c r="E19" s="146" t="str">
        <f>IF('Product Launch Brief - PM'!AB26="","",'Product Launch Brief - PM'!AB26)</f>
        <v/>
      </c>
      <c r="F19" s="143" t="str">
        <f>IF('Product Launch Brief - PM'!G21="","",'Product Launch Brief - PM'!G21)</f>
        <v>Large Loan</v>
      </c>
      <c r="G19" s="147"/>
      <c r="I19" s="147" t="str">
        <f>IF('Product Launch Brief - PM'!L21="","",'Product Launch Brief - PM'!L21)</f>
        <v/>
      </c>
      <c r="J19" s="147">
        <f>IF('Product Launch Brief - PM'!H21="","",'Product Launch Brief - PM'!H21)</f>
        <v>5.1999999999999998E-2</v>
      </c>
      <c r="K19" s="148">
        <f>IF('Product Launch Brief - PM'!E21="","",'Product Launch Brief - PM'!E21)</f>
        <v>46234</v>
      </c>
      <c r="L19" s="143" t="str">
        <f>IF('Product Launch Brief - PM'!F21="","",'Product Launch Brief - PM'!F21)</f>
        <v>2 Year Fixed</v>
      </c>
      <c r="M19" s="143" t="str">
        <f>IF('Product Launch Brief - PM'!T21="","",'Product Launch Brief - PM'!T21)</f>
        <v>Y</v>
      </c>
      <c r="N19" s="143" t="str">
        <f>IF('Product Launch Brief - PM'!U21="","",'Product Launch Brief - PM'!U21)</f>
        <v>Y</v>
      </c>
      <c r="O19" s="143" t="str">
        <f>IF('Product Launch Brief - PM'!V21="","",'Product Launch Brief - PM'!V21)</f>
        <v>N</v>
      </c>
      <c r="P19" s="143" t="str">
        <f>IF(A19="","",'Product Launch Brief - PM'!S21)</f>
        <v>Yes</v>
      </c>
      <c r="Q19" s="143" t="str">
        <f>IF('Product Launch Brief - PM'!G21="","",'Product Launch Brief - PM'!G21)</f>
        <v>Large Loan</v>
      </c>
      <c r="R19" s="149" t="str">
        <f t="shared" si="8"/>
        <v>Y</v>
      </c>
      <c r="S19" s="143" t="str">
        <f t="shared" si="9"/>
        <v>NA</v>
      </c>
      <c r="T19" s="150">
        <f>IF('Product Launch Brief - PM'!I21="","",'Product Launch Brief - PM'!I21)</f>
        <v>0.75</v>
      </c>
      <c r="U19" s="151" t="str">
        <f t="shared" si="3"/>
        <v>1,000,001</v>
      </c>
      <c r="V19" s="151" t="str">
        <f t="shared" si="4"/>
        <v>1,500,000</v>
      </c>
      <c r="W19" s="145"/>
      <c r="X19" s="143">
        <v>6.94</v>
      </c>
      <c r="Y19" s="143" t="str">
        <f t="shared" si="10"/>
        <v>SVR</v>
      </c>
      <c r="Z19" s="206">
        <v>5</v>
      </c>
      <c r="AA19" s="143">
        <v>4</v>
      </c>
      <c r="AB19" s="143">
        <v>3</v>
      </c>
      <c r="AC19" s="143">
        <v>2</v>
      </c>
      <c r="AD19" s="143">
        <v>1</v>
      </c>
      <c r="AG19" s="143">
        <f>IF('Product Launch Brief - PM'!J21="","",'Product Launch Brief - PM'!J21)</f>
        <v>1999</v>
      </c>
      <c r="AH19" s="143" t="str">
        <f t="shared" si="11"/>
        <v>Y</v>
      </c>
      <c r="AJ19" s="143" t="str">
        <f>IF('Product Launch Brief - PM'!P21="","",'Product Launch Brief - PM'!P21)</f>
        <v>10% overpayments per annum</v>
      </c>
    </row>
    <row r="20" spans="1:36" s="23" customFormat="1" ht="15">
      <c r="A20" s="23" t="str">
        <f t="shared" si="0"/>
        <v>New Product</v>
      </c>
      <c r="B20" s="22">
        <f>IF('Product Launch Brief - PM'!D22="","",'Product Launch Brief - PM'!D22)</f>
        <v>45370</v>
      </c>
      <c r="C20" s="24">
        <v>4.95</v>
      </c>
      <c r="D20" s="23" t="s">
        <v>102</v>
      </c>
      <c r="E20" s="152" t="str">
        <f>IF('Product Launch Brief - PM'!AB27="","",'Product Launch Brief - PM'!AB27)</f>
        <v>RETN340</v>
      </c>
      <c r="F20" s="23" t="str">
        <f>IF('Product Launch Brief - PM'!G22="","",'Product Launch Brief - PM'!G22)</f>
        <v>Large Loan</v>
      </c>
      <c r="G20" s="133"/>
      <c r="I20" s="133" t="str">
        <f>IF('Product Launch Brief - PM'!L22="","",'Product Launch Brief - PM'!L22)</f>
        <v/>
      </c>
      <c r="J20" s="133">
        <f>IF('Product Launch Brief - PM'!H22="","",'Product Launch Brief - PM'!H22)</f>
        <v>4.8000000000000001E-2</v>
      </c>
      <c r="K20" s="25">
        <f>IF('Product Launch Brief - PM'!E22="","",'Product Launch Brief - PM'!E22)</f>
        <v>47330</v>
      </c>
      <c r="L20" s="23" t="str">
        <f>IF('Product Launch Brief - PM'!F22="","",'Product Launch Brief - PM'!F22)</f>
        <v>5 Year Fixed</v>
      </c>
      <c r="M20" s="23" t="str">
        <f>IF('Product Launch Brief - PM'!T22="","",'Product Launch Brief - PM'!T22)</f>
        <v>Y</v>
      </c>
      <c r="N20" s="23" t="str">
        <f>IF('Product Launch Brief - PM'!U22="","",'Product Launch Brief - PM'!U22)</f>
        <v>Y</v>
      </c>
      <c r="O20" s="23" t="str">
        <f>IF('Product Launch Brief - PM'!V22="","",'Product Launch Brief - PM'!V22)</f>
        <v>N</v>
      </c>
      <c r="P20" s="23" t="str">
        <f>IF(A20="","",'Product Launch Brief - PM'!S22)</f>
        <v>Yes</v>
      </c>
      <c r="Q20" s="23" t="str">
        <f>IF('Product Launch Brief - PM'!G22="","",'Product Launch Brief - PM'!G22)</f>
        <v>Large Loan</v>
      </c>
      <c r="R20" s="26" t="str">
        <f t="shared" si="8"/>
        <v>Y</v>
      </c>
      <c r="S20" s="23" t="str">
        <f t="shared" si="9"/>
        <v>NA</v>
      </c>
      <c r="T20" s="136">
        <f>IF('Product Launch Brief - PM'!I22="","",'Product Launch Brief - PM'!I22)</f>
        <v>0.75</v>
      </c>
      <c r="U20" s="142" t="str">
        <f t="shared" si="3"/>
        <v>1,000,001</v>
      </c>
      <c r="V20" s="153" t="str">
        <f t="shared" si="4"/>
        <v>1,500,000</v>
      </c>
      <c r="W20" s="24"/>
      <c r="X20" s="23">
        <v>6.94</v>
      </c>
      <c r="Y20" s="23" t="str">
        <f t="shared" si="10"/>
        <v>SVR</v>
      </c>
      <c r="Z20" s="205">
        <v>5</v>
      </c>
      <c r="AA20" s="23">
        <v>4</v>
      </c>
      <c r="AB20" s="23">
        <v>3</v>
      </c>
      <c r="AC20" s="23">
        <v>2</v>
      </c>
      <c r="AD20" s="23">
        <v>1</v>
      </c>
      <c r="AG20" s="23">
        <f>IF('Product Launch Brief - PM'!J22="","",'Product Launch Brief - PM'!J22)</f>
        <v>1999</v>
      </c>
      <c r="AH20" s="23" t="str">
        <f t="shared" si="11"/>
        <v>Y</v>
      </c>
      <c r="AJ20" s="23" t="str">
        <f>IF('Product Launch Brief - PM'!P22="","",'Product Launch Brief - PM'!P22)</f>
        <v>10% overpayments per annum</v>
      </c>
    </row>
    <row r="21" spans="1:36" s="143" customFormat="1" ht="15">
      <c r="A21" s="143" t="str">
        <f t="shared" si="0"/>
        <v>New Product</v>
      </c>
      <c r="B21" s="144">
        <f>IF('Product Launch Brief - PM'!D23="","",'Product Launch Brief - PM'!D23)</f>
        <v>45370</v>
      </c>
      <c r="C21" s="145">
        <v>6.15</v>
      </c>
      <c r="D21" s="143" t="s">
        <v>103</v>
      </c>
      <c r="E21" s="146" t="str">
        <f>IF('Product Launch Brief - PM'!AB28="","",'Product Launch Brief - PM'!AB28)</f>
        <v>RETN341</v>
      </c>
      <c r="F21" s="143" t="str">
        <f>IF('Product Launch Brief - PM'!G23="","",'Product Launch Brief - PM'!G23)</f>
        <v>Large Loan</v>
      </c>
      <c r="G21" s="147"/>
      <c r="I21" s="147">
        <f>IF('Product Launch Brief - PM'!L23="","",'Product Launch Brief - PM'!L23)</f>
        <v>0.03</v>
      </c>
      <c r="J21" s="147">
        <f>IF('Product Launch Brief - PM'!H23="","",'Product Launch Brief - PM'!H23)</f>
        <v>6.0900000000000003E-2</v>
      </c>
      <c r="K21" s="148">
        <f>IF('Product Launch Brief - PM'!E23="","",'Product Launch Brief - PM'!E23)</f>
        <v>46234</v>
      </c>
      <c r="L21" s="143" t="str">
        <f>IF('Product Launch Brief - PM'!F23="","",'Product Launch Brief - PM'!F23)</f>
        <v>2 Year Variable</v>
      </c>
      <c r="M21" s="143" t="str">
        <f>IF('Product Launch Brief - PM'!T23="","",'Product Launch Brief - PM'!T23)</f>
        <v>Y</v>
      </c>
      <c r="N21" s="143" t="str">
        <f>IF('Product Launch Brief - PM'!U23="","",'Product Launch Brief - PM'!U23)</f>
        <v>Y</v>
      </c>
      <c r="O21" s="143" t="str">
        <f>IF('Product Launch Brief - PM'!V23="","",'Product Launch Brief - PM'!V23)</f>
        <v>N</v>
      </c>
      <c r="P21" s="143" t="str">
        <f>IF(A21="","",'Product Launch Brief - PM'!S23)</f>
        <v>Yes</v>
      </c>
      <c r="Q21" s="143" t="str">
        <f>IF('Product Launch Brief - PM'!G23="","",'Product Launch Brief - PM'!G23)</f>
        <v>Large Loan</v>
      </c>
      <c r="R21" s="149" t="str">
        <f t="shared" si="8"/>
        <v>Y</v>
      </c>
      <c r="S21" s="143" t="str">
        <f t="shared" si="9"/>
        <v>NA</v>
      </c>
      <c r="T21" s="150">
        <f>IF('Product Launch Brief - PM'!I23="","",'Product Launch Brief - PM'!I23)</f>
        <v>0.8</v>
      </c>
      <c r="U21" s="151" t="str">
        <f t="shared" si="3"/>
        <v>500,001</v>
      </c>
      <c r="V21" s="151" t="str">
        <f t="shared" ref="V21:V55" si="13">IF(T21="","",IF(Q21="Shared Ownership","405,000",IF(Q21="Government First Home Scheme","399,000",IF(Q21="Deposit Unlock","750,000",IF(AND(Q21="Large Loan",T21&lt;66%),"2,000,000",IF(AND(Q21="Large Loan - Existing Customer only",T21&lt;66%),"2,000,000",IF(AND(Q21="Large Loan - Discounted Rate",T21&lt;66%),"2,000,000",IF(AND(Q21="Large Loan",T21&lt;76%),"1,500,000",IF(AND(Q21="Large Loan - Existing Customer only",T21&lt;76%),"1,500,000",IF(AND(Q21="Large Loan - Discounted Rate",T21&lt;76%),"1,500,000",IF(AND(Q21="Large Loan",T21&gt;75%),"1,000,000",IF(AND(Q21="Large Loan - Existing Customer only",T21&gt;75%),"1,000,000",IF(AND(Q21="Large Loan - Discounted Rate",T21&gt;75%),"1,000,000",IF(AND(Q21="Buy to Let",T21&lt;71%),"1,000,000",IF(AND(Q21="Buy to Let",T21&lt;76%),"750,000",IF(AND(Q21="Buy to Let",T21&gt;79%),"500,000",IF(AND(Q21="Buy to Let - Existing Customer only",T21&lt;71%),"1,000,000",IF(AND(Q21="Buy to Let - Existing Customer only",T21&lt;76%),"750,000",IF(AND(Q21="Buy to Let - Existing Customer only",T21&gt;79%),"500,000",IF(Q21="Help to Buy","450,000",IF(Q21="Help to Buy - Existing Customer Only","450,000",VLOOKUP(T21,Max,2,FALSE))))))))))))))))))))))</f>
        <v>1,000,000</v>
      </c>
      <c r="W21" s="145"/>
      <c r="X21" s="143">
        <v>6.94</v>
      </c>
      <c r="Y21" s="143" t="str">
        <f t="shared" si="10"/>
        <v>SVR</v>
      </c>
      <c r="Z21" s="206" t="s">
        <v>149</v>
      </c>
      <c r="AG21" s="143">
        <f>IF('Product Launch Brief - PM'!J23="","",'Product Launch Brief - PM'!J23)</f>
        <v>1999</v>
      </c>
      <c r="AH21" s="143" t="str">
        <f t="shared" si="11"/>
        <v>Y</v>
      </c>
      <c r="AJ21" s="143" t="str">
        <f>IF('Product Launch Brief - PM'!P23="","",'Product Launch Brief - PM'!P23)</f>
        <v>10% overpayments per annum</v>
      </c>
    </row>
    <row r="22" spans="1:36" s="23" customFormat="1" ht="15">
      <c r="A22" s="23" t="str">
        <f t="shared" ref="A22:A55" si="14">IF(B22="","","New Product")</f>
        <v>New Product</v>
      </c>
      <c r="B22" s="22">
        <f>IF('Product Launch Brief - PM'!D24="","",'Product Launch Brief - PM'!D24)</f>
        <v>45370</v>
      </c>
      <c r="C22" s="24">
        <v>5.3</v>
      </c>
      <c r="D22" s="23" t="s">
        <v>104</v>
      </c>
      <c r="E22" s="152" t="str">
        <f>IF('Product Launch Brief - PM'!AB29="","",'Product Launch Brief - PM'!AB29)</f>
        <v>RETN342</v>
      </c>
      <c r="F22" s="23" t="str">
        <f>IF('Product Launch Brief - PM'!G24="","",'Product Launch Brief - PM'!G24)</f>
        <v>Large Loan</v>
      </c>
      <c r="G22" s="133"/>
      <c r="I22" s="133" t="str">
        <f>IF('Product Launch Brief - PM'!L24="","",'Product Launch Brief - PM'!L24)</f>
        <v/>
      </c>
      <c r="J22" s="133">
        <f>IF('Product Launch Brief - PM'!H24="","",'Product Launch Brief - PM'!H24)</f>
        <v>5.1999999999999998E-2</v>
      </c>
      <c r="K22" s="25">
        <f>IF('Product Launch Brief - PM'!E24="","",'Product Launch Brief - PM'!E24)</f>
        <v>46234</v>
      </c>
      <c r="L22" s="23" t="str">
        <f>IF('Product Launch Brief - PM'!F24="","",'Product Launch Brief - PM'!F24)</f>
        <v>2 Year Fixed</v>
      </c>
      <c r="M22" s="23" t="str">
        <f>IF('Product Launch Brief - PM'!T24="","",'Product Launch Brief - PM'!T24)</f>
        <v>Y</v>
      </c>
      <c r="N22" s="23" t="str">
        <f>IF('Product Launch Brief - PM'!U24="","",'Product Launch Brief - PM'!U24)</f>
        <v>Y</v>
      </c>
      <c r="O22" s="23" t="str">
        <f>IF('Product Launch Brief - PM'!V24="","",'Product Launch Brief - PM'!V24)</f>
        <v>N</v>
      </c>
      <c r="P22" s="23" t="str">
        <f>IF(A22="","",'Product Launch Brief - PM'!S24)</f>
        <v>Yes</v>
      </c>
      <c r="Q22" s="23" t="str">
        <f>IF('Product Launch Brief - PM'!G24="","",'Product Launch Brief - PM'!G24)</f>
        <v>Large Loan</v>
      </c>
      <c r="R22" s="26" t="str">
        <f t="shared" ref="R22:R55" si="15">IF(Q22="", "",IF((OR(Q22="Residential - Interest Only",Q22="Residential - Interest Only - Existing Customer only")),"N","Y"))</f>
        <v>Y</v>
      </c>
      <c r="S22" s="23" t="str">
        <f t="shared" ref="S22:S55" si="16">IF(F22="","","NA")</f>
        <v>NA</v>
      </c>
      <c r="T22" s="136">
        <f>IF('Product Launch Brief - PM'!I24="","",'Product Launch Brief - PM'!I24)</f>
        <v>0.8</v>
      </c>
      <c r="U22" s="142" t="str">
        <f t="shared" ref="U22:U55" si="17">IF(A22="","",IF(AND(Q22="Large Loan",T22&lt;66%),"1,500,001",IF(AND(Q22="Large Loan",T22&lt;76%),"1,000,001",IF(AND(Q22="Large Loan",T22&gt;79%),"500,001",IF(Q22="Shared Ownership","25,000",IF(Q22="Buy to Let","50,000",IF(Q22="Joint Mortgage Sole Proprietor","25,000",IF(Q22="Buy to Let - Existing Customer only",1000,IF(Q22="Joint Mortgage Sole Proprietor - Existing Customer only",1000,IF(Q22="Residential - Existing Customer only",1000,IF(Q22="Residential - Interest Only - Existing Customer only",1000,IF(Q22="Large Loan - Existing Customer only",1000,IF(Q22="Help to Buy - Existing Customer only",1000,IF(AG22="","50,000",IF(AG22&gt;1,30000)))))))))))))))</f>
        <v>500,001</v>
      </c>
      <c r="V22" s="153" t="str">
        <f t="shared" si="13"/>
        <v>1,000,000</v>
      </c>
      <c r="W22" s="24"/>
      <c r="X22" s="23">
        <v>6.94</v>
      </c>
      <c r="Y22" s="23" t="str">
        <f t="shared" ref="Y22:Y55" si="18">IF(B22="","","SVR")</f>
        <v>SVR</v>
      </c>
      <c r="Z22" s="205">
        <v>2</v>
      </c>
      <c r="AA22" s="23">
        <v>1</v>
      </c>
      <c r="AG22" s="23">
        <f>IF('Product Launch Brief - PM'!J24="","",'Product Launch Brief - PM'!J24)</f>
        <v>1999</v>
      </c>
      <c r="AH22" s="23" t="str">
        <f t="shared" ref="AH22:AH55" si="19">IF(A22="","","Y")</f>
        <v>Y</v>
      </c>
      <c r="AJ22" s="23" t="str">
        <f>IF('Product Launch Brief - PM'!P24="","",'Product Launch Brief - PM'!P24)</f>
        <v>10% overpayments per annum</v>
      </c>
    </row>
    <row r="23" spans="1:36" s="143" customFormat="1" ht="15">
      <c r="A23" s="143" t="str">
        <f t="shared" si="14"/>
        <v>New Product</v>
      </c>
      <c r="B23" s="144">
        <f>IF('Product Launch Brief - PM'!D25="","",'Product Launch Brief - PM'!D25)</f>
        <v>45370</v>
      </c>
      <c r="C23" s="145">
        <v>4.95</v>
      </c>
      <c r="D23" s="143" t="s">
        <v>105</v>
      </c>
      <c r="E23" s="146" t="str">
        <f>IF('Product Launch Brief - PM'!AB30="","",'Product Launch Brief - PM'!AB30)</f>
        <v>RETN343</v>
      </c>
      <c r="F23" s="143" t="str">
        <f>IF('Product Launch Brief - PM'!G25="","",'Product Launch Brief - PM'!G25)</f>
        <v>Large Loan</v>
      </c>
      <c r="G23" s="147"/>
      <c r="I23" s="147" t="str">
        <f>IF('Product Launch Brief - PM'!L25="","",'Product Launch Brief - PM'!L25)</f>
        <v/>
      </c>
      <c r="J23" s="147">
        <f>IF('Product Launch Brief - PM'!H25="","",'Product Launch Brief - PM'!H25)</f>
        <v>4.8000000000000001E-2</v>
      </c>
      <c r="K23" s="148">
        <f>IF('Product Launch Brief - PM'!E25="","",'Product Launch Brief - PM'!E25)</f>
        <v>47330</v>
      </c>
      <c r="L23" s="143" t="str">
        <f>IF('Product Launch Brief - PM'!F25="","",'Product Launch Brief - PM'!F25)</f>
        <v>5 Year Fixed</v>
      </c>
      <c r="M23" s="143" t="str">
        <f>IF('Product Launch Brief - PM'!T25="","",'Product Launch Brief - PM'!T25)</f>
        <v>Y</v>
      </c>
      <c r="N23" s="143" t="str">
        <f>IF('Product Launch Brief - PM'!U25="","",'Product Launch Brief - PM'!U25)</f>
        <v>Y</v>
      </c>
      <c r="O23" s="143" t="str">
        <f>IF('Product Launch Brief - PM'!V25="","",'Product Launch Brief - PM'!V25)</f>
        <v>N</v>
      </c>
      <c r="P23" s="143" t="str">
        <f>IF(A23="","",'Product Launch Brief - PM'!S25)</f>
        <v>Yes</v>
      </c>
      <c r="Q23" s="143" t="str">
        <f>IF('Product Launch Brief - PM'!G25="","",'Product Launch Brief - PM'!G25)</f>
        <v>Large Loan</v>
      </c>
      <c r="R23" s="149" t="str">
        <f t="shared" si="15"/>
        <v>Y</v>
      </c>
      <c r="S23" s="143" t="str">
        <f t="shared" si="16"/>
        <v>NA</v>
      </c>
      <c r="T23" s="150">
        <f>IF('Product Launch Brief - PM'!I25="","",'Product Launch Brief - PM'!I25)</f>
        <v>0.8</v>
      </c>
      <c r="U23" s="151" t="str">
        <f t="shared" si="17"/>
        <v>500,001</v>
      </c>
      <c r="V23" s="151" t="str">
        <f t="shared" si="13"/>
        <v>1,000,000</v>
      </c>
      <c r="W23" s="145"/>
      <c r="X23" s="143">
        <v>6.94</v>
      </c>
      <c r="Y23" s="143" t="str">
        <f t="shared" si="18"/>
        <v>SVR</v>
      </c>
      <c r="Z23" s="206">
        <v>5</v>
      </c>
      <c r="AA23" s="143">
        <v>4</v>
      </c>
      <c r="AB23" s="143">
        <v>3</v>
      </c>
      <c r="AC23" s="143">
        <v>2</v>
      </c>
      <c r="AD23" s="143">
        <v>1</v>
      </c>
      <c r="AG23" s="143">
        <f>IF('Product Launch Brief - PM'!J25="","",'Product Launch Brief - PM'!J25)</f>
        <v>1999</v>
      </c>
      <c r="AH23" s="143" t="str">
        <f t="shared" si="19"/>
        <v>Y</v>
      </c>
      <c r="AJ23" s="143" t="str">
        <f>IF('Product Launch Brief - PM'!P25="","",'Product Launch Brief - PM'!P25)</f>
        <v>10% overpayments per annum</v>
      </c>
    </row>
    <row r="24" spans="1:36" s="23" customFormat="1" ht="15">
      <c r="A24" s="23" t="str">
        <f t="shared" si="14"/>
        <v/>
      </c>
      <c r="B24" s="22" t="str">
        <f>IF('Product Launch Brief - PM'!D26="","",'Product Launch Brief - PM'!D26)</f>
        <v/>
      </c>
      <c r="C24" s="24" t="str">
        <f>IF('Withdrawals - PM'!A50="","",'Withdrawals - PM'!B50)</f>
        <v/>
      </c>
      <c r="D24" s="23" t="str">
        <f>IF('Withdrawals - PM'!A50="","",'Withdrawals - PM'!A50)</f>
        <v/>
      </c>
      <c r="E24" s="152" t="str">
        <f>IF('Product Launch Brief - PM'!AB31="","",'Product Launch Brief - PM'!AB31)</f>
        <v>RETN344</v>
      </c>
      <c r="F24" s="23" t="str">
        <f>IF('Product Launch Brief - PM'!G26="","",'Product Launch Brief - PM'!G26)</f>
        <v/>
      </c>
      <c r="G24" s="133" t="str">
        <f t="shared" ref="G24:G55" si="20">IF(F24="","",IF(I24&gt;=0,X24-J24,"N/A"))</f>
        <v/>
      </c>
      <c r="H24" s="23" t="str">
        <f t="shared" ref="H24:H55" si="21">IF(B24="","","N/A")</f>
        <v/>
      </c>
      <c r="I24" s="133" t="str">
        <f>IF('Product Launch Brief - PM'!L26="","",'Product Launch Brief - PM'!L26)</f>
        <v/>
      </c>
      <c r="J24" s="133" t="str">
        <f>IF('Product Launch Brief - PM'!H26="","",'Product Launch Brief - PM'!H26)</f>
        <v/>
      </c>
      <c r="K24" s="25" t="str">
        <f>IF('Product Launch Brief - PM'!E26="","",'Product Launch Brief - PM'!E26)</f>
        <v/>
      </c>
      <c r="L24" s="23" t="str">
        <f>IF('Product Launch Brief - PM'!F26="","",'Product Launch Brief - PM'!F26)</f>
        <v/>
      </c>
      <c r="M24" s="23" t="str">
        <f>IF('Product Launch Brief - PM'!T26="","",'Product Launch Brief - PM'!T26)</f>
        <v/>
      </c>
      <c r="N24" s="23" t="str">
        <f>IF('Product Launch Brief - PM'!U26="","",'Product Launch Brief - PM'!U26)</f>
        <v/>
      </c>
      <c r="O24" s="23" t="str">
        <f>IF('Product Launch Brief - PM'!V26="","",'Product Launch Brief - PM'!V26)</f>
        <v/>
      </c>
      <c r="P24" s="23" t="str">
        <f>IF(A24="","",'Product Launch Brief - PM'!S26)</f>
        <v/>
      </c>
      <c r="Q24" s="23" t="str">
        <f>IF('Product Launch Brief - PM'!G26="","",'Product Launch Brief - PM'!G26)</f>
        <v/>
      </c>
      <c r="R24" s="26" t="str">
        <f t="shared" si="15"/>
        <v/>
      </c>
      <c r="S24" s="23" t="str">
        <f t="shared" si="16"/>
        <v/>
      </c>
      <c r="T24" s="136" t="str">
        <f>IF('Product Launch Brief - PM'!I26="","",'Product Launch Brief - PM'!I26)</f>
        <v/>
      </c>
      <c r="U24" s="142" t="str">
        <f t="shared" si="17"/>
        <v/>
      </c>
      <c r="V24" s="153" t="str">
        <f t="shared" si="13"/>
        <v/>
      </c>
      <c r="W24" s="24"/>
      <c r="X24" s="23" t="str">
        <f>IF(B24="","",'Product Launch Brief - PM'!R26)</f>
        <v/>
      </c>
      <c r="Y24" s="23" t="str">
        <f t="shared" si="18"/>
        <v/>
      </c>
      <c r="Z24" s="205" t="str">
        <f>IF('Product Launch Brief - PM'!K26="","",'Product Launch Brief - PM'!K26)</f>
        <v/>
      </c>
      <c r="AG24" s="23" t="str">
        <f>IF('Product Launch Brief - PM'!J26="","",'Product Launch Brief - PM'!J26)</f>
        <v/>
      </c>
      <c r="AH24" s="23" t="str">
        <f t="shared" si="19"/>
        <v/>
      </c>
      <c r="AI24" s="23" t="str">
        <f t="shared" ref="AI24:AI55" si="22">IF(AJ24="Free standard valuation up to £500k, £1000 cashback + 10% overpayments per annum", "1000",IF(AJ24="Free standard valuation up to £500k, £250 cashback + 10% overpayments per annum", "250", IF((OR(AJ24="Free standard valuation up to £500k, £500 cashback + 10% overpayments per annum", AJ24="Free standard valuation up to £500k, £500 cashback")), "500", "")))</f>
        <v/>
      </c>
      <c r="AJ24" s="23" t="str">
        <f>IF('Product Launch Brief - PM'!P26="","",'Product Launch Brief - PM'!P26)</f>
        <v/>
      </c>
    </row>
    <row r="25" spans="1:36" s="143" customFormat="1" ht="15">
      <c r="A25" s="143" t="str">
        <f t="shared" si="14"/>
        <v>New Product</v>
      </c>
      <c r="B25" s="144">
        <f>IF('Product Launch Brief - PM'!D27="","",'Product Launch Brief - PM'!D27)</f>
        <v>45370</v>
      </c>
      <c r="C25" s="145" t="str">
        <f>IF('Withdrawals - PM'!A51="","",'Withdrawals - PM'!B51)</f>
        <v/>
      </c>
      <c r="D25" s="143" t="s">
        <v>106</v>
      </c>
      <c r="E25" s="146" t="str">
        <f>IF('Product Launch Brief - PM'!AB32="","",'Product Launch Brief - PM'!AB32)</f>
        <v>RETN345</v>
      </c>
      <c r="F25" s="143" t="str">
        <f>IF('Product Launch Brief - PM'!G27="","",'Product Launch Brief - PM'!G27)</f>
        <v>Large Loan - Existing Customer only</v>
      </c>
      <c r="G25" s="147"/>
      <c r="I25" s="147">
        <f>IF('Product Launch Brief - PM'!L27="","",'Product Launch Brief - PM'!L27)</f>
        <v>0.03</v>
      </c>
      <c r="J25" s="147">
        <f>IF('Product Launch Brief - PM'!H27="","",'Product Launch Brief - PM'!H27)</f>
        <v>5.9900000000000002E-2</v>
      </c>
      <c r="K25" s="148">
        <f>IF('Product Launch Brief - PM'!E27="","",'Product Launch Brief - PM'!E27)</f>
        <v>46234</v>
      </c>
      <c r="L25" s="143" t="str">
        <f>IF('Product Launch Brief - PM'!F27="","",'Product Launch Brief - PM'!F27)</f>
        <v>2 Year Variable</v>
      </c>
      <c r="M25" s="143" t="str">
        <f>IF('Product Launch Brief - PM'!T27="","",'Product Launch Brief - PM'!T27)</f>
        <v>N</v>
      </c>
      <c r="N25" s="143" t="str">
        <f>IF('Product Launch Brief - PM'!U27="","",'Product Launch Brief - PM'!U27)</f>
        <v>N</v>
      </c>
      <c r="O25" s="143" t="str">
        <f>IF('Product Launch Brief - PM'!V27="","",'Product Launch Brief - PM'!V27)</f>
        <v>Y</v>
      </c>
      <c r="P25" s="143" t="str">
        <f>IF(A25="","",'Product Launch Brief - PM'!S27)</f>
        <v>Yes</v>
      </c>
      <c r="Q25" s="143" t="str">
        <f>IF('Product Launch Brief - PM'!G27="","",'Product Launch Brief - PM'!G27)</f>
        <v>Large Loan - Existing Customer only</v>
      </c>
      <c r="R25" s="149" t="str">
        <f t="shared" si="15"/>
        <v>Y</v>
      </c>
      <c r="S25" s="143" t="str">
        <f t="shared" si="16"/>
        <v>NA</v>
      </c>
      <c r="T25" s="150">
        <f>IF('Product Launch Brief - PM'!I27="","",'Product Launch Brief - PM'!I27)</f>
        <v>0.65</v>
      </c>
      <c r="U25" s="151">
        <f t="shared" si="17"/>
        <v>1000</v>
      </c>
      <c r="V25" s="151">
        <v>3000000</v>
      </c>
      <c r="W25" s="145"/>
      <c r="X25" s="143">
        <v>6.94</v>
      </c>
      <c r="Y25" s="143" t="str">
        <f t="shared" si="18"/>
        <v>SVR</v>
      </c>
      <c r="Z25" s="206" t="s">
        <v>149</v>
      </c>
      <c r="AG25" s="143">
        <f>IF('Product Launch Brief - PM'!J27="","",'Product Launch Brief - PM'!J27)</f>
        <v>1999</v>
      </c>
      <c r="AH25" s="143" t="str">
        <f t="shared" si="19"/>
        <v>Y</v>
      </c>
      <c r="AJ25" s="143" t="str">
        <f>IF('Product Launch Brief - PM'!P27="","",'Product Launch Brief - PM'!P27)</f>
        <v>10% overpayments per annum</v>
      </c>
    </row>
    <row r="26" spans="1:36" s="23" customFormat="1" ht="15">
      <c r="A26" s="23" t="str">
        <f t="shared" si="14"/>
        <v>New Product</v>
      </c>
      <c r="B26" s="22">
        <f>IF('Product Launch Brief - PM'!D28="","",'Product Launch Brief - PM'!D28)</f>
        <v>45370</v>
      </c>
      <c r="C26" s="24" t="str">
        <f>IF('Withdrawals - PM'!A52="","",'Withdrawals - PM'!B52)</f>
        <v/>
      </c>
      <c r="D26" s="23" t="s">
        <v>107</v>
      </c>
      <c r="E26" s="152" t="str">
        <f>IF('Product Launch Brief - PM'!AB33="","",'Product Launch Brief - PM'!AB33)</f>
        <v>RETN346</v>
      </c>
      <c r="F26" s="23" t="str">
        <f>IF('Product Launch Brief - PM'!G28="","",'Product Launch Brief - PM'!G28)</f>
        <v>Large Loan - Existing Customer only</v>
      </c>
      <c r="G26" s="133"/>
      <c r="I26" s="133" t="str">
        <f>IF('Product Launch Brief - PM'!L28="","",'Product Launch Brief - PM'!L28)</f>
        <v/>
      </c>
      <c r="J26" s="133">
        <f>IF('Product Launch Brief - PM'!H28="","",'Product Launch Brief - PM'!H28)</f>
        <v>5.1499999999999997E-2</v>
      </c>
      <c r="K26" s="25">
        <f>IF('Product Launch Brief - PM'!E28="","",'Product Launch Brief - PM'!E28)</f>
        <v>46234</v>
      </c>
      <c r="L26" s="23" t="str">
        <f>IF('Product Launch Brief - PM'!F28="","",'Product Launch Brief - PM'!F28)</f>
        <v>2 Year Fixed</v>
      </c>
      <c r="M26" s="23" t="str">
        <f>IF('Product Launch Brief - PM'!T28="","",'Product Launch Brief - PM'!T28)</f>
        <v>N</v>
      </c>
      <c r="N26" s="23" t="str">
        <f>IF('Product Launch Brief - PM'!U28="","",'Product Launch Brief - PM'!U28)</f>
        <v>N</v>
      </c>
      <c r="O26" s="23" t="str">
        <f>IF('Product Launch Brief - PM'!V28="","",'Product Launch Brief - PM'!V28)</f>
        <v>Y</v>
      </c>
      <c r="P26" s="23" t="str">
        <f>IF(A26="","",'Product Launch Brief - PM'!S28)</f>
        <v>Yes</v>
      </c>
      <c r="Q26" s="23" t="str">
        <f>IF('Product Launch Brief - PM'!G28="","",'Product Launch Brief - PM'!G28)</f>
        <v>Large Loan - Existing Customer only</v>
      </c>
      <c r="R26" s="26" t="str">
        <f t="shared" si="15"/>
        <v>Y</v>
      </c>
      <c r="S26" s="23" t="str">
        <f t="shared" si="16"/>
        <v>NA</v>
      </c>
      <c r="T26" s="136">
        <f>IF('Product Launch Brief - PM'!I28="","",'Product Launch Brief - PM'!I28)</f>
        <v>0.65</v>
      </c>
      <c r="U26" s="142">
        <f t="shared" si="17"/>
        <v>1000</v>
      </c>
      <c r="V26" s="153">
        <v>3000000</v>
      </c>
      <c r="W26" s="24"/>
      <c r="X26" s="23">
        <v>6.94</v>
      </c>
      <c r="Y26" s="23" t="str">
        <f t="shared" si="18"/>
        <v>SVR</v>
      </c>
      <c r="Z26" s="205">
        <v>2</v>
      </c>
      <c r="AA26" s="23">
        <v>1</v>
      </c>
      <c r="AG26" s="23">
        <f>IF('Product Launch Brief - PM'!J28="","",'Product Launch Brief - PM'!J28)</f>
        <v>1999</v>
      </c>
      <c r="AH26" s="23" t="str">
        <f t="shared" si="19"/>
        <v>Y</v>
      </c>
      <c r="AJ26" s="23" t="str">
        <f>IF('Product Launch Brief - PM'!P28="","",'Product Launch Brief - PM'!P28)</f>
        <v>10% overpayments per annum</v>
      </c>
    </row>
    <row r="27" spans="1:36" s="143" customFormat="1" ht="15">
      <c r="A27" s="143" t="str">
        <f t="shared" si="14"/>
        <v>New Product</v>
      </c>
      <c r="B27" s="144">
        <f>IF('Product Launch Brief - PM'!D29="","",'Product Launch Brief - PM'!D29)</f>
        <v>45370</v>
      </c>
      <c r="C27" s="145" t="str">
        <f>IF('Withdrawals - PM'!A53="","",'Withdrawals - PM'!B53)</f>
        <v/>
      </c>
      <c r="D27" s="143" t="s">
        <v>108</v>
      </c>
      <c r="E27" s="146" t="str">
        <f>IF('Product Launch Brief - PM'!AB34="","",'Product Launch Brief - PM'!AB34)</f>
        <v>RETN347</v>
      </c>
      <c r="F27" s="143" t="str">
        <f>IF('Product Launch Brief - PM'!G29="","",'Product Launch Brief - PM'!G29)</f>
        <v>Large Loan - Existing Customer only</v>
      </c>
      <c r="G27" s="147"/>
      <c r="I27" s="147" t="str">
        <f>IF('Product Launch Brief - PM'!L29="","",'Product Launch Brief - PM'!L29)</f>
        <v/>
      </c>
      <c r="J27" s="147">
        <f>IF('Product Launch Brief - PM'!H29="","",'Product Launch Brief - PM'!H29)</f>
        <v>4.7500000000000001E-2</v>
      </c>
      <c r="K27" s="148">
        <f>IF('Product Launch Brief - PM'!E29="","",'Product Launch Brief - PM'!E29)</f>
        <v>47330</v>
      </c>
      <c r="L27" s="143" t="str">
        <f>IF('Product Launch Brief - PM'!F29="","",'Product Launch Brief - PM'!F29)</f>
        <v>5 Year Fixed</v>
      </c>
      <c r="M27" s="143" t="str">
        <f>IF('Product Launch Brief - PM'!T29="","",'Product Launch Brief - PM'!T29)</f>
        <v>N</v>
      </c>
      <c r="N27" s="143" t="str">
        <f>IF('Product Launch Brief - PM'!U29="","",'Product Launch Brief - PM'!U29)</f>
        <v>N</v>
      </c>
      <c r="O27" s="143" t="str">
        <f>IF('Product Launch Brief - PM'!V29="","",'Product Launch Brief - PM'!V29)</f>
        <v>Y</v>
      </c>
      <c r="P27" s="143" t="str">
        <f>IF(A27="","",'Product Launch Brief - PM'!S29)</f>
        <v>Yes</v>
      </c>
      <c r="Q27" s="143" t="str">
        <f>IF('Product Launch Brief - PM'!G29="","",'Product Launch Brief - PM'!G29)</f>
        <v>Large Loan - Existing Customer only</v>
      </c>
      <c r="R27" s="149" t="str">
        <f t="shared" si="15"/>
        <v>Y</v>
      </c>
      <c r="S27" s="143" t="str">
        <f t="shared" si="16"/>
        <v>NA</v>
      </c>
      <c r="T27" s="150">
        <f>IF('Product Launch Brief - PM'!I29="","",'Product Launch Brief - PM'!I29)</f>
        <v>0.65</v>
      </c>
      <c r="U27" s="151">
        <f t="shared" si="17"/>
        <v>1000</v>
      </c>
      <c r="V27" s="151">
        <v>3000000</v>
      </c>
      <c r="W27" s="145"/>
      <c r="X27" s="143">
        <v>6.94</v>
      </c>
      <c r="Y27" s="143" t="str">
        <f t="shared" si="18"/>
        <v>SVR</v>
      </c>
      <c r="Z27" s="206">
        <v>5</v>
      </c>
      <c r="AA27" s="143">
        <v>4</v>
      </c>
      <c r="AB27" s="143">
        <v>3</v>
      </c>
      <c r="AC27" s="143">
        <v>2</v>
      </c>
      <c r="AD27" s="143">
        <v>1</v>
      </c>
      <c r="AG27" s="143">
        <f>IF('Product Launch Brief - PM'!J29="","",'Product Launch Brief - PM'!J29)</f>
        <v>1999</v>
      </c>
      <c r="AH27" s="143" t="str">
        <f t="shared" si="19"/>
        <v>Y</v>
      </c>
      <c r="AJ27" s="143" t="str">
        <f>IF('Product Launch Brief - PM'!P29="","",'Product Launch Brief - PM'!P29)</f>
        <v>10% overpayments per annum</v>
      </c>
    </row>
    <row r="28" spans="1:36" s="23" customFormat="1" ht="15">
      <c r="A28" s="23" t="str">
        <f t="shared" si="14"/>
        <v>New Product</v>
      </c>
      <c r="B28" s="22">
        <f>IF('Product Launch Brief - PM'!D30="","",'Product Launch Brief - PM'!D30)</f>
        <v>45370</v>
      </c>
      <c r="C28" s="24" t="str">
        <f>IF('Withdrawals - PM'!A54="","",'Withdrawals - PM'!B54)</f>
        <v/>
      </c>
      <c r="D28" s="23" t="s">
        <v>109</v>
      </c>
      <c r="E28" s="152" t="str">
        <f>IF('Product Launch Brief - PM'!AB35="","",'Product Launch Brief - PM'!AB35)</f>
        <v>RETN348</v>
      </c>
      <c r="F28" s="23" t="str">
        <f>IF('Product Launch Brief - PM'!G30="","",'Product Launch Brief - PM'!G30)</f>
        <v>Large Loan - Existing Customer only</v>
      </c>
      <c r="G28" s="133"/>
      <c r="I28" s="133">
        <f>IF('Product Launch Brief - PM'!L30="","",'Product Launch Brief - PM'!L30)</f>
        <v>0.03</v>
      </c>
      <c r="J28" s="133">
        <f>IF('Product Launch Brief - PM'!H30="","",'Product Launch Brief - PM'!H30)</f>
        <v>6.0900000000000003E-2</v>
      </c>
      <c r="K28" s="25">
        <f>IF('Product Launch Brief - PM'!E30="","",'Product Launch Brief - PM'!E30)</f>
        <v>46234</v>
      </c>
      <c r="L28" s="23" t="str">
        <f>IF('Product Launch Brief - PM'!F30="","",'Product Launch Brief - PM'!F30)</f>
        <v>2 Year Variable</v>
      </c>
      <c r="M28" s="23" t="str">
        <f>IF('Product Launch Brief - PM'!T30="","",'Product Launch Brief - PM'!T30)</f>
        <v>N</v>
      </c>
      <c r="N28" s="23" t="str">
        <f>IF('Product Launch Brief - PM'!U30="","",'Product Launch Brief - PM'!U30)</f>
        <v>N</v>
      </c>
      <c r="O28" s="23" t="str">
        <f>IF('Product Launch Brief - PM'!V30="","",'Product Launch Brief - PM'!V30)</f>
        <v>Y</v>
      </c>
      <c r="P28" s="23" t="str">
        <f>IF(A28="","",'Product Launch Brief - PM'!S30)</f>
        <v>Yes</v>
      </c>
      <c r="Q28" s="23" t="str">
        <f>IF('Product Launch Brief - PM'!G30="","",'Product Launch Brief - PM'!G30)</f>
        <v>Large Loan - Existing Customer only</v>
      </c>
      <c r="R28" s="26" t="str">
        <f t="shared" si="15"/>
        <v>Y</v>
      </c>
      <c r="S28" s="23" t="str">
        <f t="shared" si="16"/>
        <v>NA</v>
      </c>
      <c r="T28" s="136">
        <f>IF('Product Launch Brief - PM'!I30="","",'Product Launch Brief - PM'!I30)</f>
        <v>0.75</v>
      </c>
      <c r="U28" s="142">
        <f t="shared" si="17"/>
        <v>1000</v>
      </c>
      <c r="V28" s="153" t="str">
        <f t="shared" si="13"/>
        <v>1,500,000</v>
      </c>
      <c r="W28" s="24"/>
      <c r="X28" s="23">
        <v>6.94</v>
      </c>
      <c r="Y28" s="23" t="str">
        <f t="shared" si="18"/>
        <v>SVR</v>
      </c>
      <c r="Z28" s="205" t="s">
        <v>149</v>
      </c>
      <c r="AG28" s="23">
        <f>IF('Product Launch Brief - PM'!J30="","",'Product Launch Brief - PM'!J30)</f>
        <v>1999</v>
      </c>
      <c r="AH28" s="23" t="str">
        <f t="shared" si="19"/>
        <v>Y</v>
      </c>
      <c r="AJ28" s="23" t="str">
        <f>IF('Product Launch Brief - PM'!P30="","",'Product Launch Brief - PM'!P30)</f>
        <v>10% overpayments per annum</v>
      </c>
    </row>
    <row r="29" spans="1:36" s="143" customFormat="1" ht="15">
      <c r="A29" s="143" t="str">
        <f t="shared" si="14"/>
        <v>New Product</v>
      </c>
      <c r="B29" s="144">
        <f>IF('Product Launch Brief - PM'!D31="","",'Product Launch Brief - PM'!D31)</f>
        <v>45370</v>
      </c>
      <c r="C29" s="145" t="str">
        <f>IF('Withdrawals - PM'!A55="","",'Withdrawals - PM'!B55)</f>
        <v/>
      </c>
      <c r="D29" s="143" t="s">
        <v>110</v>
      </c>
      <c r="E29" s="146" t="str">
        <f>IF('Product Launch Brief - PM'!AB36="","",'Product Launch Brief - PM'!AB36)</f>
        <v/>
      </c>
      <c r="F29" s="143" t="str">
        <f>IF('Product Launch Brief - PM'!G31="","",'Product Launch Brief - PM'!G31)</f>
        <v>Large Loan - Existing Customer only</v>
      </c>
      <c r="G29" s="147"/>
      <c r="I29" s="147" t="str">
        <f>IF('Product Launch Brief - PM'!L31="","",'Product Launch Brief - PM'!L31)</f>
        <v/>
      </c>
      <c r="J29" s="147">
        <f>IF('Product Launch Brief - PM'!H31="","",'Product Launch Brief - PM'!H31)</f>
        <v>5.1999999999999998E-2</v>
      </c>
      <c r="K29" s="148">
        <f>IF('Product Launch Brief - PM'!E31="","",'Product Launch Brief - PM'!E31)</f>
        <v>46234</v>
      </c>
      <c r="L29" s="143" t="str">
        <f>IF('Product Launch Brief - PM'!F31="","",'Product Launch Brief - PM'!F31)</f>
        <v>2 Year Fixed</v>
      </c>
      <c r="M29" s="143" t="str">
        <f>IF('Product Launch Brief - PM'!T31="","",'Product Launch Brief - PM'!T31)</f>
        <v>N</v>
      </c>
      <c r="N29" s="143" t="str">
        <f>IF('Product Launch Brief - PM'!U31="","",'Product Launch Brief - PM'!U31)</f>
        <v>N</v>
      </c>
      <c r="O29" s="143" t="str">
        <f>IF('Product Launch Brief - PM'!V31="","",'Product Launch Brief - PM'!V31)</f>
        <v>Y</v>
      </c>
      <c r="P29" s="143" t="str">
        <f>IF(A29="","",'Product Launch Brief - PM'!S31)</f>
        <v>Yes</v>
      </c>
      <c r="Q29" s="143" t="str">
        <f>IF('Product Launch Brief - PM'!G31="","",'Product Launch Brief - PM'!G31)</f>
        <v>Large Loan - Existing Customer only</v>
      </c>
      <c r="R29" s="149" t="str">
        <f t="shared" si="15"/>
        <v>Y</v>
      </c>
      <c r="S29" s="143" t="str">
        <f t="shared" si="16"/>
        <v>NA</v>
      </c>
      <c r="T29" s="150">
        <f>IF('Product Launch Brief - PM'!I31="","",'Product Launch Brief - PM'!I31)</f>
        <v>0.75</v>
      </c>
      <c r="U29" s="151">
        <f t="shared" si="17"/>
        <v>1000</v>
      </c>
      <c r="V29" s="151" t="str">
        <f t="shared" si="13"/>
        <v>1,500,000</v>
      </c>
      <c r="W29" s="145"/>
      <c r="X29" s="143">
        <v>6.94</v>
      </c>
      <c r="Y29" s="143" t="str">
        <f t="shared" si="18"/>
        <v>SVR</v>
      </c>
      <c r="Z29" s="206">
        <v>5</v>
      </c>
      <c r="AA29" s="143">
        <v>4</v>
      </c>
      <c r="AB29" s="143">
        <v>3</v>
      </c>
      <c r="AC29" s="143">
        <v>2</v>
      </c>
      <c r="AD29" s="143">
        <v>1</v>
      </c>
      <c r="AG29" s="143">
        <f>IF('Product Launch Brief - PM'!J31="","",'Product Launch Brief - PM'!J31)</f>
        <v>1999</v>
      </c>
      <c r="AH29" s="143" t="str">
        <f t="shared" si="19"/>
        <v>Y</v>
      </c>
      <c r="AJ29" s="143" t="str">
        <f>IF('Product Launch Brief - PM'!P31="","",'Product Launch Brief - PM'!P31)</f>
        <v>10% overpayments per annum</v>
      </c>
    </row>
    <row r="30" spans="1:36" s="23" customFormat="1" ht="15">
      <c r="A30" s="23" t="str">
        <f t="shared" si="14"/>
        <v>New Product</v>
      </c>
      <c r="B30" s="22">
        <f>IF('Product Launch Brief - PM'!D32="","",'Product Launch Brief - PM'!D32)</f>
        <v>45370</v>
      </c>
      <c r="C30" s="24" t="str">
        <f>IF('Withdrawals - PM'!A56="","",'Withdrawals - PM'!B56)</f>
        <v/>
      </c>
      <c r="D30" s="23" t="s">
        <v>111</v>
      </c>
      <c r="E30" s="152" t="str">
        <f>IF('Product Launch Brief - PM'!AB37="","",'Product Launch Brief - PM'!AB37)</f>
        <v/>
      </c>
      <c r="F30" s="23" t="str">
        <f>IF('Product Launch Brief - PM'!G32="","",'Product Launch Brief - PM'!G32)</f>
        <v>Large Loan - Existing Customer only</v>
      </c>
      <c r="G30" s="133"/>
      <c r="I30" s="133" t="str">
        <f>IF('Product Launch Brief - PM'!L32="","",'Product Launch Brief - PM'!L32)</f>
        <v/>
      </c>
      <c r="J30" s="133">
        <f>IF('Product Launch Brief - PM'!H32="","",'Product Launch Brief - PM'!H32)</f>
        <v>4.8000000000000001E-2</v>
      </c>
      <c r="K30" s="25">
        <f>IF('Product Launch Brief - PM'!E32="","",'Product Launch Brief - PM'!E32)</f>
        <v>47330</v>
      </c>
      <c r="L30" s="23" t="str">
        <f>IF('Product Launch Brief - PM'!F32="","",'Product Launch Brief - PM'!F32)</f>
        <v>5 Year Fixed</v>
      </c>
      <c r="M30" s="23" t="str">
        <f>IF('Product Launch Brief - PM'!T32="","",'Product Launch Brief - PM'!T32)</f>
        <v>N</v>
      </c>
      <c r="N30" s="23" t="str">
        <f>IF('Product Launch Brief - PM'!U32="","",'Product Launch Brief - PM'!U32)</f>
        <v>N</v>
      </c>
      <c r="O30" s="23" t="str">
        <f>IF('Product Launch Brief - PM'!V32="","",'Product Launch Brief - PM'!V32)</f>
        <v>Y</v>
      </c>
      <c r="P30" s="23" t="str">
        <f>IF(A30="","",'Product Launch Brief - PM'!S32)</f>
        <v>Yes</v>
      </c>
      <c r="Q30" s="23" t="str">
        <f>IF('Product Launch Brief - PM'!G32="","",'Product Launch Brief - PM'!G32)</f>
        <v>Large Loan - Existing Customer only</v>
      </c>
      <c r="R30" s="26" t="str">
        <f t="shared" si="15"/>
        <v>Y</v>
      </c>
      <c r="S30" s="23" t="str">
        <f t="shared" si="16"/>
        <v>NA</v>
      </c>
      <c r="T30" s="136">
        <f>IF('Product Launch Brief - PM'!I32="","",'Product Launch Brief - PM'!I32)</f>
        <v>0.75</v>
      </c>
      <c r="U30" s="142">
        <f t="shared" si="17"/>
        <v>1000</v>
      </c>
      <c r="V30" s="153" t="str">
        <f t="shared" si="13"/>
        <v>1,500,000</v>
      </c>
      <c r="W30" s="24"/>
      <c r="X30" s="23">
        <v>6.94</v>
      </c>
      <c r="Y30" s="23" t="str">
        <f t="shared" si="18"/>
        <v>SVR</v>
      </c>
      <c r="Z30" s="205">
        <v>5</v>
      </c>
      <c r="AA30" s="23">
        <v>4</v>
      </c>
      <c r="AB30" s="23">
        <v>3</v>
      </c>
      <c r="AC30" s="23">
        <v>2</v>
      </c>
      <c r="AD30" s="23">
        <v>1</v>
      </c>
      <c r="AG30" s="23">
        <f>IF('Product Launch Brief - PM'!J32="","",'Product Launch Brief - PM'!J32)</f>
        <v>1999</v>
      </c>
      <c r="AH30" s="23" t="str">
        <f t="shared" si="19"/>
        <v>Y</v>
      </c>
      <c r="AJ30" s="23" t="str">
        <f>IF('Product Launch Brief - PM'!P32="","",'Product Launch Brief - PM'!P32)</f>
        <v>10% overpayments per annum</v>
      </c>
    </row>
    <row r="31" spans="1:36" s="143" customFormat="1" ht="15">
      <c r="A31" s="143" t="str">
        <f t="shared" si="14"/>
        <v>New Product</v>
      </c>
      <c r="B31" s="144">
        <f>IF('Product Launch Brief - PM'!D33="","",'Product Launch Brief - PM'!D33)</f>
        <v>45370</v>
      </c>
      <c r="C31" s="145" t="str">
        <f>IF('Withdrawals - PM'!A57="","",'Withdrawals - PM'!B57)</f>
        <v/>
      </c>
      <c r="D31" s="143" t="s">
        <v>112</v>
      </c>
      <c r="E31" s="146" t="s">
        <v>32</v>
      </c>
      <c r="F31" s="143" t="str">
        <f>IF('Product Launch Brief - PM'!G33="","",'Product Launch Brief - PM'!G33)</f>
        <v>Large Loan - Existing Customer only</v>
      </c>
      <c r="G31" s="147"/>
      <c r="I31" s="147">
        <f>IF('Product Launch Brief - PM'!L33="","",'Product Launch Brief - PM'!L33)</f>
        <v>0.03</v>
      </c>
      <c r="J31" s="147">
        <f>IF('Product Launch Brief - PM'!H33="","",'Product Launch Brief - PM'!H33)</f>
        <v>6.0900000000000003E-2</v>
      </c>
      <c r="K31" s="148">
        <f>IF('Product Launch Brief - PM'!E33="","",'Product Launch Brief - PM'!E33)</f>
        <v>46234</v>
      </c>
      <c r="L31" s="143" t="str">
        <f>IF('Product Launch Brief - PM'!F33="","",'Product Launch Brief - PM'!F33)</f>
        <v>2 Year Variable</v>
      </c>
      <c r="M31" s="143" t="str">
        <f>IF('Product Launch Brief - PM'!T33="","",'Product Launch Brief - PM'!T33)</f>
        <v>N</v>
      </c>
      <c r="N31" s="143" t="str">
        <f>IF('Product Launch Brief - PM'!U33="","",'Product Launch Brief - PM'!U33)</f>
        <v>N</v>
      </c>
      <c r="O31" s="143" t="str">
        <f>IF('Product Launch Brief - PM'!V33="","",'Product Launch Brief - PM'!V33)</f>
        <v>Y</v>
      </c>
      <c r="P31" s="143" t="str">
        <f>IF(A31="","",'Product Launch Brief - PM'!S33)</f>
        <v>Yes</v>
      </c>
      <c r="Q31" s="143" t="str">
        <f>IF('Product Launch Brief - PM'!G33="","",'Product Launch Brief - PM'!G33)</f>
        <v>Large Loan - Existing Customer only</v>
      </c>
      <c r="R31" s="149" t="str">
        <f t="shared" si="15"/>
        <v>Y</v>
      </c>
      <c r="S31" s="143" t="str">
        <f t="shared" si="16"/>
        <v>NA</v>
      </c>
      <c r="T31" s="150">
        <f>IF('Product Launch Brief - PM'!I33="","",'Product Launch Brief - PM'!I33)</f>
        <v>0.8</v>
      </c>
      <c r="U31" s="151">
        <f t="shared" si="17"/>
        <v>1000</v>
      </c>
      <c r="V31" s="151" t="str">
        <f t="shared" si="13"/>
        <v>1,000,000</v>
      </c>
      <c r="W31" s="145"/>
      <c r="X31" s="143">
        <v>6.94</v>
      </c>
      <c r="Y31" s="143" t="str">
        <f t="shared" si="18"/>
        <v>SVR</v>
      </c>
      <c r="Z31" s="206" t="s">
        <v>149</v>
      </c>
      <c r="AG31" s="143">
        <f>IF('Product Launch Brief - PM'!J33="","",'Product Launch Brief - PM'!J33)</f>
        <v>1999</v>
      </c>
      <c r="AH31" s="143" t="str">
        <f t="shared" si="19"/>
        <v>Y</v>
      </c>
      <c r="AJ31" s="143" t="str">
        <f>IF('Product Launch Brief - PM'!P33="","",'Product Launch Brief - PM'!P33)</f>
        <v>10% overpayments per annum</v>
      </c>
    </row>
    <row r="32" spans="1:36" s="23" customFormat="1" ht="15">
      <c r="A32" s="23" t="str">
        <f t="shared" si="14"/>
        <v>New Product</v>
      </c>
      <c r="B32" s="22">
        <f>IF('Product Launch Brief - PM'!D34="","",'Product Launch Brief - PM'!D34)</f>
        <v>45370</v>
      </c>
      <c r="C32" s="24" t="str">
        <f>IF('Withdrawals - PM'!A58="","",'Withdrawals - PM'!B58)</f>
        <v/>
      </c>
      <c r="D32" s="23" t="s">
        <v>113</v>
      </c>
      <c r="E32" s="152" t="str">
        <f>IF('Product Launch Brief - PM'!AB39="","",'Product Launch Brief - PM'!AB39)</f>
        <v/>
      </c>
      <c r="F32" s="23" t="str">
        <f>IF('Product Launch Brief - PM'!G34="","",'Product Launch Brief - PM'!G34)</f>
        <v>Large Loan - Existing Customer only</v>
      </c>
      <c r="G32" s="133"/>
      <c r="I32" s="133" t="str">
        <f>IF('Product Launch Brief - PM'!L34="","",'Product Launch Brief - PM'!L34)</f>
        <v/>
      </c>
      <c r="J32" s="133">
        <f>IF('Product Launch Brief - PM'!H34="","",'Product Launch Brief - PM'!H34)</f>
        <v>5.1999999999999998E-2</v>
      </c>
      <c r="K32" s="25">
        <f>IF('Product Launch Brief - PM'!E34="","",'Product Launch Brief - PM'!E34)</f>
        <v>46234</v>
      </c>
      <c r="L32" s="23" t="str">
        <f>IF('Product Launch Brief - PM'!F34="","",'Product Launch Brief - PM'!F34)</f>
        <v>2 Year Fixed</v>
      </c>
      <c r="M32" s="23" t="str">
        <f>IF('Product Launch Brief - PM'!T34="","",'Product Launch Brief - PM'!T34)</f>
        <v>N</v>
      </c>
      <c r="N32" s="23" t="str">
        <f>IF('Product Launch Brief - PM'!U34="","",'Product Launch Brief - PM'!U34)</f>
        <v>N</v>
      </c>
      <c r="O32" s="23" t="str">
        <f>IF('Product Launch Brief - PM'!V34="","",'Product Launch Brief - PM'!V34)</f>
        <v>Y</v>
      </c>
      <c r="P32" s="23" t="str">
        <f>IF(A32="","",'Product Launch Brief - PM'!S34)</f>
        <v>Yes</v>
      </c>
      <c r="Q32" s="23" t="str">
        <f>IF('Product Launch Brief - PM'!G34="","",'Product Launch Brief - PM'!G34)</f>
        <v>Large Loan - Existing Customer only</v>
      </c>
      <c r="R32" s="26" t="str">
        <f t="shared" si="15"/>
        <v>Y</v>
      </c>
      <c r="S32" s="23" t="str">
        <f t="shared" si="16"/>
        <v>NA</v>
      </c>
      <c r="T32" s="136">
        <f>IF('Product Launch Brief - PM'!I34="","",'Product Launch Brief - PM'!I34)</f>
        <v>0.8</v>
      </c>
      <c r="U32" s="142">
        <f t="shared" si="17"/>
        <v>1000</v>
      </c>
      <c r="V32" s="153" t="str">
        <f t="shared" si="13"/>
        <v>1,000,000</v>
      </c>
      <c r="W32" s="24"/>
      <c r="X32" s="23">
        <v>6.94</v>
      </c>
      <c r="Y32" s="23" t="str">
        <f t="shared" si="18"/>
        <v>SVR</v>
      </c>
      <c r="Z32" s="205">
        <v>2</v>
      </c>
      <c r="AA32" s="23">
        <v>1</v>
      </c>
      <c r="AG32" s="23">
        <f>IF('Product Launch Brief - PM'!J34="","",'Product Launch Brief - PM'!J34)</f>
        <v>1999</v>
      </c>
      <c r="AH32" s="23" t="str">
        <f t="shared" si="19"/>
        <v>Y</v>
      </c>
      <c r="AJ32" s="23" t="str">
        <f>IF('Product Launch Brief - PM'!P34="","",'Product Launch Brief - PM'!P34)</f>
        <v>10% overpayments per annum</v>
      </c>
    </row>
    <row r="33" spans="1:36" s="143" customFormat="1" ht="15">
      <c r="A33" s="143" t="str">
        <f t="shared" si="14"/>
        <v>New Product</v>
      </c>
      <c r="B33" s="144">
        <f>IF('Product Launch Brief - PM'!D35="","",'Product Launch Brief - PM'!D35)</f>
        <v>45370</v>
      </c>
      <c r="C33" s="145" t="str">
        <f>IF('Withdrawals - PM'!A59="","",'Withdrawals - PM'!B59)</f>
        <v/>
      </c>
      <c r="D33" s="143" t="s">
        <v>114</v>
      </c>
      <c r="E33" s="146" t="str">
        <f>IF('Product Launch Brief - PM'!AB40="","",'Product Launch Brief - PM'!AB40)</f>
        <v/>
      </c>
      <c r="F33" s="143" t="str">
        <f>IF('Product Launch Brief - PM'!G35="","",'Product Launch Brief - PM'!G35)</f>
        <v>Large Loan - Existing Customer only</v>
      </c>
      <c r="G33" s="147"/>
      <c r="I33" s="147" t="str">
        <f>IF('Product Launch Brief - PM'!L35="","",'Product Launch Brief - PM'!L35)</f>
        <v/>
      </c>
      <c r="J33" s="147">
        <f>IF('Product Launch Brief - PM'!H35="","",'Product Launch Brief - PM'!H35)</f>
        <v>4.8000000000000001E-2</v>
      </c>
      <c r="K33" s="148">
        <f>IF('Product Launch Brief - PM'!E35="","",'Product Launch Brief - PM'!E35)</f>
        <v>47330</v>
      </c>
      <c r="L33" s="143" t="str">
        <f>IF('Product Launch Brief - PM'!F35="","",'Product Launch Brief - PM'!F35)</f>
        <v>5 Year Fixed</v>
      </c>
      <c r="M33" s="143" t="str">
        <f>IF('Product Launch Brief - PM'!T35="","",'Product Launch Brief - PM'!T35)</f>
        <v>N</v>
      </c>
      <c r="N33" s="143" t="str">
        <f>IF('Product Launch Brief - PM'!U35="","",'Product Launch Brief - PM'!U35)</f>
        <v>N</v>
      </c>
      <c r="O33" s="143" t="str">
        <f>IF('Product Launch Brief - PM'!V35="","",'Product Launch Brief - PM'!V35)</f>
        <v>Y</v>
      </c>
      <c r="P33" s="143" t="str">
        <f>IF(A33="","",'Product Launch Brief - PM'!S35)</f>
        <v>Yes</v>
      </c>
      <c r="Q33" s="143" t="str">
        <f>IF('Product Launch Brief - PM'!G35="","",'Product Launch Brief - PM'!G35)</f>
        <v>Large Loan - Existing Customer only</v>
      </c>
      <c r="R33" s="149" t="str">
        <f t="shared" si="15"/>
        <v>Y</v>
      </c>
      <c r="S33" s="143" t="str">
        <f t="shared" si="16"/>
        <v>NA</v>
      </c>
      <c r="T33" s="150">
        <f>IF('Product Launch Brief - PM'!I35="","",'Product Launch Brief - PM'!I35)</f>
        <v>0.8</v>
      </c>
      <c r="U33" s="151">
        <f t="shared" si="17"/>
        <v>1000</v>
      </c>
      <c r="V33" s="151" t="str">
        <f t="shared" si="13"/>
        <v>1,000,000</v>
      </c>
      <c r="W33" s="145"/>
      <c r="X33" s="143">
        <v>6.94</v>
      </c>
      <c r="Y33" s="143" t="str">
        <f t="shared" si="18"/>
        <v>SVR</v>
      </c>
      <c r="Z33" s="206">
        <v>5</v>
      </c>
      <c r="AA33" s="143">
        <v>4</v>
      </c>
      <c r="AB33" s="143">
        <v>3</v>
      </c>
      <c r="AC33" s="143">
        <v>2</v>
      </c>
      <c r="AD33" s="143">
        <v>1</v>
      </c>
      <c r="AG33" s="143">
        <f>IF('Product Launch Brief - PM'!J35="","",'Product Launch Brief - PM'!J35)</f>
        <v>1999</v>
      </c>
      <c r="AH33" s="143" t="str">
        <f t="shared" si="19"/>
        <v>Y</v>
      </c>
      <c r="AJ33" s="143" t="str">
        <f>IF('Product Launch Brief - PM'!P35="","",'Product Launch Brief - PM'!P35)</f>
        <v>10% overpayments per annum</v>
      </c>
    </row>
    <row r="34" spans="1:36" s="23" customFormat="1" ht="15">
      <c r="A34" s="23" t="str">
        <f t="shared" si="14"/>
        <v/>
      </c>
      <c r="B34" s="22" t="str">
        <f>IF('Product Launch Brief - PM'!D36="","",'Product Launch Brief - PM'!D36)</f>
        <v/>
      </c>
      <c r="C34" s="24" t="str">
        <f>IF('Withdrawals - PM'!A60="","",'Withdrawals - PM'!B60)</f>
        <v/>
      </c>
      <c r="D34" s="23" t="str">
        <f>IF('Withdrawals - PM'!A60="","",'Withdrawals - PM'!A60)</f>
        <v/>
      </c>
      <c r="E34" s="152" t="str">
        <f>IF('Product Launch Brief - PM'!AB41="","",'Product Launch Brief - PM'!AB41)</f>
        <v/>
      </c>
      <c r="F34" s="23" t="str">
        <f>IF('Product Launch Brief - PM'!G36="","",'Product Launch Brief - PM'!G36)</f>
        <v/>
      </c>
      <c r="G34" s="133"/>
      <c r="I34" s="133" t="str">
        <f>IF('Product Launch Brief - PM'!L36="","",'Product Launch Brief - PM'!L36)</f>
        <v/>
      </c>
      <c r="J34" s="133" t="str">
        <f>IF('Product Launch Brief - PM'!H36="","",'Product Launch Brief - PM'!H36)</f>
        <v/>
      </c>
      <c r="K34" s="25" t="str">
        <f>IF('Product Launch Brief - PM'!E36="","",'Product Launch Brief - PM'!E36)</f>
        <v/>
      </c>
      <c r="L34" s="23" t="str">
        <f>IF('Product Launch Brief - PM'!F36="","",'Product Launch Brief - PM'!F36)</f>
        <v/>
      </c>
      <c r="M34" s="23" t="str">
        <f>IF('Product Launch Brief - PM'!T36="","",'Product Launch Brief - PM'!T36)</f>
        <v/>
      </c>
      <c r="N34" s="23" t="str">
        <f>IF('Product Launch Brief - PM'!U36="","",'Product Launch Brief - PM'!U36)</f>
        <v/>
      </c>
      <c r="O34" s="23" t="str">
        <f>IF('Product Launch Brief - PM'!V36="","",'Product Launch Brief - PM'!V36)</f>
        <v/>
      </c>
      <c r="P34" s="23" t="str">
        <f>IF(A34="","",'Product Launch Brief - PM'!S36)</f>
        <v/>
      </c>
      <c r="Q34" s="23" t="str">
        <f>IF('Product Launch Brief - PM'!G36="","",'Product Launch Brief - PM'!G36)</f>
        <v/>
      </c>
      <c r="R34" s="26" t="str">
        <f t="shared" si="15"/>
        <v/>
      </c>
      <c r="S34" s="23" t="str">
        <f t="shared" si="16"/>
        <v/>
      </c>
      <c r="T34" s="136" t="str">
        <f>IF('Product Launch Brief - PM'!I36="","",'Product Launch Brief - PM'!I36)</f>
        <v/>
      </c>
      <c r="U34" s="142" t="str">
        <f t="shared" si="17"/>
        <v/>
      </c>
      <c r="V34" s="153" t="str">
        <f t="shared" si="13"/>
        <v/>
      </c>
      <c r="W34" s="24"/>
      <c r="X34" s="23" t="str">
        <f>IF(B34="","",'Product Launch Brief - PM'!R36)</f>
        <v/>
      </c>
      <c r="Y34" s="23" t="str">
        <f t="shared" si="18"/>
        <v/>
      </c>
      <c r="Z34" s="205" t="str">
        <f>IF('Product Launch Brief - PM'!K36="","",'Product Launch Brief - PM'!K36)</f>
        <v/>
      </c>
      <c r="AE34" s="23" t="str">
        <f t="shared" ref="AE34:AE55" si="23">IF(B34="","",0)</f>
        <v/>
      </c>
      <c r="AF34" s="23" t="str">
        <f t="shared" ref="AF34:AF55" si="24">IF(AE34="","","N")</f>
        <v/>
      </c>
      <c r="AG34" s="23" t="str">
        <f>IF('Product Launch Brief - PM'!J36="","",'Product Launch Brief - PM'!J36)</f>
        <v/>
      </c>
      <c r="AH34" s="23" t="str">
        <f t="shared" si="19"/>
        <v/>
      </c>
      <c r="AI34" s="23" t="str">
        <f t="shared" si="22"/>
        <v/>
      </c>
      <c r="AJ34" s="23" t="str">
        <f>IF('Product Launch Brief - PM'!P36="","",'Product Launch Brief - PM'!P36)</f>
        <v/>
      </c>
    </row>
    <row r="35" spans="1:36" s="143" customFormat="1" ht="15">
      <c r="A35" s="143" t="str">
        <f t="shared" si="14"/>
        <v/>
      </c>
      <c r="B35" s="144" t="str">
        <f>IF('Product Launch Brief - PM'!D42="","",'Product Launch Brief - PM'!D42)</f>
        <v/>
      </c>
      <c r="C35" s="145" t="str">
        <f>IF('Withdrawals - PM'!A61="","",'Withdrawals - PM'!B61)</f>
        <v/>
      </c>
      <c r="D35" s="143" t="str">
        <f>IF('Withdrawals - PM'!A61="","",'Withdrawals - PM'!A61)</f>
        <v/>
      </c>
      <c r="E35" s="146" t="str">
        <f>IF('Product Launch Brief - PM'!AB42="","",'Product Launch Brief - PM'!AB42)</f>
        <v/>
      </c>
      <c r="F35" s="143" t="str">
        <f>IF('Product Launch Brief - PM'!G37="","",'Product Launch Brief - PM'!G37)</f>
        <v/>
      </c>
      <c r="G35" s="147" t="str">
        <f t="shared" si="20"/>
        <v/>
      </c>
      <c r="H35" s="143" t="str">
        <f t="shared" si="21"/>
        <v/>
      </c>
      <c r="I35" s="147" t="str">
        <f>IF('Product Launch Brief - PM'!L37="","",'Product Launch Brief - PM'!L37)</f>
        <v/>
      </c>
      <c r="J35" s="147" t="str">
        <f>IF('Product Launch Brief - PM'!H37="","",'Product Launch Brief - PM'!H37)</f>
        <v/>
      </c>
      <c r="K35" s="148" t="str">
        <f>IF('Product Launch Brief - PM'!E37="","",'Product Launch Brief - PM'!E37)</f>
        <v/>
      </c>
      <c r="L35" s="143" t="str">
        <f>IF('Product Launch Brief - PM'!F37="","",'Product Launch Brief - PM'!F37)</f>
        <v/>
      </c>
      <c r="M35" s="143" t="str" cm="1">
        <f t="array" ref="M35">IF('Product Launch Brief - PM'!T37="","",'Product Launch Brief - PM'!T)</f>
        <v/>
      </c>
      <c r="N35" s="143" t="str">
        <f>IF('Product Launch Brief - PM'!U37="","",'Product Launch Brief - PM'!U37)</f>
        <v/>
      </c>
      <c r="O35" s="143" t="str">
        <f>IF('Product Launch Brief - PM'!V37="","",'Product Launch Brief - PM'!V37)</f>
        <v/>
      </c>
      <c r="P35" s="143" t="str">
        <f>IF(A35="","",'Product Launch Brief - PM'!S37)</f>
        <v/>
      </c>
      <c r="Q35" s="143" t="str">
        <f>IF('Product Launch Brief - PM'!G37="","",'Product Launch Brief - PM'!G37)</f>
        <v/>
      </c>
      <c r="R35" s="149" t="str">
        <f t="shared" si="15"/>
        <v/>
      </c>
      <c r="S35" s="143" t="str">
        <f t="shared" si="16"/>
        <v/>
      </c>
      <c r="T35" s="150" t="str">
        <f>IF('Product Launch Brief - PM'!I37="","",'Product Launch Brief - PM'!I37)</f>
        <v/>
      </c>
      <c r="U35" s="151" t="str">
        <f t="shared" si="17"/>
        <v/>
      </c>
      <c r="V35" s="151" t="str">
        <f t="shared" si="13"/>
        <v/>
      </c>
      <c r="W35" s="145"/>
      <c r="X35" s="143" t="str">
        <f>IF(B35="","",'Product Launch Brief - PM'!R37)</f>
        <v/>
      </c>
      <c r="Y35" s="143" t="str">
        <f t="shared" si="18"/>
        <v/>
      </c>
      <c r="Z35" s="206" t="str">
        <f>IF('Product Launch Brief - PM'!K37="","",'Product Launch Brief - PM'!K37)</f>
        <v/>
      </c>
      <c r="AE35" s="143" t="str">
        <f t="shared" si="23"/>
        <v/>
      </c>
      <c r="AF35" s="143" t="str">
        <f t="shared" si="24"/>
        <v/>
      </c>
      <c r="AG35" s="143" t="str">
        <f>IF('Product Launch Brief - PM'!J37="","",'Product Launch Brief - PM'!J37)</f>
        <v/>
      </c>
      <c r="AH35" s="143" t="str">
        <f t="shared" si="19"/>
        <v/>
      </c>
      <c r="AI35" s="143" t="str">
        <f t="shared" si="22"/>
        <v/>
      </c>
      <c r="AJ35" s="143" t="str" cm="1">
        <f t="array" ref="AJ35">IF('Product Launch Brief - PM'!P37="","",'Product Launch Brief - PM'!P)</f>
        <v/>
      </c>
    </row>
    <row r="36" spans="1:36" s="23" customFormat="1" ht="15">
      <c r="A36" s="23" t="str">
        <f t="shared" si="14"/>
        <v/>
      </c>
      <c r="B36" s="22" t="str">
        <f>IF('Product Launch Brief - PM'!D43="","",'Product Launch Brief - PM'!D43)</f>
        <v/>
      </c>
      <c r="C36" s="24" t="str">
        <f>IF('Withdrawals - PM'!A62="","",'Withdrawals - PM'!B62)</f>
        <v/>
      </c>
      <c r="D36" s="23" t="str">
        <f>IF('Withdrawals - PM'!A62="","",'Withdrawals - PM'!A62)</f>
        <v/>
      </c>
      <c r="E36" s="152" t="str">
        <f>IF('Product Launch Brief - PM'!AB43="","",'Product Launch Brief - PM'!AB43)</f>
        <v/>
      </c>
      <c r="F36" s="23" t="str">
        <f>IF('Product Launch Brief - PM'!G38="","",'Product Launch Brief - PM'!G38)</f>
        <v/>
      </c>
      <c r="G36" s="133" t="str">
        <f t="shared" si="20"/>
        <v/>
      </c>
      <c r="H36" s="23" t="str">
        <f t="shared" si="21"/>
        <v/>
      </c>
      <c r="I36" s="133" t="str">
        <f>IF('Product Launch Brief - PM'!L38="","",'Product Launch Brief - PM'!L38)</f>
        <v/>
      </c>
      <c r="J36" s="133" t="str">
        <f>IF('Product Launch Brief - PM'!H38="","",'Product Launch Brief - PM'!H38)</f>
        <v/>
      </c>
      <c r="K36" s="25" t="str">
        <f>IF('Product Launch Brief - PM'!E38="","",'Product Launch Brief - PM'!E38)</f>
        <v/>
      </c>
      <c r="L36" s="23" t="str">
        <f>IF('Product Launch Brief - PM'!F38="","",'Product Launch Brief - PM'!F38)</f>
        <v/>
      </c>
      <c r="M36" s="23" t="str">
        <f>IF('Product Launch Brief - PM'!T38="","",'Product Launch Brief - PM'!T38)</f>
        <v/>
      </c>
      <c r="N36" s="23" t="str">
        <f>IF('Product Launch Brief - PM'!U38="","",'Product Launch Brief - PM'!U38)</f>
        <v/>
      </c>
      <c r="O36" s="23" t="str">
        <f>IF('Product Launch Brief - PM'!V38="","",'Product Launch Brief - PM'!V38)</f>
        <v/>
      </c>
      <c r="P36" s="23" t="str">
        <f>IF(A36="","",'Product Launch Brief - PM'!S38)</f>
        <v/>
      </c>
      <c r="Q36" s="23" t="str">
        <f>IF('Product Launch Brief - PM'!G38="","",'Product Launch Brief - PM'!G38)</f>
        <v/>
      </c>
      <c r="R36" s="26" t="str">
        <f t="shared" si="15"/>
        <v/>
      </c>
      <c r="S36" s="23" t="str">
        <f t="shared" si="16"/>
        <v/>
      </c>
      <c r="T36" s="136" t="str">
        <f>IF('Product Launch Brief - PM'!I38="","",'Product Launch Brief - PM'!I38)</f>
        <v/>
      </c>
      <c r="U36" s="142" t="str">
        <f t="shared" si="17"/>
        <v/>
      </c>
      <c r="V36" s="142" t="str">
        <f t="shared" si="13"/>
        <v/>
      </c>
      <c r="W36" s="24"/>
      <c r="X36" s="23" t="str">
        <f>IF(B36="","",'Product Launch Brief - PM'!R38)</f>
        <v/>
      </c>
      <c r="Y36" s="23" t="str">
        <f t="shared" si="18"/>
        <v/>
      </c>
      <c r="Z36" s="205" t="str">
        <f>IF('Product Launch Brief - PM'!K38="","",'Product Launch Brief - PM'!K38)</f>
        <v/>
      </c>
      <c r="AE36" s="23" t="str">
        <f t="shared" si="23"/>
        <v/>
      </c>
      <c r="AF36" s="23" t="str">
        <f t="shared" si="24"/>
        <v/>
      </c>
      <c r="AG36" s="23" t="str">
        <f>IF('Product Launch Brief - PM'!J38="","",'Product Launch Brief - PM'!J38)</f>
        <v/>
      </c>
      <c r="AH36" s="23" t="str">
        <f t="shared" si="19"/>
        <v/>
      </c>
      <c r="AI36" s="23" t="str">
        <f t="shared" si="22"/>
        <v/>
      </c>
      <c r="AJ36" s="23" t="str">
        <f>IF('Product Launch Brief - PM'!P38="","",'Product Launch Brief - PM'!P38)</f>
        <v/>
      </c>
    </row>
    <row r="37" spans="1:36" s="143" customFormat="1" ht="15">
      <c r="A37" s="143" t="str">
        <f t="shared" si="14"/>
        <v/>
      </c>
      <c r="B37" s="144" t="str">
        <f>IF('Product Launch Brief - PM'!D44="","",'Product Launch Brief - PM'!D44)</f>
        <v/>
      </c>
      <c r="C37" s="145" t="str">
        <f>IF('Withdrawals - PM'!A63="","",'Withdrawals - PM'!B63)</f>
        <v/>
      </c>
      <c r="D37" s="143" t="str">
        <f>IF('Withdrawals - PM'!A63="","",'Withdrawals - PM'!A63)</f>
        <v/>
      </c>
      <c r="E37" s="146" t="str">
        <f>IF('Product Launch Brief - PM'!AB44="","",'Product Launch Brief - PM'!AB44)</f>
        <v/>
      </c>
      <c r="F37" s="143" t="str">
        <f>IF('Product Launch Brief - PM'!G39="","",'Product Launch Brief - PM'!G39)</f>
        <v/>
      </c>
      <c r="G37" s="147" t="str">
        <f t="shared" si="20"/>
        <v/>
      </c>
      <c r="H37" s="143" t="str">
        <f t="shared" si="21"/>
        <v/>
      </c>
      <c r="I37" s="147" t="str">
        <f>IF('Product Launch Brief - PM'!L39="","",'Product Launch Brief - PM'!L39)</f>
        <v/>
      </c>
      <c r="J37" s="147" t="str">
        <f>IF('Product Launch Brief - PM'!H39="","",'Product Launch Brief - PM'!H39)</f>
        <v/>
      </c>
      <c r="K37" s="148" t="str">
        <f>IF('Product Launch Brief - PM'!E39="","",'Product Launch Brief - PM'!E39)</f>
        <v/>
      </c>
      <c r="L37" s="143" t="str">
        <f>IF('Product Launch Brief - PM'!F39="","",'Product Launch Brief - PM'!F39)</f>
        <v/>
      </c>
      <c r="M37" s="143" t="str" cm="1">
        <f t="array" ref="M37">IF('Product Launch Brief - PM'!T39="","",'Product Launch Brief - PM'!T)</f>
        <v/>
      </c>
      <c r="N37" s="143" t="str">
        <f>IF('Product Launch Brief - PM'!U39="","",'Product Launch Brief - PM'!U39)</f>
        <v/>
      </c>
      <c r="O37" s="143" t="str">
        <f>IF('Product Launch Brief - PM'!V39="","",'Product Launch Brief - PM'!V39)</f>
        <v/>
      </c>
      <c r="P37" s="143" t="str">
        <f>IF(A37="","",'Product Launch Brief - PM'!S39)</f>
        <v/>
      </c>
      <c r="Q37" s="143" t="str">
        <f>IF('Product Launch Brief - PM'!G39="","",'Product Launch Brief - PM'!G39)</f>
        <v/>
      </c>
      <c r="R37" s="149" t="str">
        <f t="shared" si="15"/>
        <v/>
      </c>
      <c r="S37" s="143" t="str">
        <f t="shared" si="16"/>
        <v/>
      </c>
      <c r="T37" s="150" t="str">
        <f>IF('Product Launch Brief - PM'!I39="","",'Product Launch Brief - PM'!I39)</f>
        <v/>
      </c>
      <c r="U37" s="151" t="str">
        <f t="shared" si="17"/>
        <v/>
      </c>
      <c r="V37" s="151" t="str">
        <f t="shared" si="13"/>
        <v/>
      </c>
      <c r="W37" s="145"/>
      <c r="X37" s="143" t="str">
        <f>IF(B37="","",'Product Launch Brief - PM'!R39)</f>
        <v/>
      </c>
      <c r="Y37" s="143" t="str">
        <f t="shared" si="18"/>
        <v/>
      </c>
      <c r="Z37" s="206" t="str">
        <f>IF('Product Launch Brief - PM'!K39="","",'Product Launch Brief - PM'!K39)</f>
        <v/>
      </c>
      <c r="AB37" s="143" t="s">
        <v>32</v>
      </c>
      <c r="AE37" s="143" t="str">
        <f t="shared" si="23"/>
        <v/>
      </c>
      <c r="AF37" s="143" t="str">
        <f t="shared" si="24"/>
        <v/>
      </c>
      <c r="AG37" s="143" t="str">
        <f>IF('Product Launch Brief - PM'!J39="","",'Product Launch Brief - PM'!J39)</f>
        <v/>
      </c>
      <c r="AH37" s="143" t="str">
        <f t="shared" si="19"/>
        <v/>
      </c>
      <c r="AI37" s="143" t="str">
        <f t="shared" si="22"/>
        <v/>
      </c>
      <c r="AJ37" s="143" t="str" cm="1">
        <f t="array" ref="AJ37">IF('Product Launch Brief - PM'!P39="","",'Product Launch Brief - PM'!P)</f>
        <v/>
      </c>
    </row>
    <row r="38" spans="1:36" s="23" customFormat="1" ht="15">
      <c r="A38" s="23" t="str">
        <f t="shared" si="14"/>
        <v/>
      </c>
      <c r="B38" s="22" t="str">
        <f>IF('Product Launch Brief - PM'!D45="","",'Product Launch Brief - PM'!D45)</f>
        <v/>
      </c>
      <c r="C38" s="24" t="str">
        <f>IF('Withdrawals - PM'!A64="","",'Withdrawals - PM'!B64)</f>
        <v/>
      </c>
      <c r="D38" s="23" t="str">
        <f>IF('Withdrawals - PM'!A64="","",'Withdrawals - PM'!A64)</f>
        <v/>
      </c>
      <c r="E38" s="152" t="str">
        <f>IF('Product Launch Brief - PM'!AB45="","",'Product Launch Brief - PM'!AB45)</f>
        <v/>
      </c>
      <c r="F38" s="23" t="str">
        <f>IF('Product Launch Brief - PM'!G40="","",'Product Launch Brief - PM'!G40)</f>
        <v/>
      </c>
      <c r="G38" s="133" t="str">
        <f t="shared" si="20"/>
        <v/>
      </c>
      <c r="H38" s="23" t="str">
        <f t="shared" si="21"/>
        <v/>
      </c>
      <c r="I38" s="133" t="str">
        <f>IF('Product Launch Brief - PM'!L40="","",'Product Launch Brief - PM'!L40)</f>
        <v/>
      </c>
      <c r="J38" s="133" t="str">
        <f>IF('Product Launch Brief - PM'!H40="","",'Product Launch Brief - PM'!H40)</f>
        <v/>
      </c>
      <c r="K38" s="25" t="str">
        <f>IF('Product Launch Brief - PM'!E40="","",'Product Launch Brief - PM'!E40)</f>
        <v/>
      </c>
      <c r="L38" s="23" t="str">
        <f>IF('Product Launch Brief - PM'!F40="","",'Product Launch Brief - PM'!F40)</f>
        <v/>
      </c>
      <c r="M38" s="23" t="str">
        <f>IF('Product Launch Brief - PM'!T40="","",'Product Launch Brief - PM'!T40)</f>
        <v/>
      </c>
      <c r="N38" s="23" t="str">
        <f>IF('Product Launch Brief - PM'!U40="","",'Product Launch Brief - PM'!U40)</f>
        <v/>
      </c>
      <c r="O38" s="23" t="str">
        <f>IF('Product Launch Brief - PM'!V40="","",'Product Launch Brief - PM'!V40)</f>
        <v/>
      </c>
      <c r="P38" s="23" t="str">
        <f>IF(A38="","",'Product Launch Brief - PM'!S40)</f>
        <v/>
      </c>
      <c r="Q38" s="23" t="str">
        <f>IF('Product Launch Brief - PM'!G40="","",'Product Launch Brief - PM'!G40)</f>
        <v/>
      </c>
      <c r="R38" s="26" t="str">
        <f t="shared" si="15"/>
        <v/>
      </c>
      <c r="S38" s="23" t="str">
        <f t="shared" si="16"/>
        <v/>
      </c>
      <c r="T38" s="136" t="str">
        <f>IF('Product Launch Brief - PM'!I40="","",'Product Launch Brief - PM'!I40)</f>
        <v/>
      </c>
      <c r="U38" s="142" t="str">
        <f t="shared" si="17"/>
        <v/>
      </c>
      <c r="V38" s="142" t="str">
        <f t="shared" si="13"/>
        <v/>
      </c>
      <c r="W38" s="24"/>
      <c r="X38" s="23" t="str">
        <f>IF(B38="","",'Product Launch Brief - PM'!R40)</f>
        <v/>
      </c>
      <c r="Y38" s="23" t="str">
        <f t="shared" si="18"/>
        <v/>
      </c>
      <c r="Z38" s="205" t="str">
        <f>IF('Product Launch Brief - PM'!K40="","",'Product Launch Brief - PM'!K40)</f>
        <v/>
      </c>
      <c r="AE38" s="23" t="str">
        <f t="shared" si="23"/>
        <v/>
      </c>
      <c r="AF38" s="23" t="str">
        <f t="shared" si="24"/>
        <v/>
      </c>
      <c r="AG38" s="23" t="str">
        <f>IF('Product Launch Brief - PM'!J40="","",'Product Launch Brief - PM'!J40)</f>
        <v/>
      </c>
      <c r="AH38" s="23" t="str">
        <f t="shared" si="19"/>
        <v/>
      </c>
      <c r="AI38" s="23" t="str">
        <f t="shared" si="22"/>
        <v/>
      </c>
      <c r="AJ38" s="23" t="str">
        <f>IF('Product Launch Brief - PM'!P40="","",'Product Launch Brief - PM'!P40)</f>
        <v/>
      </c>
    </row>
    <row r="39" spans="1:36" s="143" customFormat="1" ht="15">
      <c r="A39" s="143" t="str">
        <f t="shared" si="14"/>
        <v/>
      </c>
      <c r="B39" s="144" t="str">
        <f>IF('Product Launch Brief - PM'!D46="","",'Product Launch Brief - PM'!D46)</f>
        <v/>
      </c>
      <c r="C39" s="145" t="str">
        <f>IF('Withdrawals - PM'!A65="","",'Withdrawals - PM'!B65)</f>
        <v/>
      </c>
      <c r="D39" s="143" t="str">
        <f>IF('Withdrawals - PM'!A65="","",'Withdrawals - PM'!A65)</f>
        <v/>
      </c>
      <c r="E39" s="146" t="str">
        <f>IF('Product Launch Brief - PM'!AB46="","",'Product Launch Brief - PM'!AB46)</f>
        <v/>
      </c>
      <c r="F39" s="143" t="str">
        <f>IF('Product Launch Brief - PM'!G41="","",'Product Launch Brief - PM'!G41)</f>
        <v/>
      </c>
      <c r="G39" s="147" t="str">
        <f t="shared" si="20"/>
        <v/>
      </c>
      <c r="H39" s="143" t="str">
        <f t="shared" si="21"/>
        <v/>
      </c>
      <c r="I39" s="147" t="str">
        <f>IF('Product Launch Brief - PM'!L41="","",'Product Launch Brief - PM'!L41)</f>
        <v/>
      </c>
      <c r="J39" s="147" t="str">
        <f>IF('Product Launch Brief - PM'!H41="","",'Product Launch Brief - PM'!H41)</f>
        <v/>
      </c>
      <c r="K39" s="148" t="str">
        <f>IF('Product Launch Brief - PM'!E41="","",'Product Launch Brief - PM'!E41)</f>
        <v/>
      </c>
      <c r="L39" s="143" t="str">
        <f>IF('Product Launch Brief - PM'!F41="","",'Product Launch Brief - PM'!F41)</f>
        <v/>
      </c>
      <c r="M39" s="143" t="str" cm="1">
        <f t="array" ref="M39">IF('Product Launch Brief - PM'!T41="","",'Product Launch Brief - PM'!T)</f>
        <v/>
      </c>
      <c r="N39" s="143" t="str">
        <f>IF('Product Launch Brief - PM'!U41="","",'Product Launch Brief - PM'!U41)</f>
        <v/>
      </c>
      <c r="O39" s="143" t="str">
        <f>IF('Product Launch Brief - PM'!V41="","",'Product Launch Brief - PM'!V41)</f>
        <v/>
      </c>
      <c r="P39" s="143" t="str">
        <f>IF(A39="","",'Product Launch Brief - PM'!S41)</f>
        <v/>
      </c>
      <c r="Q39" s="143" t="str">
        <f>IF('Product Launch Brief - PM'!G41="","",'Product Launch Brief - PM'!G41)</f>
        <v/>
      </c>
      <c r="R39" s="149" t="str">
        <f t="shared" si="15"/>
        <v/>
      </c>
      <c r="S39" s="143" t="str">
        <f t="shared" si="16"/>
        <v/>
      </c>
      <c r="T39" s="150" t="str">
        <f>IF('Product Launch Brief - PM'!I41="","",'Product Launch Brief - PM'!I41)</f>
        <v/>
      </c>
      <c r="U39" s="151" t="str">
        <f t="shared" si="17"/>
        <v/>
      </c>
      <c r="V39" s="151" t="str">
        <f t="shared" si="13"/>
        <v/>
      </c>
      <c r="W39" s="145"/>
      <c r="X39" s="143" t="str">
        <f>IF(B39="","",'Product Launch Brief - PM'!R41)</f>
        <v/>
      </c>
      <c r="Y39" s="143" t="str">
        <f t="shared" si="18"/>
        <v/>
      </c>
      <c r="Z39" s="206" t="str">
        <f>IF('Product Launch Brief - PM'!K41="","",'Product Launch Brief - PM'!K41)</f>
        <v/>
      </c>
      <c r="AE39" s="143" t="str">
        <f t="shared" si="23"/>
        <v/>
      </c>
      <c r="AF39" s="143" t="str">
        <f t="shared" si="24"/>
        <v/>
      </c>
      <c r="AG39" s="143" t="str">
        <f>IF('Product Launch Brief - PM'!J41="","",'Product Launch Brief - PM'!J41)</f>
        <v/>
      </c>
      <c r="AH39" s="143" t="str">
        <f t="shared" si="19"/>
        <v/>
      </c>
      <c r="AI39" s="143" t="str">
        <f t="shared" si="22"/>
        <v/>
      </c>
      <c r="AJ39" s="143" t="str" cm="1">
        <f t="array" ref="AJ39">IF('Product Launch Brief - PM'!P41="","",'Product Launch Brief - PM'!P)</f>
        <v/>
      </c>
    </row>
    <row r="40" spans="1:36" s="23" customFormat="1" ht="15">
      <c r="A40" s="23" t="str">
        <f t="shared" si="14"/>
        <v/>
      </c>
      <c r="B40" s="22" t="str">
        <f>IF('Product Launch Brief - PM'!D47="","",'Product Launch Brief - PM'!D47)</f>
        <v/>
      </c>
      <c r="C40" s="24" t="str">
        <f>IF('Withdrawals - PM'!A66="","",'Withdrawals - PM'!B66)</f>
        <v/>
      </c>
      <c r="D40" s="23" t="str">
        <f>IF('Withdrawals - PM'!A66="","",'Withdrawals - PM'!A66)</f>
        <v/>
      </c>
      <c r="E40" s="152" t="str">
        <f>IF('Product Launch Brief - PM'!AB47="","",'Product Launch Brief - PM'!AB47)</f>
        <v/>
      </c>
      <c r="F40" s="23" t="str">
        <f>IF('Product Launch Brief - PM'!G42="","",'Product Launch Brief - PM'!G42)</f>
        <v/>
      </c>
      <c r="G40" s="133" t="str">
        <f t="shared" si="20"/>
        <v/>
      </c>
      <c r="H40" s="23" t="str">
        <f t="shared" si="21"/>
        <v/>
      </c>
      <c r="I40" s="133" t="str">
        <f>IF('Product Launch Brief - PM'!L42="","",'Product Launch Brief - PM'!L42)</f>
        <v/>
      </c>
      <c r="J40" s="133" t="str">
        <f>IF('Product Launch Brief - PM'!H42="","",'Product Launch Brief - PM'!H42)</f>
        <v/>
      </c>
      <c r="K40" s="25" t="str">
        <f>IF('Product Launch Brief - PM'!E42="","",'Product Launch Brief - PM'!E42)</f>
        <v/>
      </c>
      <c r="L40" s="23" t="str">
        <f>IF('Product Launch Brief - PM'!F42="","",'Product Launch Brief - PM'!F42)</f>
        <v/>
      </c>
      <c r="M40" s="23" t="str">
        <f>IF('Product Launch Brief - PM'!T42="","",'Product Launch Brief - PM'!T42)</f>
        <v/>
      </c>
      <c r="N40" s="23" t="str">
        <f>IF('Product Launch Brief - PM'!U42="","",'Product Launch Brief - PM'!U42)</f>
        <v/>
      </c>
      <c r="O40" s="23" t="str">
        <f>IF('Product Launch Brief - PM'!V42="","",'Product Launch Brief - PM'!V42)</f>
        <v/>
      </c>
      <c r="P40" s="23" t="str">
        <f>IF(A40="","",'Product Launch Brief - PM'!S42)</f>
        <v/>
      </c>
      <c r="Q40" s="23" t="str">
        <f>IF('Product Launch Brief - PM'!G42="","",'Product Launch Brief - PM'!G42)</f>
        <v/>
      </c>
      <c r="R40" s="26" t="str">
        <f t="shared" si="15"/>
        <v/>
      </c>
      <c r="S40" s="23" t="str">
        <f t="shared" si="16"/>
        <v/>
      </c>
      <c r="T40" s="136" t="str">
        <f>IF('Product Launch Brief - PM'!I42="","",'Product Launch Brief - PM'!I42)</f>
        <v/>
      </c>
      <c r="U40" s="142" t="str">
        <f t="shared" si="17"/>
        <v/>
      </c>
      <c r="V40" s="142" t="str">
        <f t="shared" si="13"/>
        <v/>
      </c>
      <c r="W40" s="24"/>
      <c r="X40" s="23" t="str">
        <f>IF(B40="","",'Product Launch Brief - PM'!R42)</f>
        <v/>
      </c>
      <c r="Y40" s="23" t="str">
        <f t="shared" si="18"/>
        <v/>
      </c>
      <c r="Z40" s="205" t="str">
        <f>IF('Product Launch Brief - PM'!K42="","",'Product Launch Brief - PM'!K42)</f>
        <v/>
      </c>
      <c r="AE40" s="23" t="str">
        <f t="shared" si="23"/>
        <v/>
      </c>
      <c r="AF40" s="23" t="str">
        <f t="shared" si="24"/>
        <v/>
      </c>
      <c r="AG40" s="23" t="str">
        <f>IF('Product Launch Brief - PM'!J42="","",'Product Launch Brief - PM'!J42)</f>
        <v/>
      </c>
      <c r="AH40" s="23" t="str">
        <f t="shared" si="19"/>
        <v/>
      </c>
      <c r="AI40" s="23" t="str">
        <f t="shared" si="22"/>
        <v/>
      </c>
      <c r="AJ40" s="23" t="str">
        <f>IF('Product Launch Brief - PM'!P42="","",'Product Launch Brief - PM'!P42)</f>
        <v/>
      </c>
    </row>
    <row r="41" spans="1:36" s="143" customFormat="1" ht="15">
      <c r="A41" s="143" t="str">
        <f t="shared" si="14"/>
        <v/>
      </c>
      <c r="B41" s="144" t="str">
        <f>IF('Product Launch Brief - PM'!D48="","",'Product Launch Brief - PM'!D48)</f>
        <v/>
      </c>
      <c r="C41" s="145" t="str">
        <f>IF('Withdrawals - PM'!A67="","",'Withdrawals - PM'!B67)</f>
        <v/>
      </c>
      <c r="D41" s="143" t="str">
        <f>IF('Withdrawals - PM'!A67="","",'Withdrawals - PM'!A67)</f>
        <v/>
      </c>
      <c r="E41" s="146" t="str">
        <f>IF('Product Launch Brief - PM'!AB48="","",'Product Launch Brief - PM'!AB48)</f>
        <v/>
      </c>
      <c r="F41" s="143" t="str">
        <f>IF('Product Launch Brief - PM'!G43="","",'Product Launch Brief - PM'!G43)</f>
        <v/>
      </c>
      <c r="G41" s="147" t="str">
        <f t="shared" si="20"/>
        <v/>
      </c>
      <c r="H41" s="143" t="str">
        <f t="shared" si="21"/>
        <v/>
      </c>
      <c r="I41" s="147" t="str">
        <f>IF('Product Launch Brief - PM'!L43="","",'Product Launch Brief - PM'!L43)</f>
        <v/>
      </c>
      <c r="J41" s="147" t="str">
        <f>IF('Product Launch Brief - PM'!H43="","",'Product Launch Brief - PM'!H43)</f>
        <v/>
      </c>
      <c r="K41" s="148" t="str">
        <f>IF('Product Launch Brief - PM'!E43="","",'Product Launch Brief - PM'!E43)</f>
        <v/>
      </c>
      <c r="L41" s="143" t="str">
        <f>IF('Product Launch Brief - PM'!F43="","",'Product Launch Brief - PM'!F43)</f>
        <v/>
      </c>
      <c r="M41" s="143" t="str" cm="1">
        <f t="array" ref="M41">IF('Product Launch Brief - PM'!T43="","",'Product Launch Brief - PM'!T)</f>
        <v/>
      </c>
      <c r="N41" s="143" t="str">
        <f>IF('Product Launch Brief - PM'!U43="","",'Product Launch Brief - PM'!U43)</f>
        <v/>
      </c>
      <c r="O41" s="143" t="str">
        <f>IF('Product Launch Brief - PM'!V43="","",'Product Launch Brief - PM'!V43)</f>
        <v/>
      </c>
      <c r="P41" s="143" t="str">
        <f>IF(A41="","",'Product Launch Brief - PM'!S43)</f>
        <v/>
      </c>
      <c r="Q41" s="143" t="str">
        <f>IF('Product Launch Brief - PM'!G43="","",'Product Launch Brief - PM'!G43)</f>
        <v/>
      </c>
      <c r="R41" s="149" t="str">
        <f t="shared" si="15"/>
        <v/>
      </c>
      <c r="S41" s="143" t="str">
        <f t="shared" si="16"/>
        <v/>
      </c>
      <c r="T41" s="150" t="str">
        <f>IF('Product Launch Brief - PM'!I43="","",'Product Launch Brief - PM'!I43)</f>
        <v/>
      </c>
      <c r="U41" s="151" t="str">
        <f t="shared" si="17"/>
        <v/>
      </c>
      <c r="V41" s="151" t="str">
        <f t="shared" si="13"/>
        <v/>
      </c>
      <c r="W41" s="145"/>
      <c r="X41" s="143" t="str">
        <f>IF(B41="","",'Product Launch Brief - PM'!R43)</f>
        <v/>
      </c>
      <c r="Y41" s="143" t="str">
        <f t="shared" si="18"/>
        <v/>
      </c>
      <c r="Z41" s="206" t="str">
        <f>IF('Product Launch Brief - PM'!K43="","",'Product Launch Brief - PM'!K43)</f>
        <v/>
      </c>
      <c r="AE41" s="143" t="str">
        <f t="shared" si="23"/>
        <v/>
      </c>
      <c r="AF41" s="143" t="str">
        <f t="shared" si="24"/>
        <v/>
      </c>
      <c r="AG41" s="143" t="str">
        <f>IF('Product Launch Brief - PM'!J43="","",'Product Launch Brief - PM'!J43)</f>
        <v/>
      </c>
      <c r="AH41" s="143" t="str">
        <f t="shared" si="19"/>
        <v/>
      </c>
      <c r="AI41" s="143" t="str">
        <f t="shared" si="22"/>
        <v/>
      </c>
      <c r="AJ41" s="143" t="str" cm="1">
        <f t="array" ref="AJ41">IF('Product Launch Brief - PM'!P43="","",'Product Launch Brief - PM'!P)</f>
        <v/>
      </c>
    </row>
    <row r="42" spans="1:36" s="23" customFormat="1" ht="15">
      <c r="A42" s="23" t="str">
        <f t="shared" si="14"/>
        <v/>
      </c>
      <c r="B42" s="22" t="str">
        <f>IF('Product Launch Brief - PM'!D49="","",'Product Launch Brief - PM'!D49)</f>
        <v/>
      </c>
      <c r="C42" s="24" t="str">
        <f>IF('Withdrawals - PM'!A68="","",'Withdrawals - PM'!B68)</f>
        <v/>
      </c>
      <c r="D42" s="23" t="str">
        <f>IF('Withdrawals - PM'!A68="","",'Withdrawals - PM'!A68)</f>
        <v/>
      </c>
      <c r="E42" s="152" t="str">
        <f>IF('Product Launch Brief - PM'!AB49="","",'Product Launch Brief - PM'!AB49)</f>
        <v/>
      </c>
      <c r="F42" s="23" t="str">
        <f>IF('Product Launch Brief - PM'!G44="","",'Product Launch Brief - PM'!G44)</f>
        <v/>
      </c>
      <c r="G42" s="133" t="str">
        <f t="shared" si="20"/>
        <v/>
      </c>
      <c r="H42" s="23" t="str">
        <f t="shared" si="21"/>
        <v/>
      </c>
      <c r="I42" s="133" t="str">
        <f>IF('Product Launch Brief - PM'!L44="","",'Product Launch Brief - PM'!L44)</f>
        <v/>
      </c>
      <c r="J42" s="133" t="str">
        <f>IF('Product Launch Brief - PM'!H44="","",'Product Launch Brief - PM'!H44)</f>
        <v/>
      </c>
      <c r="K42" s="25" t="str">
        <f>IF('Product Launch Brief - PM'!E44="","",'Product Launch Brief - PM'!E44)</f>
        <v/>
      </c>
      <c r="L42" s="23" t="str">
        <f>IF('Product Launch Brief - PM'!F44="","",'Product Launch Brief - PM'!F44)</f>
        <v/>
      </c>
      <c r="M42" s="23" t="str">
        <f>IF('Product Launch Brief - PM'!T44="","",'Product Launch Brief - PM'!T44)</f>
        <v/>
      </c>
      <c r="N42" s="23" t="str">
        <f>IF('Product Launch Brief - PM'!U44="","",'Product Launch Brief - PM'!U44)</f>
        <v/>
      </c>
      <c r="O42" s="23" t="str">
        <f>IF('Product Launch Brief - PM'!V44="","",'Product Launch Brief - PM'!V44)</f>
        <v/>
      </c>
      <c r="P42" s="23" t="str">
        <f>IF(A42="","",'Product Launch Brief - PM'!S44)</f>
        <v/>
      </c>
      <c r="Q42" s="23" t="str">
        <f>IF('Product Launch Brief - PM'!G44="","",'Product Launch Brief - PM'!G44)</f>
        <v/>
      </c>
      <c r="R42" s="26" t="str">
        <f t="shared" si="15"/>
        <v/>
      </c>
      <c r="S42" s="23" t="str">
        <f t="shared" si="16"/>
        <v/>
      </c>
      <c r="T42" s="136" t="str">
        <f>IF('Product Launch Brief - PM'!I44="","",'Product Launch Brief - PM'!I44)</f>
        <v/>
      </c>
      <c r="U42" s="142" t="str">
        <f t="shared" si="17"/>
        <v/>
      </c>
      <c r="V42" s="142" t="str">
        <f t="shared" si="13"/>
        <v/>
      </c>
      <c r="W42" s="24"/>
      <c r="X42" s="23" t="str">
        <f>IF(B42="","",'Product Launch Brief - PM'!R44)</f>
        <v/>
      </c>
      <c r="Y42" s="23" t="str">
        <f t="shared" si="18"/>
        <v/>
      </c>
      <c r="Z42" s="205" t="str">
        <f>IF('Product Launch Brief - PM'!K44="","",'Product Launch Brief - PM'!K44)</f>
        <v/>
      </c>
      <c r="AE42" s="23" t="str">
        <f t="shared" si="23"/>
        <v/>
      </c>
      <c r="AF42" s="23" t="str">
        <f t="shared" si="24"/>
        <v/>
      </c>
      <c r="AG42" s="23" t="str">
        <f>IF('Product Launch Brief - PM'!J44="","",'Product Launch Brief - PM'!J44)</f>
        <v/>
      </c>
      <c r="AH42" s="23" t="str">
        <f t="shared" si="19"/>
        <v/>
      </c>
      <c r="AI42" s="23" t="str">
        <f t="shared" si="22"/>
        <v/>
      </c>
      <c r="AJ42" s="23" t="str">
        <f>IF('Product Launch Brief - PM'!P44="","",'Product Launch Brief - PM'!P44)</f>
        <v/>
      </c>
    </row>
    <row r="43" spans="1:36" s="143" customFormat="1" ht="15">
      <c r="A43" s="143" t="str">
        <f t="shared" si="14"/>
        <v/>
      </c>
      <c r="B43" s="144" t="str">
        <f>IF('Product Launch Brief - PM'!D50="","",'Product Launch Brief - PM'!D50)</f>
        <v/>
      </c>
      <c r="C43" s="145" t="str">
        <f>IF('Withdrawals - PM'!A69="","",'Withdrawals - PM'!B69)</f>
        <v/>
      </c>
      <c r="D43" s="143" t="str">
        <f>IF('Withdrawals - PM'!A69="","",'Withdrawals - PM'!A69)</f>
        <v/>
      </c>
      <c r="E43" s="146" t="str">
        <f>IF('Product Launch Brief - PM'!AB50="","",'Product Launch Brief - PM'!AB50)</f>
        <v/>
      </c>
      <c r="F43" s="143" t="str">
        <f>IF('Product Launch Brief - PM'!G45="","",'Product Launch Brief - PM'!G45)</f>
        <v/>
      </c>
      <c r="G43" s="147" t="str">
        <f t="shared" si="20"/>
        <v/>
      </c>
      <c r="H43" s="143" t="str">
        <f t="shared" si="21"/>
        <v/>
      </c>
      <c r="I43" s="147" t="str">
        <f>IF('Product Launch Brief - PM'!L45="","",'Product Launch Brief - PM'!L45)</f>
        <v/>
      </c>
      <c r="J43" s="147" t="str">
        <f>IF('Product Launch Brief - PM'!H45="","",'Product Launch Brief - PM'!H45)</f>
        <v/>
      </c>
      <c r="K43" s="148" t="str">
        <f>IF('Product Launch Brief - PM'!E45="","",'Product Launch Brief - PM'!E45)</f>
        <v/>
      </c>
      <c r="L43" s="143" t="str">
        <f>IF('Product Launch Brief - PM'!F45="","",'Product Launch Brief - PM'!F45)</f>
        <v/>
      </c>
      <c r="M43" s="143" t="str" cm="1">
        <f t="array" ref="M43">IF('Product Launch Brief - PM'!T45="","",'Product Launch Brief - PM'!T)</f>
        <v/>
      </c>
      <c r="N43" s="143" t="str">
        <f>IF('Product Launch Brief - PM'!U45="","",'Product Launch Brief - PM'!U45)</f>
        <v/>
      </c>
      <c r="O43" s="143" t="str">
        <f>IF('Product Launch Brief - PM'!V45="","",'Product Launch Brief - PM'!V45)</f>
        <v/>
      </c>
      <c r="P43" s="143" t="str">
        <f>IF(A43="","",'Product Launch Brief - PM'!S45)</f>
        <v/>
      </c>
      <c r="Q43" s="143" t="str">
        <f>IF('Product Launch Brief - PM'!G45="","",'Product Launch Brief - PM'!G45)</f>
        <v/>
      </c>
      <c r="R43" s="149" t="str">
        <f t="shared" si="15"/>
        <v/>
      </c>
      <c r="S43" s="143" t="str">
        <f t="shared" si="16"/>
        <v/>
      </c>
      <c r="T43" s="150" t="str">
        <f>IF('Product Launch Brief - PM'!I45="","",'Product Launch Brief - PM'!I45)</f>
        <v/>
      </c>
      <c r="U43" s="151" t="str">
        <f t="shared" si="17"/>
        <v/>
      </c>
      <c r="V43" s="151" t="str">
        <f t="shared" si="13"/>
        <v/>
      </c>
      <c r="W43" s="145"/>
      <c r="X43" s="143" t="str">
        <f>IF(B43="","",'Product Launch Brief - PM'!R45)</f>
        <v/>
      </c>
      <c r="Y43" s="143" t="str">
        <f t="shared" si="18"/>
        <v/>
      </c>
      <c r="Z43" s="206" t="str">
        <f>IF('Product Launch Brief - PM'!K45="","",'Product Launch Brief - PM'!K45)</f>
        <v/>
      </c>
      <c r="AE43" s="143" t="str">
        <f t="shared" si="23"/>
        <v/>
      </c>
      <c r="AF43" s="143" t="str">
        <f t="shared" si="24"/>
        <v/>
      </c>
      <c r="AG43" s="143" t="str">
        <f>IF('Product Launch Brief - PM'!J45="","",'Product Launch Brief - PM'!J45)</f>
        <v/>
      </c>
      <c r="AH43" s="143" t="str">
        <f t="shared" si="19"/>
        <v/>
      </c>
      <c r="AI43" s="143" t="str">
        <f t="shared" si="22"/>
        <v/>
      </c>
      <c r="AJ43" s="143" t="str" cm="1">
        <f t="array" ref="AJ43">IF('Product Launch Brief - PM'!P45="","",'Product Launch Brief - PM'!P)</f>
        <v/>
      </c>
    </row>
    <row r="44" spans="1:36" s="23" customFormat="1" ht="15">
      <c r="A44" s="23" t="str">
        <f t="shared" si="14"/>
        <v/>
      </c>
      <c r="B44" s="22" t="str">
        <f>IF('Product Launch Brief - PM'!D51="","",'Product Launch Brief - PM'!D51)</f>
        <v/>
      </c>
      <c r="C44" s="24" t="str">
        <f>IF('Withdrawals - PM'!A70="","",'Withdrawals - PM'!B70)</f>
        <v/>
      </c>
      <c r="D44" s="23" t="str">
        <f>IF('Withdrawals - PM'!A70="","",'Withdrawals - PM'!A70)</f>
        <v/>
      </c>
      <c r="E44" s="152" t="str">
        <f>IF('Product Launch Brief - PM'!AB51="","",'Product Launch Brief - PM'!AB51)</f>
        <v/>
      </c>
      <c r="F44" s="23" t="str">
        <f>IF('Product Launch Brief - PM'!G46="","",'Product Launch Brief - PM'!G46)</f>
        <v/>
      </c>
      <c r="G44" s="133" t="str">
        <f t="shared" si="20"/>
        <v/>
      </c>
      <c r="H44" s="23" t="str">
        <f t="shared" si="21"/>
        <v/>
      </c>
      <c r="I44" s="133" t="str">
        <f>IF('Product Launch Brief - PM'!L46="","",'Product Launch Brief - PM'!L46)</f>
        <v/>
      </c>
      <c r="J44" s="133" t="str">
        <f>IF('Product Launch Brief - PM'!H46="","",'Product Launch Brief - PM'!H46)</f>
        <v/>
      </c>
      <c r="K44" s="25" t="str">
        <f>IF('Product Launch Brief - PM'!E46="","",'Product Launch Brief - PM'!E46)</f>
        <v/>
      </c>
      <c r="L44" s="23" t="str">
        <f>IF('Product Launch Brief - PM'!F46="","",'Product Launch Brief - PM'!F46)</f>
        <v/>
      </c>
      <c r="M44" s="23" t="str">
        <f>IF('Product Launch Brief - PM'!T46="","",'Product Launch Brief - PM'!T46)</f>
        <v/>
      </c>
      <c r="N44" s="23" t="str">
        <f>IF('Product Launch Brief - PM'!U46="","",'Product Launch Brief - PM'!U46)</f>
        <v/>
      </c>
      <c r="O44" s="23" t="str">
        <f>IF('Product Launch Brief - PM'!V46="","",'Product Launch Brief - PM'!V46)</f>
        <v/>
      </c>
      <c r="P44" s="23" t="str">
        <f>IF(A44="","",'Product Launch Brief - PM'!S46)</f>
        <v/>
      </c>
      <c r="Q44" s="23" t="str">
        <f>IF('Product Launch Brief - PM'!G46="","",'Product Launch Brief - PM'!G46)</f>
        <v/>
      </c>
      <c r="R44" s="26" t="str">
        <f t="shared" si="15"/>
        <v/>
      </c>
      <c r="S44" s="23" t="str">
        <f t="shared" si="16"/>
        <v/>
      </c>
      <c r="T44" s="136" t="str">
        <f>IF('Product Launch Brief - PM'!I46="","",'Product Launch Brief - PM'!I46)</f>
        <v/>
      </c>
      <c r="U44" s="142" t="str">
        <f t="shared" si="17"/>
        <v/>
      </c>
      <c r="V44" s="142" t="str">
        <f t="shared" si="13"/>
        <v/>
      </c>
      <c r="W44" s="24"/>
      <c r="X44" s="23" t="str">
        <f>IF(B44="","",'Product Launch Brief - PM'!R46)</f>
        <v/>
      </c>
      <c r="Y44" s="23" t="str">
        <f t="shared" si="18"/>
        <v/>
      </c>
      <c r="Z44" s="205" t="str">
        <f>IF('Product Launch Brief - PM'!K46="","",'Product Launch Brief - PM'!K46)</f>
        <v/>
      </c>
      <c r="AE44" s="23" t="str">
        <f t="shared" si="23"/>
        <v/>
      </c>
      <c r="AF44" s="23" t="str">
        <f t="shared" si="24"/>
        <v/>
      </c>
      <c r="AG44" s="23" t="str">
        <f>IF('Product Launch Brief - PM'!J46="","",'Product Launch Brief - PM'!J46)</f>
        <v/>
      </c>
      <c r="AH44" s="23" t="str">
        <f t="shared" si="19"/>
        <v/>
      </c>
      <c r="AI44" s="23" t="str">
        <f t="shared" si="22"/>
        <v/>
      </c>
      <c r="AJ44" s="23" t="str">
        <f>IF('Product Launch Brief - PM'!P46="","",'Product Launch Brief - PM'!P46)</f>
        <v/>
      </c>
    </row>
    <row r="45" spans="1:36" s="143" customFormat="1" ht="15">
      <c r="A45" s="143" t="str">
        <f t="shared" si="14"/>
        <v/>
      </c>
      <c r="B45" s="144" t="str">
        <f>IF('Product Launch Brief - PM'!D52="","",'Product Launch Brief - PM'!D52)</f>
        <v/>
      </c>
      <c r="C45" s="145" t="str">
        <f>IF('Withdrawals - PM'!A71="","",'Withdrawals - PM'!B71)</f>
        <v/>
      </c>
      <c r="D45" s="143" t="str">
        <f>IF('Withdrawals - PM'!A71="","",'Withdrawals - PM'!A71)</f>
        <v/>
      </c>
      <c r="E45" s="146" t="str">
        <f>IF('Product Launch Brief - PM'!AB52="","",'Product Launch Brief - PM'!AB52)</f>
        <v/>
      </c>
      <c r="F45" s="143" t="str">
        <f>IF('Product Launch Brief - PM'!G47="","",'Product Launch Brief - PM'!G47)</f>
        <v/>
      </c>
      <c r="G45" s="147" t="str">
        <f t="shared" si="20"/>
        <v/>
      </c>
      <c r="H45" s="143" t="str">
        <f t="shared" si="21"/>
        <v/>
      </c>
      <c r="I45" s="147" t="str">
        <f>IF('Product Launch Brief - PM'!L47="","",'Product Launch Brief - PM'!L47)</f>
        <v/>
      </c>
      <c r="J45" s="147" t="str">
        <f>IF('Product Launch Brief - PM'!H47="","",'Product Launch Brief - PM'!H47)</f>
        <v/>
      </c>
      <c r="K45" s="148" t="str">
        <f>IF('Product Launch Brief - PM'!E47="","",'Product Launch Brief - PM'!E47)</f>
        <v/>
      </c>
      <c r="L45" s="143" t="str">
        <f>IF('Product Launch Brief - PM'!F47="","",'Product Launch Brief - PM'!F47)</f>
        <v/>
      </c>
      <c r="M45" s="143" t="str" cm="1">
        <f t="array" ref="M45">IF('Product Launch Brief - PM'!T47="","",'Product Launch Brief - PM'!T)</f>
        <v/>
      </c>
      <c r="N45" s="143" t="str">
        <f>IF('Product Launch Brief - PM'!U47="","",'Product Launch Brief - PM'!U47)</f>
        <v/>
      </c>
      <c r="O45" s="143" t="str">
        <f>IF('Product Launch Brief - PM'!V47="","",'Product Launch Brief - PM'!V47)</f>
        <v/>
      </c>
      <c r="P45" s="143" t="str">
        <f>IF(A45="","",'Product Launch Brief - PM'!S47)</f>
        <v/>
      </c>
      <c r="Q45" s="143" t="str">
        <f>IF('Product Launch Brief - PM'!G47="","",'Product Launch Brief - PM'!G47)</f>
        <v/>
      </c>
      <c r="R45" s="149" t="str">
        <f t="shared" si="15"/>
        <v/>
      </c>
      <c r="S45" s="143" t="str">
        <f t="shared" si="16"/>
        <v/>
      </c>
      <c r="T45" s="150" t="str">
        <f>IF('Product Launch Brief - PM'!I47="","",'Product Launch Brief - PM'!I47)</f>
        <v/>
      </c>
      <c r="U45" s="151" t="str">
        <f t="shared" si="17"/>
        <v/>
      </c>
      <c r="V45" s="151" t="str">
        <f t="shared" si="13"/>
        <v/>
      </c>
      <c r="W45" s="145"/>
      <c r="X45" s="143" t="str">
        <f>IF(B45="","",'Product Launch Brief - PM'!R47)</f>
        <v/>
      </c>
      <c r="Y45" s="143" t="str">
        <f t="shared" si="18"/>
        <v/>
      </c>
      <c r="Z45" s="206" t="str">
        <f>IF('Product Launch Brief - PM'!K47="","",'Product Launch Brief - PM'!K47)</f>
        <v/>
      </c>
      <c r="AE45" s="143" t="str">
        <f t="shared" si="23"/>
        <v/>
      </c>
      <c r="AF45" s="143" t="str">
        <f t="shared" si="24"/>
        <v/>
      </c>
      <c r="AG45" s="143" t="str">
        <f>IF('Product Launch Brief - PM'!J47="","",'Product Launch Brief - PM'!J47)</f>
        <v/>
      </c>
      <c r="AH45" s="143" t="str">
        <f t="shared" si="19"/>
        <v/>
      </c>
      <c r="AI45" s="143" t="str">
        <f t="shared" si="22"/>
        <v/>
      </c>
      <c r="AJ45" s="143" t="str" cm="1">
        <f t="array" ref="AJ45">IF('Product Launch Brief - PM'!P47="","",'Product Launch Brief - PM'!P)</f>
        <v/>
      </c>
    </row>
    <row r="46" spans="1:36" s="23" customFormat="1" ht="15">
      <c r="A46" s="23" t="str">
        <f t="shared" si="14"/>
        <v/>
      </c>
      <c r="B46" s="22" t="str">
        <f>IF('Product Launch Brief - PM'!D53="","",'Product Launch Brief - PM'!D53)</f>
        <v/>
      </c>
      <c r="C46" s="24" t="str">
        <f>IF('Withdrawals - PM'!A72="","",'Withdrawals - PM'!B72)</f>
        <v/>
      </c>
      <c r="D46" s="23" t="str">
        <f>IF('Withdrawals - PM'!A72="","",'Withdrawals - PM'!A72)</f>
        <v/>
      </c>
      <c r="E46" s="152" t="str">
        <f>IF('Product Launch Brief - PM'!AB53="","",'Product Launch Brief - PM'!AB53)</f>
        <v/>
      </c>
      <c r="F46" s="23" t="str">
        <f>IF('Product Launch Brief - PM'!G48="","",'Product Launch Brief - PM'!G48)</f>
        <v/>
      </c>
      <c r="G46" s="133" t="str">
        <f t="shared" si="20"/>
        <v/>
      </c>
      <c r="H46" s="23" t="str">
        <f t="shared" si="21"/>
        <v/>
      </c>
      <c r="I46" s="133" t="str">
        <f>IF('Product Launch Brief - PM'!L48="","",'Product Launch Brief - PM'!L48)</f>
        <v/>
      </c>
      <c r="J46" s="133" t="str">
        <f>IF('Product Launch Brief - PM'!H48="","",'Product Launch Brief - PM'!H48)</f>
        <v/>
      </c>
      <c r="K46" s="25" t="str">
        <f>IF('Product Launch Brief - PM'!E48="","",'Product Launch Brief - PM'!E48)</f>
        <v/>
      </c>
      <c r="L46" s="23" t="str">
        <f>IF('Product Launch Brief - PM'!F48="","",'Product Launch Brief - PM'!F48)</f>
        <v/>
      </c>
      <c r="M46" s="23" t="str">
        <f>IF('Product Launch Brief - PM'!T48="","",'Product Launch Brief - PM'!T48)</f>
        <v/>
      </c>
      <c r="N46" s="23" t="str">
        <f>IF('Product Launch Brief - PM'!U48="","",'Product Launch Brief - PM'!U48)</f>
        <v/>
      </c>
      <c r="O46" s="23" t="str">
        <f>IF('Product Launch Brief - PM'!V48="","",'Product Launch Brief - PM'!V48)</f>
        <v/>
      </c>
      <c r="P46" s="23" t="str">
        <f>IF(A46="","",'Product Launch Brief - PM'!S48)</f>
        <v/>
      </c>
      <c r="Q46" s="23" t="str">
        <f>IF('Product Launch Brief - PM'!G48="","",'Product Launch Brief - PM'!G48)</f>
        <v/>
      </c>
      <c r="R46" s="26" t="str">
        <f t="shared" si="15"/>
        <v/>
      </c>
      <c r="S46" s="23" t="str">
        <f t="shared" si="16"/>
        <v/>
      </c>
      <c r="T46" s="136" t="str">
        <f>IF('Product Launch Brief - PM'!I48="","",'Product Launch Brief - PM'!I48)</f>
        <v/>
      </c>
      <c r="U46" s="142" t="str">
        <f t="shared" si="17"/>
        <v/>
      </c>
      <c r="V46" s="142" t="str">
        <f t="shared" si="13"/>
        <v/>
      </c>
      <c r="W46" s="24"/>
      <c r="X46" s="23" t="str">
        <f>IF(B46="","",'Product Launch Brief - PM'!R48)</f>
        <v/>
      </c>
      <c r="Y46" s="23" t="str">
        <f t="shared" si="18"/>
        <v/>
      </c>
      <c r="Z46" s="205" t="str">
        <f>IF('Product Launch Brief - PM'!K48="","",'Product Launch Brief - PM'!K48)</f>
        <v/>
      </c>
      <c r="AE46" s="23" t="str">
        <f t="shared" si="23"/>
        <v/>
      </c>
      <c r="AF46" s="23" t="str">
        <f t="shared" si="24"/>
        <v/>
      </c>
      <c r="AG46" s="23" t="str">
        <f>IF('Product Launch Brief - PM'!J48="","",'Product Launch Brief - PM'!J48)</f>
        <v/>
      </c>
      <c r="AH46" s="23" t="str">
        <f t="shared" si="19"/>
        <v/>
      </c>
      <c r="AI46" s="23" t="str">
        <f t="shared" si="22"/>
        <v/>
      </c>
      <c r="AJ46" s="23" t="str">
        <f>IF('Product Launch Brief - PM'!P48="","",'Product Launch Brief - PM'!P48)</f>
        <v/>
      </c>
    </row>
    <row r="47" spans="1:36" s="143" customFormat="1" ht="15">
      <c r="A47" s="143" t="str">
        <f t="shared" si="14"/>
        <v/>
      </c>
      <c r="B47" s="144" t="str">
        <f>IF('Product Launch Brief - PM'!D54="","",'Product Launch Brief - PM'!D54)</f>
        <v/>
      </c>
      <c r="C47" s="145" t="str">
        <f>IF('Withdrawals - PM'!A73="","",'Withdrawals - PM'!B73)</f>
        <v/>
      </c>
      <c r="D47" s="143" t="str">
        <f>IF('Withdrawals - PM'!A73="","",'Withdrawals - PM'!A73)</f>
        <v/>
      </c>
      <c r="E47" s="146" t="str">
        <f>IF('Product Launch Brief - PM'!AB54="","",'Product Launch Brief - PM'!AB54)</f>
        <v/>
      </c>
      <c r="F47" s="143" t="str">
        <f>IF('Product Launch Brief - PM'!G49="","",'Product Launch Brief - PM'!G49)</f>
        <v/>
      </c>
      <c r="G47" s="147" t="str">
        <f t="shared" si="20"/>
        <v/>
      </c>
      <c r="H47" s="143" t="str">
        <f t="shared" si="21"/>
        <v/>
      </c>
      <c r="I47" s="147" t="str">
        <f>IF('Product Launch Brief - PM'!L49="","",'Product Launch Brief - PM'!L49)</f>
        <v/>
      </c>
      <c r="J47" s="147" t="str">
        <f>IF('Product Launch Brief - PM'!H49="","",'Product Launch Brief - PM'!H49)</f>
        <v/>
      </c>
      <c r="K47" s="148" t="str">
        <f>IF('Product Launch Brief - PM'!E49="","",'Product Launch Brief - PM'!E49)</f>
        <v/>
      </c>
      <c r="L47" s="143" t="str">
        <f>IF('Product Launch Brief - PM'!F49="","",'Product Launch Brief - PM'!F49)</f>
        <v/>
      </c>
      <c r="M47" s="143" t="str" cm="1">
        <f t="array" ref="M47">IF('Product Launch Brief - PM'!T49="","",'Product Launch Brief - PM'!T)</f>
        <v/>
      </c>
      <c r="N47" s="143" t="str">
        <f>IF('Product Launch Brief - PM'!U49="","",'Product Launch Brief - PM'!U49)</f>
        <v/>
      </c>
      <c r="O47" s="143" t="str">
        <f>IF('Product Launch Brief - PM'!V49="","",'Product Launch Brief - PM'!V49)</f>
        <v/>
      </c>
      <c r="P47" s="143" t="str">
        <f>IF(A47="","",'Product Launch Brief - PM'!S49)</f>
        <v/>
      </c>
      <c r="Q47" s="143" t="str">
        <f>IF('Product Launch Brief - PM'!G49="","",'Product Launch Brief - PM'!G49)</f>
        <v/>
      </c>
      <c r="R47" s="149" t="str">
        <f t="shared" si="15"/>
        <v/>
      </c>
      <c r="S47" s="143" t="str">
        <f t="shared" si="16"/>
        <v/>
      </c>
      <c r="T47" s="150" t="str">
        <f>IF('Product Launch Brief - PM'!I49="","",'Product Launch Brief - PM'!I49)</f>
        <v/>
      </c>
      <c r="U47" s="151" t="str">
        <f t="shared" si="17"/>
        <v/>
      </c>
      <c r="V47" s="151" t="str">
        <f t="shared" si="13"/>
        <v/>
      </c>
      <c r="W47" s="145"/>
      <c r="X47" s="143" t="str">
        <f>IF(B47="","",'Product Launch Brief - PM'!R49)</f>
        <v/>
      </c>
      <c r="Y47" s="143" t="str">
        <f t="shared" si="18"/>
        <v/>
      </c>
      <c r="Z47" s="206" t="str">
        <f>IF('Product Launch Brief - PM'!K49="","",'Product Launch Brief - PM'!K49)</f>
        <v/>
      </c>
      <c r="AE47" s="143" t="str">
        <f t="shared" si="23"/>
        <v/>
      </c>
      <c r="AF47" s="143" t="str">
        <f t="shared" si="24"/>
        <v/>
      </c>
      <c r="AG47" s="143" t="str">
        <f>IF('Product Launch Brief - PM'!J49="","",'Product Launch Brief - PM'!J49)</f>
        <v/>
      </c>
      <c r="AH47" s="143" t="str">
        <f t="shared" si="19"/>
        <v/>
      </c>
      <c r="AI47" s="143" t="str">
        <f t="shared" si="22"/>
        <v/>
      </c>
      <c r="AJ47" s="143" t="str" cm="1">
        <f t="array" ref="AJ47">IF('Product Launch Brief - PM'!P49="","",'Product Launch Brief - PM'!P)</f>
        <v/>
      </c>
    </row>
    <row r="48" spans="1:36" s="23" customFormat="1" ht="15">
      <c r="A48" s="23" t="str">
        <f t="shared" si="14"/>
        <v/>
      </c>
      <c r="B48" s="22" t="str">
        <f>IF('Product Launch Brief - PM'!D55="","",'Product Launch Brief - PM'!D55)</f>
        <v/>
      </c>
      <c r="C48" s="24" t="str">
        <f>IF('Withdrawals - PM'!A74="","",'Withdrawals - PM'!B74)</f>
        <v/>
      </c>
      <c r="D48" s="23" t="str">
        <f>IF('Withdrawals - PM'!A74="","",'Withdrawals - PM'!A74)</f>
        <v/>
      </c>
      <c r="E48" s="152" t="str">
        <f>IF('Product Launch Brief - PM'!AB55="","",'Product Launch Brief - PM'!AB55)</f>
        <v/>
      </c>
      <c r="F48" s="23" t="str">
        <f>IF('Product Launch Brief - PM'!G50="","",'Product Launch Brief - PM'!G50)</f>
        <v/>
      </c>
      <c r="G48" s="133" t="str">
        <f t="shared" si="20"/>
        <v/>
      </c>
      <c r="H48" s="23" t="str">
        <f t="shared" si="21"/>
        <v/>
      </c>
      <c r="I48" s="133" t="str">
        <f>IF('Product Launch Brief - PM'!L50="","",'Product Launch Brief - PM'!L50)</f>
        <v/>
      </c>
      <c r="J48" s="133" t="str">
        <f>IF('Product Launch Brief - PM'!H50="","",'Product Launch Brief - PM'!H50)</f>
        <v/>
      </c>
      <c r="K48" s="25" t="str">
        <f>IF('Product Launch Brief - PM'!E50="","",'Product Launch Brief - PM'!E50)</f>
        <v/>
      </c>
      <c r="L48" s="23" t="str">
        <f>IF('Product Launch Brief - PM'!F50="","",'Product Launch Brief - PM'!F50)</f>
        <v/>
      </c>
      <c r="M48" s="23" t="str">
        <f>IF('Product Launch Brief - PM'!T50="","",'Product Launch Brief - PM'!T50)</f>
        <v/>
      </c>
      <c r="N48" s="23" t="str">
        <f>IF('Product Launch Brief - PM'!U50="","",'Product Launch Brief - PM'!U50)</f>
        <v/>
      </c>
      <c r="O48" s="23" t="str">
        <f>IF('Product Launch Brief - PM'!V50="","",'Product Launch Brief - PM'!V50)</f>
        <v/>
      </c>
      <c r="P48" s="23" t="str">
        <f>IF(A48="","",'Product Launch Brief - PM'!S50)</f>
        <v/>
      </c>
      <c r="Q48" s="23" t="str">
        <f>IF('Product Launch Brief - PM'!G50="","",'Product Launch Brief - PM'!G50)</f>
        <v/>
      </c>
      <c r="R48" s="26" t="str">
        <f t="shared" si="15"/>
        <v/>
      </c>
      <c r="S48" s="23" t="str">
        <f t="shared" si="16"/>
        <v/>
      </c>
      <c r="T48" s="136" t="str">
        <f>IF('Product Launch Brief - PM'!I50="","",'Product Launch Brief - PM'!I50)</f>
        <v/>
      </c>
      <c r="U48" s="142" t="str">
        <f t="shared" si="17"/>
        <v/>
      </c>
      <c r="V48" s="142" t="str">
        <f t="shared" si="13"/>
        <v/>
      </c>
      <c r="W48" s="24"/>
      <c r="X48" s="23" t="str">
        <f>IF(B48="","",'Product Launch Brief - PM'!R50)</f>
        <v/>
      </c>
      <c r="Y48" s="23" t="str">
        <f t="shared" si="18"/>
        <v/>
      </c>
      <c r="Z48" s="205" t="str">
        <f>IF('Product Launch Brief - PM'!K50="","",'Product Launch Brief - PM'!K50)</f>
        <v/>
      </c>
      <c r="AE48" s="23" t="str">
        <f t="shared" si="23"/>
        <v/>
      </c>
      <c r="AF48" s="23" t="str">
        <f t="shared" si="24"/>
        <v/>
      </c>
      <c r="AG48" s="23" t="str">
        <f>IF('Product Launch Brief - PM'!J50="","",'Product Launch Brief - PM'!J50)</f>
        <v/>
      </c>
      <c r="AH48" s="23" t="str">
        <f t="shared" si="19"/>
        <v/>
      </c>
      <c r="AI48" s="23" t="str">
        <f t="shared" si="22"/>
        <v/>
      </c>
      <c r="AJ48" s="23" t="str">
        <f>IF('Product Launch Brief - PM'!P50="","",'Product Launch Brief - PM'!P50)</f>
        <v/>
      </c>
    </row>
    <row r="49" spans="1:36" s="143" customFormat="1" ht="15">
      <c r="A49" s="143" t="str">
        <f t="shared" si="14"/>
        <v/>
      </c>
      <c r="B49" s="144" t="str">
        <f>IF('Product Launch Brief - PM'!D56="","",'Product Launch Brief - PM'!D56)</f>
        <v/>
      </c>
      <c r="C49" s="145" t="str">
        <f>IF('Withdrawals - PM'!A75="","",'Withdrawals - PM'!B75)</f>
        <v/>
      </c>
      <c r="D49" s="143" t="str">
        <f>IF('Withdrawals - PM'!A75="","",'Withdrawals - PM'!A75)</f>
        <v/>
      </c>
      <c r="E49" s="146" t="str">
        <f>IF('Product Launch Brief - PM'!AB56="","",'Product Launch Brief - PM'!AB56)</f>
        <v/>
      </c>
      <c r="F49" s="143" t="str">
        <f>IF('Product Launch Brief - PM'!G51="","",'Product Launch Brief - PM'!G51)</f>
        <v/>
      </c>
      <c r="G49" s="147" t="str">
        <f t="shared" si="20"/>
        <v/>
      </c>
      <c r="H49" s="143" t="str">
        <f t="shared" si="21"/>
        <v/>
      </c>
      <c r="I49" s="147" t="str">
        <f>IF('Product Launch Brief - PM'!L51="","",'Product Launch Brief - PM'!L51)</f>
        <v/>
      </c>
      <c r="J49" s="147" t="str">
        <f>IF('Product Launch Brief - PM'!H51="","",'Product Launch Brief - PM'!H51)</f>
        <v/>
      </c>
      <c r="K49" s="148" t="str">
        <f>IF('Product Launch Brief - PM'!E51="","",'Product Launch Brief - PM'!E51)</f>
        <v/>
      </c>
      <c r="L49" s="143" t="str">
        <f>IF('Product Launch Brief - PM'!F51="","",'Product Launch Brief - PM'!F51)</f>
        <v/>
      </c>
      <c r="M49" s="143" t="str" cm="1">
        <f t="array" ref="M49">IF('Product Launch Brief - PM'!T51="","",'Product Launch Brief - PM'!T)</f>
        <v/>
      </c>
      <c r="N49" s="143" t="str">
        <f>IF('Product Launch Brief - PM'!U51="","",'Product Launch Brief - PM'!U51)</f>
        <v/>
      </c>
      <c r="O49" s="143" t="str">
        <f>IF('Product Launch Brief - PM'!V51="","",'Product Launch Brief - PM'!V51)</f>
        <v/>
      </c>
      <c r="P49" s="143" t="str">
        <f>IF(A49="","",'Product Launch Brief - PM'!S51)</f>
        <v/>
      </c>
      <c r="Q49" s="143" t="str">
        <f>IF('Product Launch Brief - PM'!G51="","",'Product Launch Brief - PM'!G51)</f>
        <v/>
      </c>
      <c r="R49" s="149" t="str">
        <f t="shared" si="15"/>
        <v/>
      </c>
      <c r="S49" s="143" t="str">
        <f t="shared" si="16"/>
        <v/>
      </c>
      <c r="T49" s="150" t="str">
        <f>IF('Product Launch Brief - PM'!I51="","",'Product Launch Brief - PM'!I51)</f>
        <v/>
      </c>
      <c r="U49" s="151" t="str">
        <f t="shared" si="17"/>
        <v/>
      </c>
      <c r="V49" s="151" t="str">
        <f t="shared" si="13"/>
        <v/>
      </c>
      <c r="W49" s="145"/>
      <c r="X49" s="143" t="str">
        <f>IF(B49="","",'Product Launch Brief - PM'!R51)</f>
        <v/>
      </c>
      <c r="Y49" s="143" t="str">
        <f t="shared" si="18"/>
        <v/>
      </c>
      <c r="Z49" s="206" t="str">
        <f>IF('Product Launch Brief - PM'!K51="","",'Product Launch Brief - PM'!K51)</f>
        <v/>
      </c>
      <c r="AE49" s="143" t="str">
        <f t="shared" si="23"/>
        <v/>
      </c>
      <c r="AF49" s="143" t="str">
        <f t="shared" si="24"/>
        <v/>
      </c>
      <c r="AG49" s="143" t="str">
        <f>IF('Product Launch Brief - PM'!J51="","",'Product Launch Brief - PM'!J51)</f>
        <v/>
      </c>
      <c r="AH49" s="143" t="str">
        <f t="shared" si="19"/>
        <v/>
      </c>
      <c r="AI49" s="143" t="str">
        <f t="shared" si="22"/>
        <v/>
      </c>
      <c r="AJ49" s="143" t="str" cm="1">
        <f t="array" ref="AJ49">IF('Product Launch Brief - PM'!P51="","",'Product Launch Brief - PM'!P)</f>
        <v/>
      </c>
    </row>
    <row r="50" spans="1:36" s="23" customFormat="1" ht="15">
      <c r="A50" s="23" t="str">
        <f t="shared" si="14"/>
        <v/>
      </c>
      <c r="B50" s="22" t="str">
        <f>IF('Product Launch Brief - PM'!D57="","",'Product Launch Brief - PM'!D57)</f>
        <v/>
      </c>
      <c r="C50" s="24" t="str">
        <f>IF('Withdrawals - PM'!A76="","",'Withdrawals - PM'!B76)</f>
        <v/>
      </c>
      <c r="D50" s="23" t="str">
        <f>IF('Withdrawals - PM'!A76="","",'Withdrawals - PM'!A76)</f>
        <v/>
      </c>
      <c r="E50" s="152" t="str">
        <f>IF('Product Launch Brief - PM'!AB57="","",'Product Launch Brief - PM'!AB57)</f>
        <v/>
      </c>
      <c r="F50" s="23" t="str">
        <f>IF('Product Launch Brief - PM'!G52="","",'Product Launch Brief - PM'!G52)</f>
        <v/>
      </c>
      <c r="G50" s="133" t="str">
        <f t="shared" si="20"/>
        <v/>
      </c>
      <c r="H50" s="23" t="str">
        <f t="shared" si="21"/>
        <v/>
      </c>
      <c r="I50" s="133" t="str">
        <f>IF('Product Launch Brief - PM'!L52="","",'Product Launch Brief - PM'!L52)</f>
        <v/>
      </c>
      <c r="J50" s="133" t="str">
        <f>IF('Product Launch Brief - PM'!H52="","",'Product Launch Brief - PM'!H52)</f>
        <v/>
      </c>
      <c r="K50" s="25" t="str">
        <f>IF('Product Launch Brief - PM'!E52="","",'Product Launch Brief - PM'!E52)</f>
        <v/>
      </c>
      <c r="L50" s="23" t="str">
        <f>IF('Product Launch Brief - PM'!F52="","",'Product Launch Brief - PM'!F52)</f>
        <v/>
      </c>
      <c r="M50" s="23" t="str">
        <f>IF('Product Launch Brief - PM'!T52="","",'Product Launch Brief - PM'!T52)</f>
        <v/>
      </c>
      <c r="N50" s="23" t="str">
        <f>IF('Product Launch Brief - PM'!U52="","",'Product Launch Brief - PM'!U52)</f>
        <v/>
      </c>
      <c r="O50" s="23" t="str">
        <f>IF('Product Launch Brief - PM'!V52="","",'Product Launch Brief - PM'!V52)</f>
        <v/>
      </c>
      <c r="P50" s="23" t="str">
        <f>IF(A50="","",'Product Launch Brief - PM'!S52)</f>
        <v/>
      </c>
      <c r="Q50" s="23" t="str">
        <f>IF('Product Launch Brief - PM'!G52="","",'Product Launch Brief - PM'!G52)</f>
        <v/>
      </c>
      <c r="R50" s="26" t="str">
        <f t="shared" si="15"/>
        <v/>
      </c>
      <c r="S50" s="23" t="str">
        <f t="shared" si="16"/>
        <v/>
      </c>
      <c r="T50" s="136" t="str">
        <f>IF('Product Launch Brief - PM'!I52="","",'Product Launch Brief - PM'!I52)</f>
        <v/>
      </c>
      <c r="U50" s="142" t="str">
        <f t="shared" si="17"/>
        <v/>
      </c>
      <c r="V50" s="142" t="str">
        <f t="shared" si="13"/>
        <v/>
      </c>
      <c r="W50" s="24"/>
      <c r="X50" s="23" t="str">
        <f>IF(B50="","",'Product Launch Brief - PM'!R52)</f>
        <v/>
      </c>
      <c r="Y50" s="23" t="str">
        <f t="shared" si="18"/>
        <v/>
      </c>
      <c r="Z50" s="205" t="str">
        <f>IF('Product Launch Brief - PM'!K52="","",'Product Launch Brief - PM'!K52)</f>
        <v/>
      </c>
      <c r="AE50" s="23" t="str">
        <f t="shared" si="23"/>
        <v/>
      </c>
      <c r="AF50" s="23" t="str">
        <f t="shared" si="24"/>
        <v/>
      </c>
      <c r="AG50" s="23" t="str">
        <f>IF('Product Launch Brief - PM'!J52="","",'Product Launch Brief - PM'!J52)</f>
        <v/>
      </c>
      <c r="AH50" s="23" t="str">
        <f t="shared" si="19"/>
        <v/>
      </c>
      <c r="AI50" s="23" t="str">
        <f t="shared" si="22"/>
        <v/>
      </c>
      <c r="AJ50" s="23" t="str">
        <f>IF('Product Launch Brief - PM'!P52="","",'Product Launch Brief - PM'!P52)</f>
        <v/>
      </c>
    </row>
    <row r="51" spans="1:36" s="143" customFormat="1" ht="15">
      <c r="A51" s="143" t="str">
        <f t="shared" si="14"/>
        <v/>
      </c>
      <c r="B51" s="144" t="str">
        <f>IF('Product Launch Brief - PM'!D58="","",'Product Launch Brief - PM'!D58)</f>
        <v/>
      </c>
      <c r="C51" s="145" t="str">
        <f>IF('Withdrawals - PM'!A77="","",'Withdrawals - PM'!B77)</f>
        <v/>
      </c>
      <c r="D51" s="143" t="str">
        <f>IF('Withdrawals - PM'!A77="","",'Withdrawals - PM'!A77)</f>
        <v/>
      </c>
      <c r="E51" s="146" t="str">
        <f>IF('Product Launch Brief - PM'!AB58="","",'Product Launch Brief - PM'!AB58)</f>
        <v/>
      </c>
      <c r="F51" s="143" t="str">
        <f>IF('Product Launch Brief - PM'!G53="","",'Product Launch Brief - PM'!G53)</f>
        <v/>
      </c>
      <c r="G51" s="147" t="str">
        <f t="shared" si="20"/>
        <v/>
      </c>
      <c r="H51" s="143" t="str">
        <f t="shared" si="21"/>
        <v/>
      </c>
      <c r="I51" s="147" t="str">
        <f>IF('Product Launch Brief - PM'!L53="","",'Product Launch Brief - PM'!L53)</f>
        <v/>
      </c>
      <c r="J51" s="147" t="str">
        <f>IF('Product Launch Brief - PM'!H53="","",'Product Launch Brief - PM'!H53)</f>
        <v/>
      </c>
      <c r="K51" s="148" t="str">
        <f>IF('Product Launch Brief - PM'!E53="","",'Product Launch Brief - PM'!E53)</f>
        <v/>
      </c>
      <c r="L51" s="143" t="str">
        <f>IF('Product Launch Brief - PM'!F53="","",'Product Launch Brief - PM'!F53)</f>
        <v/>
      </c>
      <c r="M51" s="143" t="str" cm="1">
        <f t="array" ref="M51">IF('Product Launch Brief - PM'!T53="","",'Product Launch Brief - PM'!T)</f>
        <v/>
      </c>
      <c r="N51" s="143" t="str">
        <f>IF('Product Launch Brief - PM'!U53="","",'Product Launch Brief - PM'!U53)</f>
        <v/>
      </c>
      <c r="O51" s="143" t="str">
        <f>IF('Product Launch Brief - PM'!V53="","",'Product Launch Brief - PM'!V53)</f>
        <v/>
      </c>
      <c r="P51" s="143" t="str">
        <f>IF(A51="","",'Product Launch Brief - PM'!S53)</f>
        <v/>
      </c>
      <c r="Q51" s="143" t="str">
        <f>IF('Product Launch Brief - PM'!G53="","",'Product Launch Brief - PM'!G53)</f>
        <v/>
      </c>
      <c r="R51" s="149" t="str">
        <f t="shared" si="15"/>
        <v/>
      </c>
      <c r="S51" s="143" t="str">
        <f t="shared" si="16"/>
        <v/>
      </c>
      <c r="T51" s="150" t="str">
        <f>IF('Product Launch Brief - PM'!I53="","",'Product Launch Brief - PM'!I53)</f>
        <v/>
      </c>
      <c r="U51" s="151" t="str">
        <f t="shared" si="17"/>
        <v/>
      </c>
      <c r="V51" s="151" t="str">
        <f t="shared" si="13"/>
        <v/>
      </c>
      <c r="W51" s="145"/>
      <c r="X51" s="143" t="str">
        <f>IF(B51="","",'Product Launch Brief - PM'!R53)</f>
        <v/>
      </c>
      <c r="Y51" s="143" t="str">
        <f t="shared" si="18"/>
        <v/>
      </c>
      <c r="Z51" s="206" t="str">
        <f>IF('Product Launch Brief - PM'!K53="","",'Product Launch Brief - PM'!K53)</f>
        <v/>
      </c>
      <c r="AE51" s="143" t="str">
        <f t="shared" si="23"/>
        <v/>
      </c>
      <c r="AF51" s="143" t="str">
        <f t="shared" si="24"/>
        <v/>
      </c>
      <c r="AG51" s="143" t="str">
        <f>IF('Product Launch Brief - PM'!J53="","",'Product Launch Brief - PM'!J53)</f>
        <v/>
      </c>
      <c r="AH51" s="143" t="str">
        <f t="shared" si="19"/>
        <v/>
      </c>
      <c r="AI51" s="143" t="str">
        <f t="shared" si="22"/>
        <v/>
      </c>
      <c r="AJ51" s="143" t="str" cm="1">
        <f t="array" ref="AJ51">IF('Product Launch Brief - PM'!P53="","",'Product Launch Brief - PM'!P)</f>
        <v/>
      </c>
    </row>
    <row r="52" spans="1:36" s="23" customFormat="1" ht="15">
      <c r="A52" s="23" t="str">
        <f t="shared" si="14"/>
        <v/>
      </c>
      <c r="B52" s="22" t="str">
        <f>IF('Product Launch Brief - PM'!D59="","",'Product Launch Brief - PM'!D59)</f>
        <v/>
      </c>
      <c r="C52" s="24" t="str">
        <f>IF('Withdrawals - PM'!A78="","",'Withdrawals - PM'!B78)</f>
        <v/>
      </c>
      <c r="D52" s="23" t="str">
        <f>IF('Withdrawals - PM'!A78="","",'Withdrawals - PM'!A78)</f>
        <v/>
      </c>
      <c r="E52" s="152" t="str">
        <f>IF('Product Launch Brief - PM'!AB59="","",'Product Launch Brief - PM'!AB59)</f>
        <v/>
      </c>
      <c r="F52" s="23" t="str">
        <f>IF('Product Launch Brief - PM'!G54="","",'Product Launch Brief - PM'!G54)</f>
        <v/>
      </c>
      <c r="G52" s="133" t="str">
        <f t="shared" si="20"/>
        <v/>
      </c>
      <c r="H52" s="23" t="str">
        <f t="shared" si="21"/>
        <v/>
      </c>
      <c r="I52" s="133" t="str">
        <f>IF('Product Launch Brief - PM'!L54="","",'Product Launch Brief - PM'!L54)</f>
        <v/>
      </c>
      <c r="J52" s="133" t="str">
        <f>IF('Product Launch Brief - PM'!H54="","",'Product Launch Brief - PM'!H54)</f>
        <v/>
      </c>
      <c r="K52" s="25" t="str">
        <f>IF('Product Launch Brief - PM'!E54="","",'Product Launch Brief - PM'!E54)</f>
        <v/>
      </c>
      <c r="L52" s="23" t="str">
        <f>IF('Product Launch Brief - PM'!F54="","",'Product Launch Brief - PM'!F54)</f>
        <v/>
      </c>
      <c r="M52" s="23" t="str">
        <f>IF('Product Launch Brief - PM'!T54="","",'Product Launch Brief - PM'!T54)</f>
        <v/>
      </c>
      <c r="N52" s="23" t="str">
        <f>IF('Product Launch Brief - PM'!U54="","",'Product Launch Brief - PM'!U54)</f>
        <v/>
      </c>
      <c r="O52" s="23" t="str">
        <f>IF('Product Launch Brief - PM'!V54="","",'Product Launch Brief - PM'!V54)</f>
        <v/>
      </c>
      <c r="P52" s="23" t="str">
        <f>IF(A52="","",'Product Launch Brief - PM'!S54)</f>
        <v/>
      </c>
      <c r="Q52" s="23" t="str">
        <f>IF('Product Launch Brief - PM'!G54="","",'Product Launch Brief - PM'!G54)</f>
        <v/>
      </c>
      <c r="R52" s="26" t="str">
        <f t="shared" si="15"/>
        <v/>
      </c>
      <c r="S52" s="23" t="str">
        <f t="shared" si="16"/>
        <v/>
      </c>
      <c r="T52" s="136" t="str">
        <f>IF('Product Launch Brief - PM'!I54="","",'Product Launch Brief - PM'!I54)</f>
        <v/>
      </c>
      <c r="U52" s="142" t="str">
        <f t="shared" si="17"/>
        <v/>
      </c>
      <c r="V52" s="142" t="str">
        <f t="shared" si="13"/>
        <v/>
      </c>
      <c r="W52" s="24"/>
      <c r="X52" s="23" t="str">
        <f>IF(B52="","",'Product Launch Brief - PM'!R54)</f>
        <v/>
      </c>
      <c r="Y52" s="23" t="str">
        <f t="shared" si="18"/>
        <v/>
      </c>
      <c r="Z52" s="205" t="str">
        <f>IF('Product Launch Brief - PM'!K54="","",'Product Launch Brief - PM'!K54)</f>
        <v/>
      </c>
      <c r="AE52" s="23" t="str">
        <f t="shared" si="23"/>
        <v/>
      </c>
      <c r="AF52" s="23" t="str">
        <f t="shared" si="24"/>
        <v/>
      </c>
      <c r="AG52" s="23" t="str">
        <f>IF('Product Launch Brief - PM'!J54="","",'Product Launch Brief - PM'!J54)</f>
        <v/>
      </c>
      <c r="AH52" s="23" t="str">
        <f t="shared" si="19"/>
        <v/>
      </c>
      <c r="AI52" s="23" t="str">
        <f t="shared" si="22"/>
        <v/>
      </c>
      <c r="AJ52" s="23" t="str">
        <f>IF('Product Launch Brief - PM'!P54="","",'Product Launch Brief - PM'!P54)</f>
        <v/>
      </c>
    </row>
    <row r="53" spans="1:36" s="143" customFormat="1" ht="15">
      <c r="A53" s="143" t="str">
        <f t="shared" si="14"/>
        <v/>
      </c>
      <c r="B53" s="144" t="str">
        <f>IF('Product Launch Brief - PM'!D60="","",'Product Launch Brief - PM'!D60)</f>
        <v/>
      </c>
      <c r="C53" s="145" t="str">
        <f>IF('Withdrawals - PM'!A79="","",'Withdrawals - PM'!B79)</f>
        <v/>
      </c>
      <c r="D53" s="143" t="str">
        <f>IF('Withdrawals - PM'!A79="","",'Withdrawals - PM'!A79)</f>
        <v/>
      </c>
      <c r="E53" s="146" t="str">
        <f>IF('Product Launch Brief - PM'!AB60="","",'Product Launch Brief - PM'!AB60)</f>
        <v/>
      </c>
      <c r="F53" s="143" t="str">
        <f>IF('Product Launch Brief - PM'!G55="","",'Product Launch Brief - PM'!G55)</f>
        <v/>
      </c>
      <c r="G53" s="147" t="str">
        <f t="shared" si="20"/>
        <v/>
      </c>
      <c r="H53" s="143" t="str">
        <f t="shared" si="21"/>
        <v/>
      </c>
      <c r="I53" s="147" t="str">
        <f>IF('Product Launch Brief - PM'!L55="","",'Product Launch Brief - PM'!L55)</f>
        <v/>
      </c>
      <c r="J53" s="147" t="str">
        <f>IF('Product Launch Brief - PM'!H55="","",'Product Launch Brief - PM'!H55)</f>
        <v/>
      </c>
      <c r="K53" s="148" t="str">
        <f>IF('Product Launch Brief - PM'!E55="","",'Product Launch Brief - PM'!E55)</f>
        <v/>
      </c>
      <c r="L53" s="143" t="str">
        <f>IF('Product Launch Brief - PM'!F55="","",'Product Launch Brief - PM'!F55)</f>
        <v/>
      </c>
      <c r="M53" s="143" t="str" cm="1">
        <f t="array" ref="M53">IF('Product Launch Brief - PM'!T55="","",'Product Launch Brief - PM'!T)</f>
        <v/>
      </c>
      <c r="N53" s="143" t="str">
        <f>IF('Product Launch Brief - PM'!U55="","",'Product Launch Brief - PM'!U55)</f>
        <v/>
      </c>
      <c r="O53" s="143" t="str">
        <f>IF('Product Launch Brief - PM'!V55="","",'Product Launch Brief - PM'!V55)</f>
        <v/>
      </c>
      <c r="P53" s="143" t="str">
        <f>IF(A53="","",'Product Launch Brief - PM'!S55)</f>
        <v/>
      </c>
      <c r="Q53" s="143" t="str">
        <f>IF('Product Launch Brief - PM'!G55="","",'Product Launch Brief - PM'!G55)</f>
        <v/>
      </c>
      <c r="R53" s="149" t="str">
        <f t="shared" si="15"/>
        <v/>
      </c>
      <c r="S53" s="143" t="str">
        <f t="shared" si="16"/>
        <v/>
      </c>
      <c r="T53" s="150" t="str">
        <f>IF('Product Launch Brief - PM'!I55="","",'Product Launch Brief - PM'!I55)</f>
        <v/>
      </c>
      <c r="U53" s="151" t="str">
        <f t="shared" si="17"/>
        <v/>
      </c>
      <c r="V53" s="151" t="str">
        <f t="shared" si="13"/>
        <v/>
      </c>
      <c r="W53" s="145"/>
      <c r="X53" s="143" t="str">
        <f>IF(B53="","",'Product Launch Brief - PM'!R55)</f>
        <v/>
      </c>
      <c r="Y53" s="143" t="str">
        <f t="shared" si="18"/>
        <v/>
      </c>
      <c r="Z53" s="206" t="str">
        <f>IF('Product Launch Brief - PM'!K55="","",'Product Launch Brief - PM'!K55)</f>
        <v/>
      </c>
      <c r="AE53" s="143" t="str">
        <f t="shared" si="23"/>
        <v/>
      </c>
      <c r="AF53" s="143" t="str">
        <f t="shared" si="24"/>
        <v/>
      </c>
      <c r="AG53" s="143" t="str">
        <f>IF('Product Launch Brief - PM'!J55="","",'Product Launch Brief - PM'!J55)</f>
        <v/>
      </c>
      <c r="AH53" s="143" t="str">
        <f t="shared" si="19"/>
        <v/>
      </c>
      <c r="AI53" s="143" t="str">
        <f t="shared" si="22"/>
        <v/>
      </c>
      <c r="AJ53" s="143" t="str" cm="1">
        <f t="array" ref="AJ53">IF('Product Launch Brief - PM'!P55="","",'Product Launch Brief - PM'!P)</f>
        <v/>
      </c>
    </row>
    <row r="54" spans="1:36" s="23" customFormat="1" ht="15">
      <c r="A54" s="23" t="str">
        <f t="shared" si="14"/>
        <v/>
      </c>
      <c r="B54" s="22" t="str">
        <f>IF('Product Launch Brief - PM'!D61="","",'Product Launch Brief - PM'!D61)</f>
        <v/>
      </c>
      <c r="C54" s="24" t="str">
        <f>IF('Withdrawals - PM'!A80="","",'Withdrawals - PM'!B80)</f>
        <v/>
      </c>
      <c r="D54" s="23" t="str">
        <f>IF('Withdrawals - PM'!A80="","",'Withdrawals - PM'!A80)</f>
        <v/>
      </c>
      <c r="E54" s="152" t="str">
        <f>IF('Product Launch Brief - PM'!AB61="","",'Product Launch Brief - PM'!AB61)</f>
        <v/>
      </c>
      <c r="F54" s="23" t="str">
        <f>IF('Product Launch Brief - PM'!G56="","",'Product Launch Brief - PM'!G56)</f>
        <v/>
      </c>
      <c r="G54" s="133" t="str">
        <f t="shared" si="20"/>
        <v/>
      </c>
      <c r="H54" s="23" t="str">
        <f t="shared" si="21"/>
        <v/>
      </c>
      <c r="I54" s="133" t="str">
        <f>IF('Product Launch Brief - PM'!L56="","",'Product Launch Brief - PM'!L56)</f>
        <v/>
      </c>
      <c r="J54" s="133" t="str">
        <f>IF('Product Launch Brief - PM'!H56="","",'Product Launch Brief - PM'!H56)</f>
        <v/>
      </c>
      <c r="K54" s="25" t="str">
        <f>IF('Product Launch Brief - PM'!E56="","",'Product Launch Brief - PM'!E56)</f>
        <v/>
      </c>
      <c r="L54" s="23" t="str">
        <f>IF('Product Launch Brief - PM'!F56="","",'Product Launch Brief - PM'!F56)</f>
        <v/>
      </c>
      <c r="M54" s="23" t="str">
        <f>IF('Product Launch Brief - PM'!T56="","",'Product Launch Brief - PM'!T56)</f>
        <v/>
      </c>
      <c r="N54" s="23" t="str">
        <f>IF('Product Launch Brief - PM'!U56="","",'Product Launch Brief - PM'!U56)</f>
        <v/>
      </c>
      <c r="O54" s="23" t="str">
        <f>IF('Product Launch Brief - PM'!V56="","",'Product Launch Brief - PM'!V56)</f>
        <v/>
      </c>
      <c r="P54" s="23" t="str">
        <f>IF(A54="","",'Product Launch Brief - PM'!S56)</f>
        <v/>
      </c>
      <c r="Q54" s="23" t="str">
        <f>IF('Product Launch Brief - PM'!G56="","",'Product Launch Brief - PM'!G56)</f>
        <v/>
      </c>
      <c r="R54" s="26" t="str">
        <f t="shared" si="15"/>
        <v/>
      </c>
      <c r="S54" s="23" t="str">
        <f t="shared" si="16"/>
        <v/>
      </c>
      <c r="T54" s="136" t="str">
        <f>IF('Product Launch Brief - PM'!I56="","",'Product Launch Brief - PM'!I56)</f>
        <v/>
      </c>
      <c r="U54" s="142" t="str">
        <f t="shared" si="17"/>
        <v/>
      </c>
      <c r="V54" s="142" t="str">
        <f t="shared" si="13"/>
        <v/>
      </c>
      <c r="W54" s="24"/>
      <c r="X54" s="23" t="str">
        <f>IF(B54="","",'Product Launch Brief - PM'!R56)</f>
        <v/>
      </c>
      <c r="Y54" s="23" t="str">
        <f t="shared" si="18"/>
        <v/>
      </c>
      <c r="Z54" s="205" t="str">
        <f>IF('Product Launch Brief - PM'!K56="","",'Product Launch Brief - PM'!K56)</f>
        <v/>
      </c>
      <c r="AE54" s="23" t="str">
        <f t="shared" si="23"/>
        <v/>
      </c>
      <c r="AF54" s="23" t="str">
        <f t="shared" si="24"/>
        <v/>
      </c>
      <c r="AG54" s="23" t="str">
        <f>IF('Product Launch Brief - PM'!J56="","",'Product Launch Brief - PM'!J56)</f>
        <v/>
      </c>
      <c r="AH54" s="23" t="str">
        <f t="shared" si="19"/>
        <v/>
      </c>
      <c r="AI54" s="23" t="str">
        <f t="shared" si="22"/>
        <v/>
      </c>
      <c r="AJ54" s="23" t="str">
        <f>IF('Product Launch Brief - PM'!P56="","",'Product Launch Brief - PM'!P56)</f>
        <v/>
      </c>
    </row>
    <row r="55" spans="1:36" s="143" customFormat="1" ht="15">
      <c r="A55" s="143" t="str">
        <f t="shared" si="14"/>
        <v/>
      </c>
      <c r="B55" s="144" t="str">
        <f>IF('Product Launch Brief - PM'!D62="","",'Product Launch Brief - PM'!D62)</f>
        <v/>
      </c>
      <c r="C55" s="145" t="str">
        <f>IF('Withdrawals - PM'!A81="","",'Withdrawals - PM'!B81)</f>
        <v/>
      </c>
      <c r="D55" s="143" t="str">
        <f>IF('Withdrawals - PM'!A81="","",'Withdrawals - PM'!A81)</f>
        <v/>
      </c>
      <c r="E55" s="146" t="str">
        <f>IF('Product Launch Brief - PM'!AB62="","",'Product Launch Brief - PM'!AB62)</f>
        <v/>
      </c>
      <c r="F55" s="143" t="str">
        <f>IF('Product Launch Brief - PM'!G57="","",'Product Launch Brief - PM'!G57)</f>
        <v/>
      </c>
      <c r="G55" s="147" t="str">
        <f t="shared" si="20"/>
        <v/>
      </c>
      <c r="H55" s="143" t="str">
        <f t="shared" si="21"/>
        <v/>
      </c>
      <c r="I55" s="147" t="str">
        <f>IF('Product Launch Brief - PM'!L57="","",'Product Launch Brief - PM'!L57)</f>
        <v/>
      </c>
      <c r="J55" s="147" t="str">
        <f>IF('Product Launch Brief - PM'!H57="","",'Product Launch Brief - PM'!H57)</f>
        <v/>
      </c>
      <c r="K55" s="148" t="str">
        <f>IF('Product Launch Brief - PM'!E57="","",'Product Launch Brief - PM'!E57)</f>
        <v/>
      </c>
      <c r="L55" s="143" t="str">
        <f>IF('Product Launch Brief - PM'!F57="","",'Product Launch Brief - PM'!F57)</f>
        <v/>
      </c>
      <c r="M55" s="143" t="str" cm="1">
        <f t="array" ref="M55">IF('Product Launch Brief - PM'!T57="","",'Product Launch Brief - PM'!T)</f>
        <v/>
      </c>
      <c r="N55" s="143" t="str">
        <f>IF('Product Launch Brief - PM'!U57="","",'Product Launch Brief - PM'!U57)</f>
        <v/>
      </c>
      <c r="O55" s="143" t="str">
        <f>IF('Product Launch Brief - PM'!V57="","",'Product Launch Brief - PM'!V57)</f>
        <v/>
      </c>
      <c r="P55" s="143" t="str">
        <f>IF(A55="","",'Product Launch Brief - PM'!S57)</f>
        <v/>
      </c>
      <c r="Q55" s="143" t="str">
        <f>IF('Product Launch Brief - PM'!G57="","",'Product Launch Brief - PM'!G57)</f>
        <v/>
      </c>
      <c r="R55" s="149" t="str">
        <f t="shared" si="15"/>
        <v/>
      </c>
      <c r="S55" s="143" t="str">
        <f t="shared" si="16"/>
        <v/>
      </c>
      <c r="T55" s="150" t="str">
        <f>IF('Product Launch Brief - PM'!I57="","",'Product Launch Brief - PM'!I57)</f>
        <v/>
      </c>
      <c r="U55" s="151" t="str">
        <f t="shared" si="17"/>
        <v/>
      </c>
      <c r="V55" s="151" t="str">
        <f t="shared" si="13"/>
        <v/>
      </c>
      <c r="W55" s="145"/>
      <c r="X55" s="143" t="str">
        <f>IF(B55="","",'Product Launch Brief - PM'!R57)</f>
        <v/>
      </c>
      <c r="Y55" s="143" t="str">
        <f t="shared" si="18"/>
        <v/>
      </c>
      <c r="Z55" s="206" t="str">
        <f>IF('Product Launch Brief - PM'!K57="","",'Product Launch Brief - PM'!K57)</f>
        <v/>
      </c>
      <c r="AE55" s="143" t="str">
        <f t="shared" si="23"/>
        <v/>
      </c>
      <c r="AF55" s="143" t="str">
        <f t="shared" si="24"/>
        <v/>
      </c>
      <c r="AG55" s="143" t="str">
        <f>IF('Product Launch Brief - PM'!J57="","",'Product Launch Brief - PM'!J57)</f>
        <v/>
      </c>
      <c r="AH55" s="143" t="str">
        <f t="shared" si="19"/>
        <v/>
      </c>
      <c r="AI55" s="143" t="str">
        <f t="shared" si="22"/>
        <v/>
      </c>
      <c r="AJ55" s="143" t="str" cm="1">
        <f t="array" ref="AJ55">IF('Product Launch Brief - PM'!P57="","",'Product Launch Brief - PM'!P)</f>
        <v/>
      </c>
    </row>
    <row r="56" spans="1:36" ht="11.25" customHeight="1">
      <c r="AJ56" s="23" t="str">
        <f>IF('Product Launch Brief - PM'!P58="","",'Product Launch Brief - PM'!P58)</f>
        <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1"/>
  <sheetViews>
    <sheetView zoomScale="55" zoomScaleNormal="55" workbookViewId="0">
      <selection activeCell="A24" sqref="A24"/>
    </sheetView>
  </sheetViews>
  <sheetFormatPr defaultColWidth="7.140625" defaultRowHeight="21"/>
  <cols>
    <col min="1" max="1" width="45.7109375" style="182" customWidth="1"/>
    <col min="2" max="2" width="18.85546875" style="182" bestFit="1" customWidth="1"/>
    <col min="3" max="3" width="7.85546875" style="195" customWidth="1"/>
    <col min="4" max="4" width="10.42578125" style="182" customWidth="1"/>
    <col min="5" max="5" width="13.7109375" style="182" bestFit="1" customWidth="1"/>
    <col min="6" max="6" width="18.85546875" style="198" bestFit="1" customWidth="1"/>
    <col min="7" max="7" width="10.28515625" style="196" customWidth="1"/>
    <col min="8" max="8" width="11.28515625" style="197" customWidth="1"/>
    <col min="9" max="9" width="12.85546875" style="169" customWidth="1"/>
    <col min="10" max="10" width="25.7109375" style="182" bestFit="1" customWidth="1"/>
    <col min="11" max="11" width="18.28515625" style="182" bestFit="1" customWidth="1"/>
    <col min="12" max="12" width="28.28515625" style="196" bestFit="1" customWidth="1"/>
    <col min="13" max="13" width="18" style="182" bestFit="1" customWidth="1"/>
    <col min="14" max="19" width="7.140625" style="182"/>
    <col min="20" max="20" width="37.140625" style="194" customWidth="1"/>
    <col min="21" max="16384" width="7.140625" style="182"/>
  </cols>
  <sheetData>
    <row r="1" spans="1:20">
      <c r="A1" s="171"/>
      <c r="B1" s="172" t="s">
        <v>150</v>
      </c>
      <c r="C1" s="173" t="s">
        <v>151</v>
      </c>
      <c r="D1" s="174" t="s">
        <v>152</v>
      </c>
      <c r="E1" s="174" t="s">
        <v>153</v>
      </c>
      <c r="F1" s="175" t="s">
        <v>154</v>
      </c>
      <c r="G1" s="176" t="s">
        <v>155</v>
      </c>
      <c r="H1" s="177" t="s">
        <v>156</v>
      </c>
      <c r="I1" s="168" t="s">
        <v>157</v>
      </c>
      <c r="J1" s="178" t="s">
        <v>158</v>
      </c>
      <c r="K1" s="179" t="s">
        <v>159</v>
      </c>
      <c r="L1" s="180" t="s">
        <v>160</v>
      </c>
      <c r="M1" s="181" t="s">
        <v>10</v>
      </c>
      <c r="T1" s="183" t="s">
        <v>161</v>
      </c>
    </row>
    <row r="2" spans="1:20">
      <c r="A2" s="184" t="str">
        <f>IF('Product Launch Brief - PM'!G4="","",'Product Launch Brief - PM'!G4)</f>
        <v>Large Loan</v>
      </c>
      <c r="B2" s="185" t="str">
        <f>IF(A2="","",VLOOKUP(A2,Product,2,FALSE))</f>
        <v>Large Loans</v>
      </c>
      <c r="C2" s="186">
        <f>IF('Product Launch Brief - PM'!I4="","",'Product Launch Brief - PM'!I4)</f>
        <v>0.7</v>
      </c>
      <c r="D2" s="185" t="str">
        <f>IF(C2="","",IF('Product Launch Brief - PM'!J4&lt;=1,"No","Yes"))</f>
        <v>Yes</v>
      </c>
      <c r="E2" s="185">
        <f>IF(C2="","",IF('Product Launch Brief - PM'!J4="","",'Product Launch Brief - PM'!J4))</f>
        <v>999</v>
      </c>
      <c r="F2" s="187">
        <f t="shared" ref="F2:F41" si="0">IF(B2="","",VLOOKUP(T2,lookup,2,FALSE))</f>
        <v>761792</v>
      </c>
      <c r="G2" s="188">
        <f t="shared" ref="G2" si="1">IF(B2="","",VLOOKUP(T2,lookup,3,FALSE))</f>
        <v>312</v>
      </c>
      <c r="H2" s="189">
        <f>IF('Product Launch Brief - PM'!H4="","",'Product Launch Brief - PM'!H4)</f>
        <v>5.0900000000000001E-2</v>
      </c>
      <c r="I2" s="167">
        <v>6.8000000000000005E-2</v>
      </c>
      <c r="J2" s="190" t="str">
        <f t="shared" ref="J2:J10" si="2">IF(B2="Interest Only", "Interest Regularly and Repayment of capital at end","")</f>
        <v/>
      </c>
      <c r="K2" s="191">
        <f t="shared" ref="K2:K6" si="3">IF(B2="","",VLOOKUP(T2,lookup,5,FALSE))</f>
        <v>815</v>
      </c>
      <c r="L2" s="192" t="str">
        <f>IF(B2="","",IF('Product Launch Brief - PM'!F4="2 Year Fixed","2",IF('Product Launch Brief - PM'!F4="5 Year Fixed","5",IF('Product Launch Brief - PM'!F4="2 Year Discount","2",IF('Product Launch Brief - PM'!F4="5 Year Discount","5",IF('Product Launch Brief - PM'!F4="2 Year Variable","2"))))))</f>
        <v>2</v>
      </c>
      <c r="M2" s="193" t="str">
        <f>IF(B2="","",IF('Product Launch Brief - PM'!F4="2 Year Fixed","Fixed",IF('Product Launch Brief - PM'!F4="5 Year Fixed","Fixed",IF('Product Launch Brief - PM'!F4="2 Year Discount","Variable",IF('Product Launch Brief - PM'!F4="5 Year Discount","Variable",IF('Product Launch Brief - PM'!F4="2 Year Variable","Variable"))))))</f>
        <v>Fixed</v>
      </c>
      <c r="T2" s="194" t="str">
        <f t="shared" ref="T2:T34" si="4">IF(B2="","",IF(AND(C2&lt;81%,D2="No",B2="Residential",L2="2"),"&lt;=80% LTV 2 Year fee assisted product",IF(AND(C2&lt;81%,D2="Yes",B2="Residential",L2="2"),"&lt;=80% LTV 2 Year fee product",IF(AND(C2&lt;81%,D2="No",B2="Residential",L2="5"),"&lt;=80% LTV 5 Year fee assisted product",IF(AND(C2&lt;81%,D2="Yes",B2="Residential",L2="5"),"&lt;=80% LTV 5 Year fee product",IF(AND(C2&lt;86%,D2="No",B2="Residential",L2="2"),"&lt;=85% LTV 2 Year fee assisted product",IF(AND(C2&lt;86%,D2="Yes",B2="Residential",L2="2"),"&lt;=85% LTV 2 Year fee product",IF(AND(C2&lt;86%,D2="No",B2="Residential",L2="5"),"&lt;=85% LTV 5 Year fee assisted product",IF(AND(C2&lt;86%,D2="Yes",B2="Residential",L2="5"),"&lt;=85% LTV 5 Year fee product",IF(AND(C2&lt;91%,D2="No",B2="Residential",L2="2"),"&lt;=90% LTV 2 Year fee assisted product",IF(AND(C2&lt;91%,D2="Yes",B2="Residential",L2="2"),"&lt;=90% LTV 2 Year fee product",IF(AND(C2&lt;91%,D2="No",B2="Residential",L2="5"),"&lt;=90% LTV 5 Year fee assisted product",IF(AND(C2&lt;91%,D2="Yes",B2="Residential",L2="5"),"&lt;=90% LTV 5 Year fee product",IF(AND(C2&lt;96%,D2="No",B2="Residential",L2="2"),"&lt;=95% LTV 2 Year fee assisted product",IF(AND(C2&lt;96%,D2="Yes",B2="Residential",L2="2"),"&lt;=95% LTV 2 Year fee product",IF(AND(C2&lt;96%,D2="No",B2="Residential",L2="5"),"&lt;=95% LTV 5 Year fee assisted product",IF(AND(C2&lt;96%,D2="Yes",B2="Residential",L2="5"),"&lt;=95% LTV 5 Year fee product",IF(AND(D2="No",B2="Interest Only"),"Interest Only fee assisted product",IF(AND(D2="Yes",B2="Interest Only"),"Interest Only fee product",IF(AND(D2="No",B2="BTL"),"Buy to Let fee assisted product",IF(AND(D2="Yes",B2="BTL"),"Buy to Let fee product",IF(AND(D2="No",B2="Self Build"),"Self Build fee assisted product",IF(AND(D2="Yes",B2="Self Build"),"Self Build fee product",IF(AND(D2="No",B2="Self Employed"),"Self Employed fee assisted product",IF(AND(D2="Yes",B2="Self Employed"),"Self Employed fee product",IF(AND(L2="2",B2="JMSP"),"JMSP 2 Year fee product",IF(AND(L2="5",B2="JMSP"),"JMSP 5 Year fee product",IF(AND(L2="2",B2="Shared Ownership"),"Shared Ownership 2 Year fee product",IF(AND(L2="5",B2="Shared Ownership"),"Shared Ownership 5 Year fee product",IF(AND(M2="Fixed",B2="Retention"),"Retention Fixed Rate",IF(AND(M2="Variable",B2="Retention"),"Retention Variable Rate",B2)))))))))))))))))))))))))))))))</f>
        <v>Large Loans</v>
      </c>
    </row>
    <row r="3" spans="1:20">
      <c r="A3" s="184" t="str">
        <f>IF('Product Launch Brief - PM'!G5="","",'Product Launch Brief - PM'!G5)</f>
        <v>Residential</v>
      </c>
      <c r="B3" s="185" t="str">
        <f t="shared" ref="B3:B41" si="5">IF(A3="","",VLOOKUP(A3,Product,2,FALSE))</f>
        <v>Residential</v>
      </c>
      <c r="C3" s="186">
        <f>IF('Product Launch Brief - PM'!I5="","",'Product Launch Brief - PM'!I5)</f>
        <v>0.8</v>
      </c>
      <c r="D3" s="185" t="str">
        <f>IF(C3="","",IF('Product Launch Brief - PM'!J5&lt;=1,"No","Yes"))</f>
        <v>No</v>
      </c>
      <c r="E3" s="185" t="str">
        <f>IF(C3="","",IF('Product Launch Brief - PM'!J5="","",'Product Launch Brief - PM'!J5))</f>
        <v/>
      </c>
      <c r="F3" s="187">
        <f t="shared" si="0"/>
        <v>178041</v>
      </c>
      <c r="G3" s="188">
        <f t="shared" ref="G3:G41" si="6">IF(B3="","",VLOOKUP(T3,lookup,3,FALSE))</f>
        <v>312</v>
      </c>
      <c r="H3" s="189">
        <f>IF('Product Launch Brief - PM'!H5="","",'Product Launch Brief - PM'!H5)</f>
        <v>5.2900000000000003E-2</v>
      </c>
      <c r="I3" s="167">
        <v>6.8000000000000005E-2</v>
      </c>
      <c r="J3" s="190" t="str">
        <f t="shared" si="2"/>
        <v/>
      </c>
      <c r="K3" s="191">
        <f t="shared" si="3"/>
        <v>340</v>
      </c>
      <c r="L3" s="192" t="str">
        <f>IF(B3="","",IF('Product Launch Brief - PM'!F5="2 Year Fixed","2",IF('Product Launch Brief - PM'!F5="5 Year Fixed","5",IF('Product Launch Brief - PM'!F5="2 Year Discount","2",IF('Product Launch Brief - PM'!F5="5 Year Discount","5",IF('Product Launch Brief - PM'!F5="2 Year Variable","2"))))))</f>
        <v>2</v>
      </c>
      <c r="M3" s="193" t="str">
        <f>IF(B3="","",IF('Product Launch Brief - PM'!F5="2 Year Fixed","Fixed",IF('Product Launch Brief - PM'!F5="5 Year Fixed","Fixed",IF('Product Launch Brief - PM'!F5="2 Year Discount","Variable",IF('Product Launch Brief - PM'!F5="5 Year Discount","Variable",IF('Product Launch Brief - PM'!F5="2 Year Variable","Variable"))))))</f>
        <v>Fixed</v>
      </c>
      <c r="T3" s="194" t="str">
        <f t="shared" si="4"/>
        <v>&lt;=80% LTV 2 Year fee assisted product</v>
      </c>
    </row>
    <row r="4" spans="1:20">
      <c r="A4" s="184" t="str">
        <f>IF('Product Launch Brief - PM'!G6="","",'Product Launch Brief - PM'!G6)</f>
        <v>Self Employed</v>
      </c>
      <c r="B4" s="185" t="str">
        <f t="shared" si="5"/>
        <v>Self Employed</v>
      </c>
      <c r="C4" s="186">
        <f>IF('Product Launch Brief - PM'!I6="","",'Product Launch Brief - PM'!I6)</f>
        <v>0.8</v>
      </c>
      <c r="D4" s="185" t="str">
        <f>IF(C4="","",IF('Product Launch Brief - PM'!J6&lt;=1,"No","Yes"))</f>
        <v>No</v>
      </c>
      <c r="E4" s="185" t="str">
        <f>IF(C4="","",IF('Product Launch Brief - PM'!J6="","",'Product Launch Brief - PM'!J6))</f>
        <v/>
      </c>
      <c r="F4" s="187">
        <f t="shared" si="0"/>
        <v>219201</v>
      </c>
      <c r="G4" s="188">
        <f t="shared" si="6"/>
        <v>312</v>
      </c>
      <c r="H4" s="189">
        <f>IF('Product Launch Brief - PM'!H6="","",'Product Launch Brief - PM'!H6)</f>
        <v>4.8000000000000001E-2</v>
      </c>
      <c r="I4" s="167">
        <v>6.2E-2</v>
      </c>
      <c r="J4" s="190" t="str">
        <f t="shared" si="2"/>
        <v/>
      </c>
      <c r="K4" s="191">
        <f t="shared" si="3"/>
        <v>340</v>
      </c>
      <c r="L4" s="192" t="str">
        <f>IF(B4="","",IF('Product Launch Brief - PM'!F6="2 Year Fixed","2",IF('Product Launch Brief - PM'!F6="5 Year Fixed","5",IF('Product Launch Brief - PM'!F6="2 Year Discount","2",IF('Product Launch Brief - PM'!F6="5 Year Discount","5",IF('Product Launch Brief - PM'!F6="2 Year Variable","2"))))))</f>
        <v>5</v>
      </c>
      <c r="M4" s="193" t="str">
        <f>IF(B4="","",IF('Product Launch Brief - PM'!F6="2 Year Fixed","Fixed",IF('Product Launch Brief - PM'!F6="5 Year Fixed","Fixed",IF('Product Launch Brief - PM'!F6="2 Year Discount","Variable",IF('Product Launch Brief - PM'!F6="5 Year Discount","Variable",IF('Product Launch Brief - PM'!F6="2 Year Variable","Variable"))))))</f>
        <v>Fixed</v>
      </c>
      <c r="T4" s="194" t="str">
        <f t="shared" si="4"/>
        <v>Self Employed fee assisted product</v>
      </c>
    </row>
    <row r="5" spans="1:20">
      <c r="A5" s="184" t="str">
        <f>IF('Product Launch Brief - PM'!G7="","",'Product Launch Brief - PM'!G7)</f>
        <v>Residential</v>
      </c>
      <c r="B5" s="185" t="str">
        <f t="shared" si="5"/>
        <v>Residential</v>
      </c>
      <c r="C5" s="186">
        <f>IF('Product Launch Brief - PM'!I7="","",'Product Launch Brief - PM'!I7)</f>
        <v>0.8</v>
      </c>
      <c r="D5" s="185" t="str">
        <f>IF(C5="","",IF('Product Launch Brief - PM'!J7&lt;=1,"No","Yes"))</f>
        <v>Yes</v>
      </c>
      <c r="E5" s="185">
        <f>IF(C5="","",IF('Product Launch Brief - PM'!J7="","",'Product Launch Brief - PM'!J7))</f>
        <v>999</v>
      </c>
      <c r="F5" s="187">
        <f t="shared" si="0"/>
        <v>183184</v>
      </c>
      <c r="G5" s="188">
        <f t="shared" si="6"/>
        <v>312</v>
      </c>
      <c r="H5" s="189">
        <f>IF('Product Launch Brief - PM'!H7="","",'Product Launch Brief - PM'!H7)</f>
        <v>4.6600000000000003E-2</v>
      </c>
      <c r="I5" s="167">
        <v>6.2E-2</v>
      </c>
      <c r="J5" s="190" t="str">
        <f t="shared" si="2"/>
        <v/>
      </c>
      <c r="K5" s="191">
        <f t="shared" si="3"/>
        <v>340</v>
      </c>
      <c r="L5" s="192" t="str">
        <f>IF(B5="","",IF('Product Launch Brief - PM'!F7="2 Year Fixed","2",IF('Product Launch Brief - PM'!F7="5 Year Fixed","5",IF('Product Launch Brief - PM'!F7="2 Year Discount","2",IF('Product Launch Brief - PM'!F7="5 Year Discount","5",IF('Product Launch Brief - PM'!F7="2 Year Variable","2"))))))</f>
        <v>5</v>
      </c>
      <c r="M5" s="193" t="str">
        <f>IF(B5="","",IF('Product Launch Brief - PM'!F7="2 Year Fixed","Fixed",IF('Product Launch Brief - PM'!F7="5 Year Fixed","Fixed",IF('Product Launch Brief - PM'!F7="2 Year Discount","Variable",IF('Product Launch Brief - PM'!F7="5 Year Discount","Variable",IF('Product Launch Brief - PM'!F7="2 Year Variable","Variable"))))))</f>
        <v>Fixed</v>
      </c>
      <c r="T5" s="194" t="str">
        <f t="shared" si="4"/>
        <v>&lt;=80% LTV 5 Year fee product</v>
      </c>
    </row>
    <row r="6" spans="1:20">
      <c r="A6" s="184" t="str">
        <f>IF('Product Launch Brief - PM'!G8="","",'Product Launch Brief - PM'!G8)</f>
        <v>Residential</v>
      </c>
      <c r="B6" s="185" t="str">
        <f t="shared" si="5"/>
        <v>Residential</v>
      </c>
      <c r="C6" s="186">
        <f>IF('Product Launch Brief - PM'!I8="","",'Product Launch Brief - PM'!I8)</f>
        <v>0.9</v>
      </c>
      <c r="D6" s="185" t="str">
        <f>IF(C6="","",IF('Product Launch Brief - PM'!J8&lt;=1,"No","Yes"))</f>
        <v>No</v>
      </c>
      <c r="E6" s="185" t="str">
        <f>IF(C6="","",IF('Product Launch Brief - PM'!J8="","",'Product Launch Brief - PM'!J8))</f>
        <v/>
      </c>
      <c r="F6" s="187">
        <f t="shared" si="0"/>
        <v>143698</v>
      </c>
      <c r="G6" s="188">
        <f t="shared" si="6"/>
        <v>360</v>
      </c>
      <c r="H6" s="189">
        <f>IF('Product Launch Brief - PM'!H8="","",'Product Launch Brief - PM'!H8)</f>
        <v>5.5E-2</v>
      </c>
      <c r="I6" s="167">
        <v>6.9000000000000006E-2</v>
      </c>
      <c r="J6" s="190" t="str">
        <f t="shared" si="2"/>
        <v/>
      </c>
      <c r="K6" s="191">
        <f t="shared" si="3"/>
        <v>265</v>
      </c>
      <c r="L6" s="192" t="str">
        <f>IF(B6="","",IF('Product Launch Brief - PM'!F8="2 Year Fixed","2",IF('Product Launch Brief - PM'!F8="5 Year Fixed","5",IF('Product Launch Brief - PM'!F8="2 Year Discount","2",IF('Product Launch Brief - PM'!F8="5 Year Discount","5",IF('Product Launch Brief - PM'!F8="2 Year Variable","2"))))))</f>
        <v>2</v>
      </c>
      <c r="M6" s="193" t="str">
        <f>IF(B6="","",IF('Product Launch Brief - PM'!F8="2 Year Fixed","Fixed",IF('Product Launch Brief - PM'!F8="5 Year Fixed","Fixed",IF('Product Launch Brief - PM'!F8="2 Year Discount","Variable",IF('Product Launch Brief - PM'!F8="5 Year Discount","Variable",IF('Product Launch Brief - PM'!F8="2 Year Variable","Variable"))))))</f>
        <v>Fixed</v>
      </c>
      <c r="T6" s="194" t="str">
        <f t="shared" si="4"/>
        <v>&lt;=90% LTV 2 Year fee assisted product</v>
      </c>
    </row>
    <row r="7" spans="1:20">
      <c r="A7" s="184" t="str">
        <f>IF('Product Launch Brief - PM'!G9="","",'Product Launch Brief - PM'!G9)</f>
        <v>Residential</v>
      </c>
      <c r="B7" s="185" t="str">
        <f t="shared" si="5"/>
        <v>Residential</v>
      </c>
      <c r="C7" s="186">
        <f>IF('Product Launch Brief - PM'!I9="","",'Product Launch Brief - PM'!I9)</f>
        <v>0.9</v>
      </c>
      <c r="D7" s="185" t="str">
        <f>IF(C7="","",IF('Product Launch Brief - PM'!J9&lt;=1,"No","Yes"))</f>
        <v>No</v>
      </c>
      <c r="E7" s="185" t="str">
        <f>IF(C7="","",IF('Product Launch Brief - PM'!J9="","",'Product Launch Brief - PM'!J9))</f>
        <v/>
      </c>
      <c r="F7" s="187">
        <f t="shared" si="0"/>
        <v>175722</v>
      </c>
      <c r="G7" s="188">
        <f t="shared" si="6"/>
        <v>336</v>
      </c>
      <c r="H7" s="189">
        <f>IF('Product Launch Brief - PM'!H9="","",'Product Launch Brief - PM'!H9)</f>
        <v>4.99E-2</v>
      </c>
      <c r="I7" s="167">
        <v>6.3E-2</v>
      </c>
      <c r="J7" s="190" t="str">
        <f t="shared" si="2"/>
        <v/>
      </c>
      <c r="K7" s="191">
        <f t="shared" ref="K7:K10" si="7">IF(B7="","",VLOOKUP(T7,lookup,5,FALSE))</f>
        <v>290</v>
      </c>
      <c r="L7" s="192" t="str">
        <f>IF(B7="","",IF('Product Launch Brief - PM'!F9="2 Year Fixed","2",IF('Product Launch Brief - PM'!F9="5 Year Fixed","5",IF('Product Launch Brief - PM'!F9="2 Year Discount","2",IF('Product Launch Brief - PM'!F9="5 Year Discount","5",IF('Product Launch Brief - PM'!F9="2 Year Variable","2"))))))</f>
        <v>5</v>
      </c>
      <c r="M7" s="193" t="str">
        <f>IF(B7="","",IF('Product Launch Brief - PM'!F9="2 Year Fixed","Fixed",IF('Product Launch Brief - PM'!F9="5 Year Fixed","Fixed",IF('Product Launch Brief - PM'!F9="2 Year Discount","Variable",IF('Product Launch Brief - PM'!F9="5 Year Discount","Variable",IF('Product Launch Brief - PM'!F9="2 Year Variable","Variable"))))))</f>
        <v>Fixed</v>
      </c>
      <c r="T7" s="194" t="str">
        <f t="shared" si="4"/>
        <v>&lt;=90% LTV 5 Year fee assisted product</v>
      </c>
    </row>
    <row r="8" spans="1:20">
      <c r="A8" s="184" t="str">
        <f>IF('Product Launch Brief - PM'!G10="","",'Product Launch Brief - PM'!G10)</f>
        <v>Residential</v>
      </c>
      <c r="B8" s="185" t="str">
        <f t="shared" si="5"/>
        <v>Residential</v>
      </c>
      <c r="C8" s="186">
        <f>IF('Product Launch Brief - PM'!I10="","",'Product Launch Brief - PM'!I10)</f>
        <v>0.9</v>
      </c>
      <c r="D8" s="185" t="str">
        <f>IF(C8="","",IF('Product Launch Brief - PM'!J10&lt;=1,"No","Yes"))</f>
        <v>Yes</v>
      </c>
      <c r="E8" s="185">
        <f>IF(C8="","",IF('Product Launch Brief - PM'!J10="","",'Product Launch Brief - PM'!J10))</f>
        <v>999</v>
      </c>
      <c r="F8" s="187">
        <f t="shared" si="0"/>
        <v>204164</v>
      </c>
      <c r="G8" s="188">
        <f t="shared" si="6"/>
        <v>312</v>
      </c>
      <c r="H8" s="189">
        <f>IF('Product Launch Brief - PM'!H10="","",'Product Launch Brief - PM'!H10)</f>
        <v>4.8500000000000001E-2</v>
      </c>
      <c r="I8" s="167">
        <v>6.3E-2</v>
      </c>
      <c r="J8" s="190" t="str">
        <f t="shared" si="2"/>
        <v/>
      </c>
      <c r="K8" s="191">
        <f t="shared" si="7"/>
        <v>340</v>
      </c>
      <c r="L8" s="192" t="str">
        <f>IF(B8="","",IF('Product Launch Brief - PM'!F10="2 Year Fixed","2",IF('Product Launch Brief - PM'!F10="5 Year Fixed","5",IF('Product Launch Brief - PM'!F10="2 Year Discount","2",IF('Product Launch Brief - PM'!F10="5 Year Discount","5",IF('Product Launch Brief - PM'!F10="2 Year Variable","2"))))))</f>
        <v>5</v>
      </c>
      <c r="M8" s="193" t="str">
        <f>IF(B8="","",IF('Product Launch Brief - PM'!F10="2 Year Fixed","Fixed",IF('Product Launch Brief - PM'!F10="5 Year Fixed","Fixed",IF('Product Launch Brief - PM'!F10="2 Year Discount","Variable",IF('Product Launch Brief - PM'!F10="5 Year Discount","Variable",IF('Product Launch Brief - PM'!F10="2 Year Variable","Variable"))))))</f>
        <v>Fixed</v>
      </c>
      <c r="T8" s="194" t="str">
        <f t="shared" si="4"/>
        <v>&lt;=90% LTV 5 Year fee product</v>
      </c>
    </row>
    <row r="9" spans="1:20">
      <c r="A9" s="184" t="str">
        <f>IF('Product Launch Brief - PM'!G11="","",'Product Launch Brief - PM'!G11)</f>
        <v>Residential</v>
      </c>
      <c r="B9" s="185" t="str">
        <f t="shared" si="5"/>
        <v>Residential</v>
      </c>
      <c r="C9" s="186">
        <f>IF('Product Launch Brief - PM'!I11="","",'Product Launch Brief - PM'!I11)</f>
        <v>0.95</v>
      </c>
      <c r="D9" s="185" t="str">
        <f>IF(C9="","",IF('Product Launch Brief - PM'!J11&lt;=1,"No","Yes"))</f>
        <v>Yes</v>
      </c>
      <c r="E9" s="185">
        <f>IF(C9="","",IF('Product Launch Brief - PM'!J11="","",'Product Launch Brief - PM'!J11))</f>
        <v>999</v>
      </c>
      <c r="F9" s="187">
        <f t="shared" si="0"/>
        <v>280518</v>
      </c>
      <c r="G9" s="188">
        <f t="shared" si="6"/>
        <v>396</v>
      </c>
      <c r="H9" s="189">
        <f>IF('Product Launch Brief - PM'!H11="","",'Product Launch Brief - PM'!H11)</f>
        <v>5.3499999999999999E-2</v>
      </c>
      <c r="I9" s="167">
        <v>6.9000000000000006E-2</v>
      </c>
      <c r="J9" s="190" t="str">
        <f t="shared" si="2"/>
        <v/>
      </c>
      <c r="K9" s="191">
        <f t="shared" si="7"/>
        <v>340</v>
      </c>
      <c r="L9" s="192" t="str">
        <f>IF(B9="","",IF('Product Launch Brief - PM'!F11="2 Year Fixed","2",IF('Product Launch Brief - PM'!F11="5 Year Fixed","5",IF('Product Launch Brief - PM'!F11="2 Year Discount","2",IF('Product Launch Brief - PM'!F11="5 Year Discount","5",IF('Product Launch Brief - PM'!F11="2 Year Variable","2"))))))</f>
        <v>2</v>
      </c>
      <c r="M9" s="193" t="str">
        <f>IF(B9="","",IF('Product Launch Brief - PM'!F11="2 Year Fixed","Fixed",IF('Product Launch Brief - PM'!F11="5 Year Fixed","Fixed",IF('Product Launch Brief - PM'!F11="2 Year Discount","Variable",IF('Product Launch Brief - PM'!F11="5 Year Discount","Variable",IF('Product Launch Brief - PM'!F11="2 Year Variable","Variable"))))))</f>
        <v>Fixed</v>
      </c>
      <c r="T9" s="194" t="str">
        <f t="shared" si="4"/>
        <v>&lt;=95% LTV 2 Year fee product</v>
      </c>
    </row>
    <row r="10" spans="1:20">
      <c r="A10" s="184" t="str">
        <f>IF('Product Launch Brief - PM'!G12="","",'Product Launch Brief - PM'!G12)</f>
        <v>Residential</v>
      </c>
      <c r="B10" s="185" t="str">
        <f t="shared" si="5"/>
        <v>Residential</v>
      </c>
      <c r="C10" s="186">
        <f>IF('Product Launch Brief - PM'!I12="","",'Product Launch Brief - PM'!I12)</f>
        <v>0.95</v>
      </c>
      <c r="D10" s="185" t="str">
        <f>IF(C10="","",IF('Product Launch Brief - PM'!J12&lt;=1,"No","Yes"))</f>
        <v>No</v>
      </c>
      <c r="E10" s="185" t="str">
        <f>IF(C10="","",IF('Product Launch Brief - PM'!J12="","",'Product Launch Brief - PM'!J12))</f>
        <v/>
      </c>
      <c r="F10" s="187">
        <f t="shared" si="0"/>
        <v>154307</v>
      </c>
      <c r="G10" s="188">
        <f t="shared" si="6"/>
        <v>396</v>
      </c>
      <c r="H10" s="189">
        <f>IF('Product Launch Brief - PM'!H12="","",'Product Launch Brief - PM'!H12)</f>
        <v>5.6899999999999999E-2</v>
      </c>
      <c r="I10" s="170">
        <v>7.0000000000000007E-2</v>
      </c>
      <c r="J10" s="190" t="str">
        <f t="shared" si="2"/>
        <v/>
      </c>
      <c r="K10" s="191">
        <f t="shared" si="7"/>
        <v>265</v>
      </c>
      <c r="L10" s="192" t="str">
        <f>IF(B10="","",IF('Product Launch Brief - PM'!F12="2 Year Fixed","2",IF('Product Launch Brief - PM'!F12="5 Year Fixed","5",IF('Product Launch Brief - PM'!F12="2 Year Discount","2",IF('Product Launch Brief - PM'!F12="5 Year Discount","5",IF('Product Launch Brief - PM'!F12="2 Year Variable","2"))))))</f>
        <v>2</v>
      </c>
      <c r="M10" s="193" t="str">
        <f>IF(B10="","",IF('Product Launch Brief - PM'!F12="2 Year Fixed","Fixed",IF('Product Launch Brief - PM'!F12="5 Year Fixed","Fixed",IF('Product Launch Brief - PM'!F12="2 Year Discount","Variable",IF('Product Launch Brief - PM'!F12="5 Year Discount","Variable",IF('Product Launch Brief - PM'!F12="2 Year Variable","Variable"))))))</f>
        <v>Fixed</v>
      </c>
      <c r="T10" s="194" t="str">
        <f t="shared" si="4"/>
        <v>&lt;=95% LTV 2 Year fee assisted product</v>
      </c>
    </row>
    <row r="11" spans="1:20">
      <c r="A11" s="184" t="str">
        <f>IF('Product Launch Brief - PM'!G13="","",'Product Launch Brief - PM'!G13)</f>
        <v>Residential - Existing Customer only</v>
      </c>
      <c r="B11" s="185" t="str">
        <f t="shared" si="5"/>
        <v>Retention</v>
      </c>
      <c r="C11" s="186">
        <f>IF('Product Launch Brief - PM'!I13="","",'Product Launch Brief - PM'!I13)</f>
        <v>0.8</v>
      </c>
      <c r="D11" s="185" t="str">
        <f>IF(C11="","",IF('Product Launch Brief - PM'!J13&lt;=1,"No","Yes"))</f>
        <v>No</v>
      </c>
      <c r="E11" s="185" t="str">
        <f>IF(C11="","",IF('Product Launch Brief - PM'!J13="","",'Product Launch Brief - PM'!J13))</f>
        <v/>
      </c>
      <c r="F11" s="187">
        <f t="shared" si="0"/>
        <v>150000</v>
      </c>
      <c r="G11" s="188">
        <v>228</v>
      </c>
      <c r="H11" s="189">
        <f>IF('Product Launch Brief - PM'!H13="","",'Product Launch Brief - PM'!H13)</f>
        <v>4.7500000000000001E-2</v>
      </c>
      <c r="I11" s="167">
        <v>0.06</v>
      </c>
      <c r="J11" s="190" t="str">
        <f t="shared" ref="J11:J17" si="8">IF(B11="Interest Only", "Interest Regularly and Repayment of capital at end","")</f>
        <v/>
      </c>
      <c r="K11" s="191">
        <f t="shared" ref="K11:K17" si="9">IF(B11="","",VLOOKUP(T11,lookup,5,FALSE))</f>
        <v>0</v>
      </c>
      <c r="L11" s="192" t="str">
        <f>IF(B11="","",IF('Product Launch Brief - PM'!F13="2 Year Fixed","2",IF('Product Launch Brief - PM'!F13="5 Year Fixed","5",IF('Product Launch Brief - PM'!F13="2 Year Discount","2",IF('Product Launch Brief - PM'!F13="5 Year Discount","5",IF('Product Launch Brief - PM'!F13="2 Year Variable","2"))))))</f>
        <v>5</v>
      </c>
      <c r="M11" s="193" t="str">
        <f>IF(B11="","",IF('Product Launch Brief - PM'!F13="2 Year Fixed","Fixed",IF('Product Launch Brief - PM'!F13="5 Year Fixed","Fixed",IF('Product Launch Brief - PM'!F13="2 Year Discount","Variable",IF('Product Launch Brief - PM'!F13="5 Year Discount","Variable",IF('Product Launch Brief - PM'!F13="2 Year Variable","Variable"))))))</f>
        <v>Fixed</v>
      </c>
      <c r="T11" s="194" t="str">
        <f t="shared" si="4"/>
        <v>Retention Fixed Rate</v>
      </c>
    </row>
    <row r="12" spans="1:20">
      <c r="A12" s="184" t="str">
        <f>IF('Product Launch Brief - PM'!G14="","",'Product Launch Brief - PM'!G14)</f>
        <v>Residential - Existing Customer only</v>
      </c>
      <c r="B12" s="185" t="str">
        <f t="shared" si="5"/>
        <v>Retention</v>
      </c>
      <c r="C12" s="186">
        <f>IF('Product Launch Brief - PM'!I14="","",'Product Launch Brief - PM'!I14)</f>
        <v>0.8</v>
      </c>
      <c r="D12" s="185" t="str">
        <f>IF(C12="","",IF('Product Launch Brief - PM'!J14&lt;=1,"No","Yes"))</f>
        <v>Yes</v>
      </c>
      <c r="E12" s="185">
        <f>IF(C12="","",IF('Product Launch Brief - PM'!J14="","",'Product Launch Brief - PM'!J14))</f>
        <v>999</v>
      </c>
      <c r="F12" s="187">
        <f t="shared" si="0"/>
        <v>150000</v>
      </c>
      <c r="G12" s="188">
        <v>228</v>
      </c>
      <c r="H12" s="189">
        <f>IF('Product Launch Brief - PM'!H14="","",'Product Launch Brief - PM'!H14)</f>
        <v>4.5999999999999999E-2</v>
      </c>
      <c r="I12" s="170">
        <v>0.06</v>
      </c>
      <c r="J12" s="190" t="str">
        <f t="shared" si="8"/>
        <v/>
      </c>
      <c r="K12" s="191">
        <f t="shared" si="9"/>
        <v>0</v>
      </c>
      <c r="L12" s="192" t="str">
        <f>IF(B12="","",IF('Product Launch Brief - PM'!F14="2 Year Fixed","2",IF('Product Launch Brief - PM'!F14="5 Year Fixed","5",IF('Product Launch Brief - PM'!F14="2 Year Discount","2",IF('Product Launch Brief - PM'!F14="5 Year Discount","5",IF('Product Launch Brief - PM'!F14="2 Year Variable","2"))))))</f>
        <v>5</v>
      </c>
      <c r="M12" s="193" t="str">
        <f>IF(B12="","",IF('Product Launch Brief - PM'!F14="2 Year Fixed","Fixed",IF('Product Launch Brief - PM'!F14="5 Year Fixed","Fixed",IF('Product Launch Brief - PM'!F14="2 Year Discount","Variable",IF('Product Launch Brief - PM'!F14="5 Year Discount","Variable",IF('Product Launch Brief - PM'!F14="2 Year Variable","Variable"))))))</f>
        <v>Fixed</v>
      </c>
      <c r="T12" s="194" t="str">
        <f t="shared" si="4"/>
        <v>Retention Fixed Rate</v>
      </c>
    </row>
    <row r="13" spans="1:20">
      <c r="A13" s="184" t="str">
        <f>IF('Product Launch Brief - PM'!G15="","",'Product Launch Brief - PM'!G15)</f>
        <v>Deposit Unlock</v>
      </c>
      <c r="B13" s="185" t="str">
        <f t="shared" si="5"/>
        <v>Deposit Unlock</v>
      </c>
      <c r="C13" s="186">
        <f>IF('Product Launch Brief - PM'!I15="","",'Product Launch Brief - PM'!I15)</f>
        <v>0.95</v>
      </c>
      <c r="D13" s="185" t="str">
        <f>IF(C13="","",IF('Product Launch Brief - PM'!J15&lt;=1,"No","Yes"))</f>
        <v>Yes</v>
      </c>
      <c r="E13" s="185">
        <f>IF(C13="","",IF('Product Launch Brief - PM'!J15="","",'Product Launch Brief - PM'!J15))</f>
        <v>999</v>
      </c>
      <c r="F13" s="187">
        <f>IF(B13="","",VLOOKUP(T13,lookup,2,FALSE))</f>
        <v>262338</v>
      </c>
      <c r="G13" s="188">
        <f t="shared" si="6"/>
        <v>444</v>
      </c>
      <c r="H13" s="189">
        <f>IF('Product Launch Brief - PM'!H15="","",'Product Launch Brief - PM'!H15)</f>
        <v>5.3499999999999999E-2</v>
      </c>
      <c r="I13" s="220">
        <v>6.9000000000000006E-2</v>
      </c>
      <c r="J13" s="190" t="str">
        <f t="shared" si="8"/>
        <v/>
      </c>
      <c r="K13" s="191">
        <f t="shared" si="9"/>
        <v>315</v>
      </c>
      <c r="L13" s="192" t="str">
        <f>IF(B13="","",IF('Product Launch Brief - PM'!F15="2 Year Fixed","2",IF('Product Launch Brief - PM'!F15="5 Year Fixed","5",IF('Product Launch Brief - PM'!F15="2 Year Discount","2",IF('Product Launch Brief - PM'!F15="5 Year Discount","5",IF('Product Launch Brief - PM'!F15="2 Year Variable","2"))))))</f>
        <v>2</v>
      </c>
      <c r="M13" s="193" t="str">
        <f>IF(B13="","",IF('Product Launch Brief - PM'!F15="2 Year Fixed","Fixed",IF('Product Launch Brief - PM'!F15="5 Year Fixed","Fixed",IF('Product Launch Brief - PM'!F15="2 Year Discount","Variable",IF('Product Launch Brief - PM'!F15="5 Year Discount","Variable",IF('Product Launch Brief - PM'!F15="2 Year Variable","Variable"))))))</f>
        <v>Fixed</v>
      </c>
      <c r="T13" s="194" t="str">
        <f t="shared" si="4"/>
        <v>Deposit Unlock</v>
      </c>
    </row>
    <row r="14" spans="1:20">
      <c r="A14" s="184" t="str">
        <f>IF('Product Launch Brief - PM'!G16="","",'Product Launch Brief - PM'!G16)</f>
        <v>Deposit Unlock</v>
      </c>
      <c r="B14" s="185" t="str">
        <f t="shared" si="5"/>
        <v>Deposit Unlock</v>
      </c>
      <c r="C14" s="186">
        <f>IF('Product Launch Brief - PM'!I16="","",'Product Launch Brief - PM'!I16)</f>
        <v>0.95</v>
      </c>
      <c r="D14" s="185" t="str">
        <f>IF(C14="","",IF('Product Launch Brief - PM'!J16&lt;=1,"No","Yes"))</f>
        <v>No</v>
      </c>
      <c r="E14" s="185" t="str">
        <f>IF(C14="","",IF('Product Launch Brief - PM'!J16="","",'Product Launch Brief - PM'!J16))</f>
        <v/>
      </c>
      <c r="F14" s="187">
        <f t="shared" si="0"/>
        <v>262338</v>
      </c>
      <c r="G14" s="188">
        <f t="shared" si="6"/>
        <v>444</v>
      </c>
      <c r="H14" s="189">
        <f>IF('Product Launch Brief - PM'!H16="","",'Product Launch Brief - PM'!H16)</f>
        <v>5.6899999999999999E-2</v>
      </c>
      <c r="I14" s="221">
        <v>7.0000000000000007E-2</v>
      </c>
      <c r="J14" s="190" t="str">
        <f t="shared" si="8"/>
        <v/>
      </c>
      <c r="K14" s="191">
        <f t="shared" si="9"/>
        <v>315</v>
      </c>
      <c r="L14" s="192" t="str">
        <f>IF(B14="","",IF('Product Launch Brief - PM'!F16="2 Year Fixed","2",IF('Product Launch Brief - PM'!F16="5 Year Fixed","5",IF('Product Launch Brief - PM'!F16="2 Year Discount","2",IF('Product Launch Brief - PM'!F16="5 Year Discount","5",IF('Product Launch Brief - PM'!F16="2 Year Variable","2"))))))</f>
        <v>2</v>
      </c>
      <c r="M14" s="193" t="str">
        <f>IF(B14="","",IF('Product Launch Brief - PM'!F16="2 Year Fixed","Fixed",IF('Product Launch Brief - PM'!F16="5 Year Fixed","Fixed",IF('Product Launch Brief - PM'!F16="2 Year Discount","Variable",IF('Product Launch Brief - PM'!F16="5 Year Discount","Variable",IF('Product Launch Brief - PM'!F16="2 Year Variable","Variable"))))))</f>
        <v>Fixed</v>
      </c>
      <c r="T14" s="194" t="str">
        <f t="shared" si="4"/>
        <v>Deposit Unlock</v>
      </c>
    </row>
    <row r="15" spans="1:20">
      <c r="A15" s="184" t="str">
        <f>IF('Product Launch Brief - PM'!G17="","",'Product Launch Brief - PM'!G17)</f>
        <v>Large Loan</v>
      </c>
      <c r="B15" s="185" t="str">
        <f t="shared" si="5"/>
        <v>Large Loans</v>
      </c>
      <c r="C15" s="186">
        <f>IF('Product Launch Brief - PM'!I17="","",'Product Launch Brief - PM'!I17)</f>
        <v>0.65</v>
      </c>
      <c r="D15" s="185" t="str">
        <f>IF(C15="","",IF('Product Launch Brief - PM'!J17&lt;=1,"No","Yes"))</f>
        <v>Yes</v>
      </c>
      <c r="E15" s="185">
        <f>IF(C15="","",IF('Product Launch Brief - PM'!J17="","",'Product Launch Brief - PM'!J17))</f>
        <v>1999</v>
      </c>
      <c r="F15" s="187">
        <f t="shared" si="0"/>
        <v>761792</v>
      </c>
      <c r="G15" s="188">
        <f t="shared" si="6"/>
        <v>312</v>
      </c>
      <c r="H15" s="189">
        <f>IF('Product Launch Brief - PM'!H17="","",'Product Launch Brief - PM'!H17)</f>
        <v>5.9900000000000002E-2</v>
      </c>
      <c r="I15" s="220">
        <v>7.0000000000000007E-2</v>
      </c>
      <c r="J15" s="190" t="str">
        <f t="shared" si="8"/>
        <v/>
      </c>
      <c r="K15" s="191">
        <f t="shared" si="9"/>
        <v>815</v>
      </c>
      <c r="L15" s="192" t="str">
        <f>IF(B15="","",IF('Product Launch Brief - PM'!F17="2 Year Fixed","2",IF('Product Launch Brief - PM'!F17="5 Year Fixed","5",IF('Product Launch Brief - PM'!F17="2 Year Discount","2",IF('Product Launch Brief - PM'!F17="5 Year Discount","5",IF('Product Launch Brief - PM'!F17="2 Year Variable","2"))))))</f>
        <v>2</v>
      </c>
      <c r="M15" s="193" t="str">
        <f>IF(B15="","",IF('Product Launch Brief - PM'!F17="2 Year Fixed","Fixed",IF('Product Launch Brief - PM'!F17="5 Year Fixed","Fixed",IF('Product Launch Brief - PM'!F17="2 Year Discount","Variable",IF('Product Launch Brief - PM'!F17="5 Year Discount","Variable",IF('Product Launch Brief - PM'!F17="2 Year Variable","Variable"))))))</f>
        <v>Variable</v>
      </c>
      <c r="T15" s="194" t="str">
        <f t="shared" si="4"/>
        <v>Large Loans</v>
      </c>
    </row>
    <row r="16" spans="1:20">
      <c r="A16" s="184" t="str">
        <f>IF('Product Launch Brief - PM'!G18="","",'Product Launch Brief - PM'!G18)</f>
        <v>Large Loan</v>
      </c>
      <c r="B16" s="185" t="str">
        <f t="shared" si="5"/>
        <v>Large Loans</v>
      </c>
      <c r="C16" s="186">
        <f>IF('Product Launch Brief - PM'!I18="","",'Product Launch Brief - PM'!I18)</f>
        <v>0.65</v>
      </c>
      <c r="D16" s="185" t="str">
        <f>IF(C16="","",IF('Product Launch Brief - PM'!J18&lt;=1,"No","Yes"))</f>
        <v>Yes</v>
      </c>
      <c r="E16" s="185">
        <f>IF(C16="","",IF('Product Launch Brief - PM'!J18="","",'Product Launch Brief - PM'!J18))</f>
        <v>1999</v>
      </c>
      <c r="F16" s="187">
        <f t="shared" si="0"/>
        <v>761792</v>
      </c>
      <c r="G16" s="188">
        <f t="shared" si="6"/>
        <v>312</v>
      </c>
      <c r="H16" s="189">
        <f>IF('Product Launch Brief - PM'!H18="","",'Product Launch Brief - PM'!H18)</f>
        <v>5.1499999999999997E-2</v>
      </c>
      <c r="I16" s="220">
        <v>6.8000000000000005E-2</v>
      </c>
      <c r="J16" s="190" t="str">
        <f t="shared" si="8"/>
        <v/>
      </c>
      <c r="K16" s="191">
        <f t="shared" si="9"/>
        <v>815</v>
      </c>
      <c r="L16" s="192" t="str">
        <f>IF(B16="","",IF('Product Launch Brief - PM'!F18="2 Year Fixed","2",IF('Product Launch Brief - PM'!F18="5 Year Fixed","5",IF('Product Launch Brief - PM'!F18="2 Year Discount","2",IF('Product Launch Brief - PM'!F18="5 Year Discount","5",IF('Product Launch Brief - PM'!F18="2 Year Variable","2"))))))</f>
        <v>2</v>
      </c>
      <c r="M16" s="193" t="str">
        <f>IF(B16="","",IF('Product Launch Brief - PM'!F18="2 Year Fixed","Fixed",IF('Product Launch Brief - PM'!F18="5 Year Fixed","Fixed",IF('Product Launch Brief - PM'!F18="2 Year Discount","Variable",IF('Product Launch Brief - PM'!F18="5 Year Discount","Variable",IF('Product Launch Brief - PM'!F18="2 Year Variable","Variable"))))))</f>
        <v>Fixed</v>
      </c>
      <c r="T16" s="194" t="str">
        <f t="shared" si="4"/>
        <v>Large Loans</v>
      </c>
    </row>
    <row r="17" spans="1:20">
      <c r="A17" s="184" t="str">
        <f>IF('Product Launch Brief - PM'!G19="","",'Product Launch Brief - PM'!G19)</f>
        <v>Large Loan</v>
      </c>
      <c r="B17" s="185" t="str">
        <f t="shared" si="5"/>
        <v>Large Loans</v>
      </c>
      <c r="C17" s="186">
        <f>IF('Product Launch Brief - PM'!I19="","",'Product Launch Brief - PM'!I19)</f>
        <v>0.65</v>
      </c>
      <c r="D17" s="185" t="str">
        <f>IF(C17="","",IF('Product Launch Brief - PM'!J19&lt;=1,"No","Yes"))</f>
        <v>Yes</v>
      </c>
      <c r="E17" s="185">
        <f>IF(C17="","",IF('Product Launch Brief - PM'!J19="","",'Product Launch Brief - PM'!J19))</f>
        <v>1999</v>
      </c>
      <c r="F17" s="187">
        <f t="shared" si="0"/>
        <v>761792</v>
      </c>
      <c r="G17" s="188">
        <f t="shared" si="6"/>
        <v>312</v>
      </c>
      <c r="H17" s="189">
        <f>IF('Product Launch Brief - PM'!H19="","",'Product Launch Brief - PM'!H19)</f>
        <v>4.7500000000000001E-2</v>
      </c>
      <c r="I17" s="221">
        <v>6.2E-2</v>
      </c>
      <c r="J17" s="190" t="str">
        <f t="shared" si="8"/>
        <v/>
      </c>
      <c r="K17" s="191">
        <f t="shared" si="9"/>
        <v>815</v>
      </c>
      <c r="L17" s="192" t="str">
        <f>IF(B17="","",IF('Product Launch Brief - PM'!F19="2 Year Fixed","2",IF('Product Launch Brief - PM'!F19="5 Year Fixed","5",IF('Product Launch Brief - PM'!F19="2 Year Discount","2",IF('Product Launch Brief - PM'!F19="5 Year Discount","5",IF('Product Launch Brief - PM'!F19="2 Year Variable","2"))))))</f>
        <v>5</v>
      </c>
      <c r="M17" s="193" t="str">
        <f>IF(B17="","",IF('Product Launch Brief - PM'!F19="2 Year Fixed","Fixed",IF('Product Launch Brief - PM'!F19="5 Year Fixed","Fixed",IF('Product Launch Brief - PM'!F19="2 Year Discount","Variable",IF('Product Launch Brief - PM'!F19="5 Year Discount","Variable",IF('Product Launch Brief - PM'!F19="2 Year Variable","Variable"))))))</f>
        <v>Fixed</v>
      </c>
      <c r="T17" s="194" t="str">
        <f t="shared" si="4"/>
        <v>Large Loans</v>
      </c>
    </row>
    <row r="18" spans="1:20">
      <c r="A18" s="184" t="str">
        <f>IF('Product Launch Brief - PM'!G20="","",'Product Launch Brief - PM'!G20)</f>
        <v>Large Loan</v>
      </c>
      <c r="B18" s="185" t="str">
        <f t="shared" si="5"/>
        <v>Large Loans</v>
      </c>
      <c r="C18" s="186">
        <f>IF('Product Launch Brief - PM'!I20="","",'Product Launch Brief - PM'!I20)</f>
        <v>0.75</v>
      </c>
      <c r="D18" s="185" t="str">
        <f>IF(C18="","",IF('Product Launch Brief - PM'!J20&lt;=1,"No","Yes"))</f>
        <v>Yes</v>
      </c>
      <c r="E18" s="185">
        <f>IF(C18="","",IF('Product Launch Brief - PM'!J20="","",'Product Launch Brief - PM'!J20))</f>
        <v>1999</v>
      </c>
      <c r="F18" s="187">
        <f t="shared" si="0"/>
        <v>761792</v>
      </c>
      <c r="G18" s="188">
        <f t="shared" si="6"/>
        <v>312</v>
      </c>
      <c r="H18" s="189">
        <f>IF('Product Launch Brief - PM'!H20="","",'Product Launch Brief - PM'!H20)</f>
        <v>6.0900000000000003E-2</v>
      </c>
      <c r="I18" s="220">
        <v>7.0000000000000007E-2</v>
      </c>
      <c r="J18" s="190" t="str">
        <f t="shared" ref="J18:J32" si="10">IF(B18="Interest Only", "Interest Regularly and Repayment of capital at end","")</f>
        <v/>
      </c>
      <c r="K18" s="191">
        <f t="shared" ref="K18:K32" si="11">IF(B18="","",VLOOKUP(T18,lookup,5,FALSE))</f>
        <v>815</v>
      </c>
      <c r="L18" s="192" t="str">
        <f>IF(B18="","",IF('Product Launch Brief - PM'!F20="2 Year Fixed","2",IF('Product Launch Brief - PM'!F20="5 Year Fixed","5",IF('Product Launch Brief - PM'!F20="2 Year Discount","2",IF('Product Launch Brief - PM'!F20="5 Year Discount","5",IF('Product Launch Brief - PM'!F20="2 Year Variable","2"))))))</f>
        <v>2</v>
      </c>
      <c r="M18" s="193" t="str">
        <f>IF(B18="","",IF('Product Launch Brief - PM'!F20="2 Year Fixed","Fixed",IF('Product Launch Brief - PM'!F20="5 Year Fixed","Fixed",IF('Product Launch Brief - PM'!F20="2 Year Discount","Variable",IF('Product Launch Brief - PM'!F20="5 Year Discount","Variable",IF('Product Launch Brief - PM'!F20="2 Year Variable","Variable"))))))</f>
        <v>Variable</v>
      </c>
      <c r="T18" s="194" t="str">
        <f t="shared" si="4"/>
        <v>Large Loans</v>
      </c>
    </row>
    <row r="19" spans="1:20">
      <c r="A19" s="184" t="str">
        <f>IF('Product Launch Brief - PM'!G21="","",'Product Launch Brief - PM'!G21)</f>
        <v>Large Loan</v>
      </c>
      <c r="B19" s="185" t="str">
        <f t="shared" si="5"/>
        <v>Large Loans</v>
      </c>
      <c r="C19" s="186">
        <f>IF('Product Launch Brief - PM'!I21="","",'Product Launch Brief - PM'!I21)</f>
        <v>0.75</v>
      </c>
      <c r="D19" s="185" t="str">
        <f>IF(C19="","",IF('Product Launch Brief - PM'!J21&lt;=1,"No","Yes"))</f>
        <v>Yes</v>
      </c>
      <c r="E19" s="185">
        <f>IF(C19="","",IF('Product Launch Brief - PM'!J21="","",'Product Launch Brief - PM'!J21))</f>
        <v>1999</v>
      </c>
      <c r="F19" s="187">
        <f t="shared" si="0"/>
        <v>761792</v>
      </c>
      <c r="G19" s="188">
        <f t="shared" si="6"/>
        <v>312</v>
      </c>
      <c r="H19" s="189">
        <f>IF('Product Launch Brief - PM'!H21="","",'Product Launch Brief - PM'!H21)</f>
        <v>5.1999999999999998E-2</v>
      </c>
      <c r="I19" s="221">
        <v>6.8000000000000005E-2</v>
      </c>
      <c r="J19" s="190" t="str">
        <f t="shared" si="10"/>
        <v/>
      </c>
      <c r="K19" s="191">
        <f t="shared" si="11"/>
        <v>815</v>
      </c>
      <c r="L19" s="192" t="str">
        <f>IF(B19="","",IF('Product Launch Brief - PM'!F21="2 Year Fixed","2",IF('Product Launch Brief - PM'!F21="5 Year Fixed","5",IF('Product Launch Brief - PM'!F21="2 Year Discount","2",IF('Product Launch Brief - PM'!F21="5 Year Discount","5",IF('Product Launch Brief - PM'!F21="2 Year Variable","2"))))))</f>
        <v>2</v>
      </c>
      <c r="M19" s="193" t="str">
        <f>IF(B19="","",IF('Product Launch Brief - PM'!F21="2 Year Fixed","Fixed",IF('Product Launch Brief - PM'!F21="5 Year Fixed","Fixed",IF('Product Launch Brief - PM'!F21="2 Year Discount","Variable",IF('Product Launch Brief - PM'!F21="5 Year Discount","Variable",IF('Product Launch Brief - PM'!F21="2 Year Variable","Variable"))))))</f>
        <v>Fixed</v>
      </c>
      <c r="T19" s="194" t="str">
        <f t="shared" si="4"/>
        <v>Large Loans</v>
      </c>
    </row>
    <row r="20" spans="1:20">
      <c r="A20" s="184" t="str">
        <f>IF('Product Launch Brief - PM'!G22="","",'Product Launch Brief - PM'!G22)</f>
        <v>Large Loan</v>
      </c>
      <c r="B20" s="185" t="str">
        <f t="shared" si="5"/>
        <v>Large Loans</v>
      </c>
      <c r="C20" s="186">
        <f>IF('Product Launch Brief - PM'!I22="","",'Product Launch Brief - PM'!I22)</f>
        <v>0.75</v>
      </c>
      <c r="D20" s="185" t="str">
        <f>IF(C20="","",IF('Product Launch Brief - PM'!J22&lt;=1,"No","Yes"))</f>
        <v>Yes</v>
      </c>
      <c r="E20" s="185">
        <f>IF(C20="","",IF('Product Launch Brief - PM'!J22="","",'Product Launch Brief - PM'!J22))</f>
        <v>1999</v>
      </c>
      <c r="F20" s="187">
        <f t="shared" si="0"/>
        <v>761792</v>
      </c>
      <c r="G20" s="188">
        <f t="shared" si="6"/>
        <v>312</v>
      </c>
      <c r="H20" s="189">
        <f>IF('Product Launch Brief - PM'!H22="","",'Product Launch Brief - PM'!H22)</f>
        <v>4.8000000000000001E-2</v>
      </c>
      <c r="I20" s="220">
        <v>6.2E-2</v>
      </c>
      <c r="J20" s="190" t="str">
        <f t="shared" si="10"/>
        <v/>
      </c>
      <c r="K20" s="191">
        <f t="shared" si="11"/>
        <v>815</v>
      </c>
      <c r="L20" s="192" t="str">
        <f>IF(B20="","",IF('Product Launch Brief - PM'!F22="2 Year Fixed","2",IF('Product Launch Brief - PM'!F22="5 Year Fixed","5",IF('Product Launch Brief - PM'!F22="2 Year Discount","2",IF('Product Launch Brief - PM'!F22="5 Year Discount","5",IF('Product Launch Brief - PM'!F22="2 Year Variable","2"))))))</f>
        <v>5</v>
      </c>
      <c r="M20" s="193" t="str">
        <f>IF(B20="","",IF('Product Launch Brief - PM'!F22="2 Year Fixed","Fixed",IF('Product Launch Brief - PM'!F22="5 Year Fixed","Fixed",IF('Product Launch Brief - PM'!F22="2 Year Discount","Variable",IF('Product Launch Brief - PM'!F22="5 Year Discount","Variable",IF('Product Launch Brief - PM'!F22="2 Year Variable","Variable"))))))</f>
        <v>Fixed</v>
      </c>
      <c r="T20" s="194" t="str">
        <f t="shared" si="4"/>
        <v>Large Loans</v>
      </c>
    </row>
    <row r="21" spans="1:20">
      <c r="A21" s="184" t="str">
        <f>IF('Product Launch Brief - PM'!G23="","",'Product Launch Brief - PM'!G23)</f>
        <v>Large Loan</v>
      </c>
      <c r="B21" s="185" t="str">
        <f t="shared" si="5"/>
        <v>Large Loans</v>
      </c>
      <c r="C21" s="186">
        <f>IF('Product Launch Brief - PM'!I23="","",'Product Launch Brief - PM'!I23)</f>
        <v>0.8</v>
      </c>
      <c r="D21" s="185" t="str">
        <f>IF(C21="","",IF('Product Launch Brief - PM'!J23&lt;=1,"No","Yes"))</f>
        <v>Yes</v>
      </c>
      <c r="E21" s="185">
        <f>IF(C21="","",IF('Product Launch Brief - PM'!J23="","",'Product Launch Brief - PM'!J23))</f>
        <v>1999</v>
      </c>
      <c r="F21" s="187">
        <f t="shared" si="0"/>
        <v>761792</v>
      </c>
      <c r="G21" s="188">
        <f t="shared" si="6"/>
        <v>312</v>
      </c>
      <c r="H21" s="189">
        <f>IF('Product Launch Brief - PM'!H23="","",'Product Launch Brief - PM'!H23)</f>
        <v>6.0900000000000003E-2</v>
      </c>
      <c r="I21" s="221">
        <v>7.0000000000000007E-2</v>
      </c>
      <c r="J21" s="190" t="str">
        <f t="shared" si="10"/>
        <v/>
      </c>
      <c r="K21" s="191">
        <f t="shared" si="11"/>
        <v>815</v>
      </c>
      <c r="L21" s="192" t="str">
        <f>IF(B21="","",IF('Product Launch Brief - PM'!F23="2 Year Fixed","2",IF('Product Launch Brief - PM'!F23="5 Year Fixed","5",IF('Product Launch Brief - PM'!F23="2 Year Discount","2",IF('Product Launch Brief - PM'!F23="5 Year Discount","5",IF('Product Launch Brief - PM'!F23="2 Year Variable","2"))))))</f>
        <v>2</v>
      </c>
      <c r="M21" s="193" t="str">
        <f>IF(B21="","",IF('Product Launch Brief - PM'!F23="2 Year Fixed","Fixed",IF('Product Launch Brief - PM'!F23="5 Year Fixed","Fixed",IF('Product Launch Brief - PM'!F23="2 Year Discount","Variable",IF('Product Launch Brief - PM'!F23="5 Year Discount","Variable",IF('Product Launch Brief - PM'!F23="2 Year Variable","Variable"))))))</f>
        <v>Variable</v>
      </c>
      <c r="T21" s="194" t="str">
        <f t="shared" si="4"/>
        <v>Large Loans</v>
      </c>
    </row>
    <row r="22" spans="1:20">
      <c r="A22" s="184" t="str">
        <f>IF('Product Launch Brief - PM'!G24="","",'Product Launch Brief - PM'!G24)</f>
        <v>Large Loan</v>
      </c>
      <c r="B22" s="185" t="str">
        <f t="shared" si="5"/>
        <v>Large Loans</v>
      </c>
      <c r="C22" s="186">
        <f>IF('Product Launch Brief - PM'!I24="","",'Product Launch Brief - PM'!I24)</f>
        <v>0.8</v>
      </c>
      <c r="D22" s="185" t="str">
        <f>IF(C22="","",IF('Product Launch Brief - PM'!J24&lt;=1,"No","Yes"))</f>
        <v>Yes</v>
      </c>
      <c r="E22" s="185">
        <f>IF(C22="","",IF('Product Launch Brief - PM'!J24="","",'Product Launch Brief - PM'!J24))</f>
        <v>1999</v>
      </c>
      <c r="F22" s="187">
        <f t="shared" si="0"/>
        <v>761792</v>
      </c>
      <c r="G22" s="188">
        <f t="shared" si="6"/>
        <v>312</v>
      </c>
      <c r="H22" s="189">
        <f>IF('Product Launch Brief - PM'!H24="","",'Product Launch Brief - PM'!H24)</f>
        <v>5.1999999999999998E-2</v>
      </c>
      <c r="I22" s="220">
        <v>6.8000000000000005E-2</v>
      </c>
      <c r="J22" s="190" t="str">
        <f t="shared" si="10"/>
        <v/>
      </c>
      <c r="K22" s="191">
        <f t="shared" si="11"/>
        <v>815</v>
      </c>
      <c r="L22" s="192" t="str">
        <f>IF(B22="","",IF('Product Launch Brief - PM'!F24="2 Year Fixed","2",IF('Product Launch Brief - PM'!F24="5 Year Fixed","5",IF('Product Launch Brief - PM'!F24="2 Year Discount","2",IF('Product Launch Brief - PM'!F24="5 Year Discount","5",IF('Product Launch Brief - PM'!F24="2 Year Variable","2"))))))</f>
        <v>2</v>
      </c>
      <c r="M22" s="193" t="str">
        <f>IF(B22="","",IF('Product Launch Brief - PM'!F24="2 Year Fixed","Fixed",IF('Product Launch Brief - PM'!F24="5 Year Fixed","Fixed",IF('Product Launch Brief - PM'!F24="2 Year Discount","Variable",IF('Product Launch Brief - PM'!F24="5 Year Discount","Variable",IF('Product Launch Brief - PM'!F24="2 Year Variable","Variable"))))))</f>
        <v>Fixed</v>
      </c>
      <c r="T22" s="194" t="str">
        <f t="shared" si="4"/>
        <v>Large Loans</v>
      </c>
    </row>
    <row r="23" spans="1:20">
      <c r="A23" s="184" t="str">
        <f>IF('Product Launch Brief - PM'!G25="","",'Product Launch Brief - PM'!G25)</f>
        <v>Large Loan</v>
      </c>
      <c r="B23" s="185" t="str">
        <f t="shared" si="5"/>
        <v>Large Loans</v>
      </c>
      <c r="C23" s="186">
        <f>IF('Product Launch Brief - PM'!I25="","",'Product Launch Brief - PM'!I25)</f>
        <v>0.8</v>
      </c>
      <c r="D23" s="185" t="str">
        <f>IF(C23="","",IF('Product Launch Brief - PM'!J25&lt;=1,"No","Yes"))</f>
        <v>Yes</v>
      </c>
      <c r="E23" s="185">
        <f>IF(C23="","",IF('Product Launch Brief - PM'!J25="","",'Product Launch Brief - PM'!J25))</f>
        <v>1999</v>
      </c>
      <c r="F23" s="187">
        <f t="shared" si="0"/>
        <v>761792</v>
      </c>
      <c r="G23" s="188">
        <f t="shared" si="6"/>
        <v>312</v>
      </c>
      <c r="H23" s="189">
        <f>IF('Product Launch Brief - PM'!H25="","",'Product Launch Brief - PM'!H25)</f>
        <v>4.8000000000000001E-2</v>
      </c>
      <c r="I23" s="220">
        <v>6.2E-2</v>
      </c>
      <c r="J23" s="190" t="str">
        <f t="shared" si="10"/>
        <v/>
      </c>
      <c r="K23" s="191">
        <f t="shared" si="11"/>
        <v>815</v>
      </c>
      <c r="L23" s="192" t="str">
        <f>IF(B23="","",IF('Product Launch Brief - PM'!F25="2 Year Fixed","2",IF('Product Launch Brief - PM'!F25="5 Year Fixed","5",IF('Product Launch Brief - PM'!F25="2 Year Discount","2",IF('Product Launch Brief - PM'!F25="5 Year Discount","5",IF('Product Launch Brief - PM'!F25="2 Year Variable","2"))))))</f>
        <v>5</v>
      </c>
      <c r="M23" s="193" t="str">
        <f>IF(B23="","",IF('Product Launch Brief - PM'!F25="2 Year Fixed","Fixed",IF('Product Launch Brief - PM'!F25="5 Year Fixed","Fixed",IF('Product Launch Brief - PM'!F25="2 Year Discount","Variable",IF('Product Launch Brief - PM'!F25="5 Year Discount","Variable",IF('Product Launch Brief - PM'!F25="2 Year Variable","Variable"))))))</f>
        <v>Fixed</v>
      </c>
      <c r="T23" s="194" t="str">
        <f t="shared" si="4"/>
        <v>Large Loans</v>
      </c>
    </row>
    <row r="24" spans="1:20">
      <c r="A24" s="184" t="str">
        <f>IF('Product Launch Brief - PM'!G26="","",'Product Launch Brief - PM'!G26)</f>
        <v/>
      </c>
      <c r="B24" s="185" t="str">
        <f t="shared" si="5"/>
        <v/>
      </c>
      <c r="C24" s="186" t="str">
        <f>IF('Product Launch Brief - PM'!I26="","",'Product Launch Brief - PM'!I26)</f>
        <v/>
      </c>
      <c r="D24" s="185" t="str">
        <f>IF(C24="","",IF('Product Launch Brief - PM'!J26&lt;=1,"No","Yes"))</f>
        <v/>
      </c>
      <c r="E24" s="185" t="str">
        <f>IF(C24="","",IF('Product Launch Brief - PM'!J26="","",'Product Launch Brief - PM'!J26))</f>
        <v/>
      </c>
      <c r="F24" s="187" t="str">
        <f t="shared" si="0"/>
        <v/>
      </c>
      <c r="G24" s="188" t="str">
        <f t="shared" si="6"/>
        <v/>
      </c>
      <c r="H24" s="189" t="str">
        <f>IF('Product Launch Brief - PM'!H26="","",'Product Launch Brief - PM'!H26)</f>
        <v/>
      </c>
      <c r="I24" s="167"/>
      <c r="J24" s="190" t="str">
        <f t="shared" si="10"/>
        <v/>
      </c>
      <c r="K24" s="191" t="str">
        <f t="shared" si="11"/>
        <v/>
      </c>
      <c r="L24" s="192" t="str">
        <f>IF(B24="","",IF('Product Launch Brief - PM'!F26="2 Year Fixed","2",IF('Product Launch Brief - PM'!F26="5 Year Fixed","5",IF('Product Launch Brief - PM'!F26="2 Year Discount","2",IF('Product Launch Brief - PM'!F26="5 Year Discount","5",IF('Product Launch Brief - PM'!F26="2 Year Variable","2"))))))</f>
        <v/>
      </c>
      <c r="M24" s="193" t="str">
        <f>IF(B24="","",IF('Product Launch Brief - PM'!F26="2 Year Fixed","Fixed",IF('Product Launch Brief - PM'!F26="5 Year Fixed","Fixed",IF('Product Launch Brief - PM'!F26="2 Year Discount","Variable",IF('Product Launch Brief - PM'!F26="5 Year Discount","Variable",IF('Product Launch Brief - PM'!F26="2 Year Variable","Variable"))))))</f>
        <v/>
      </c>
      <c r="T24" s="194" t="str">
        <f t="shared" si="4"/>
        <v/>
      </c>
    </row>
    <row r="25" spans="1:20">
      <c r="A25" s="184" t="str">
        <f>IF('Product Launch Brief - PM'!G27="","",'Product Launch Brief - PM'!G27)</f>
        <v>Large Loan - Existing Customer only</v>
      </c>
      <c r="B25" s="185" t="str">
        <f t="shared" si="5"/>
        <v>Retention</v>
      </c>
      <c r="C25" s="186">
        <f>IF('Product Launch Brief - PM'!I27="","",'Product Launch Brief - PM'!I27)</f>
        <v>0.65</v>
      </c>
      <c r="D25" s="185" t="str">
        <f>IF(C25="","",IF('Product Launch Brief - PM'!J27&lt;=1,"No","Yes"))</f>
        <v>Yes</v>
      </c>
      <c r="E25" s="185">
        <f>IF(C25="","",IF('Product Launch Brief - PM'!J27="","",'Product Launch Brief - PM'!J27))</f>
        <v>1999</v>
      </c>
      <c r="F25" s="187">
        <f t="shared" si="0"/>
        <v>200000</v>
      </c>
      <c r="G25" s="188">
        <f t="shared" si="6"/>
        <v>226</v>
      </c>
      <c r="H25" s="189">
        <f>IF('Product Launch Brief - PM'!H27="","",'Product Launch Brief - PM'!H27)</f>
        <v>5.9900000000000002E-2</v>
      </c>
      <c r="I25" s="170">
        <v>7.0000000000000007E-2</v>
      </c>
      <c r="J25" s="190" t="str">
        <f t="shared" si="10"/>
        <v/>
      </c>
      <c r="K25" s="191">
        <f t="shared" si="11"/>
        <v>0</v>
      </c>
      <c r="L25" s="192" t="str">
        <f>IF(B25="","",IF('Product Launch Brief - PM'!F27="2 Year Fixed","2",IF('Product Launch Brief - PM'!F27="5 Year Fixed","5",IF('Product Launch Brief - PM'!F27="2 Year Discount","2",IF('Product Launch Brief - PM'!F27="5 Year Discount","5",IF('Product Launch Brief - PM'!F27="2 Year Variable","2"))))))</f>
        <v>2</v>
      </c>
      <c r="M25" s="193" t="str">
        <f>IF(B25="","",IF('Product Launch Brief - PM'!F27="2 Year Fixed","Fixed",IF('Product Launch Brief - PM'!F27="5 Year Fixed","Fixed",IF('Product Launch Brief - PM'!F27="2 Year Discount","Variable",IF('Product Launch Brief - PM'!F27="5 Year Discount","Variable",IF('Product Launch Brief - PM'!F27="2 Year Variable","Variable"))))))</f>
        <v>Variable</v>
      </c>
      <c r="T25" s="194" t="str">
        <f t="shared" si="4"/>
        <v>Retention Variable Rate</v>
      </c>
    </row>
    <row r="26" spans="1:20">
      <c r="A26" s="184" t="str">
        <f>IF('Product Launch Brief - PM'!G28="","",'Product Launch Brief - PM'!G28)</f>
        <v>Large Loan - Existing Customer only</v>
      </c>
      <c r="B26" s="185" t="str">
        <f t="shared" si="5"/>
        <v>Retention</v>
      </c>
      <c r="C26" s="186">
        <f>IF('Product Launch Brief - PM'!I28="","",'Product Launch Brief - PM'!I28)</f>
        <v>0.65</v>
      </c>
      <c r="D26" s="185" t="str">
        <f>IF(C26="","",IF('Product Launch Brief - PM'!J28&lt;=1,"No","Yes"))</f>
        <v>Yes</v>
      </c>
      <c r="E26" s="185">
        <f>IF(C26="","",IF('Product Launch Brief - PM'!J28="","",'Product Launch Brief - PM'!J28))</f>
        <v>1999</v>
      </c>
      <c r="F26" s="187">
        <f t="shared" si="0"/>
        <v>150000</v>
      </c>
      <c r="G26" s="188">
        <f t="shared" si="6"/>
        <v>226</v>
      </c>
      <c r="H26" s="189">
        <f>IF('Product Launch Brief - PM'!H28="","",'Product Launch Brief - PM'!H28)</f>
        <v>5.1499999999999997E-2</v>
      </c>
      <c r="I26" s="167">
        <v>6.8000000000000005E-2</v>
      </c>
      <c r="J26" s="190" t="str">
        <f t="shared" si="10"/>
        <v/>
      </c>
      <c r="K26" s="191">
        <f t="shared" si="11"/>
        <v>0</v>
      </c>
      <c r="L26" s="192" t="str">
        <f>IF(B26="","",IF('Product Launch Brief - PM'!F28="2 Year Fixed","2",IF('Product Launch Brief - PM'!F28="5 Year Fixed","5",IF('Product Launch Brief - PM'!F28="2 Year Discount","2",IF('Product Launch Brief - PM'!F28="5 Year Discount","5",IF('Product Launch Brief - PM'!F28="2 Year Variable","2"))))))</f>
        <v>2</v>
      </c>
      <c r="M26" s="193" t="str">
        <f>IF(B26="","",IF('Product Launch Brief - PM'!F28="2 Year Fixed","Fixed",IF('Product Launch Brief - PM'!F28="5 Year Fixed","Fixed",IF('Product Launch Brief - PM'!F28="2 Year Discount","Variable",IF('Product Launch Brief - PM'!F28="5 Year Discount","Variable",IF('Product Launch Brief - PM'!F28="2 Year Variable","Variable"))))))</f>
        <v>Fixed</v>
      </c>
      <c r="T26" s="194" t="str">
        <f t="shared" si="4"/>
        <v>Retention Fixed Rate</v>
      </c>
    </row>
    <row r="27" spans="1:20">
      <c r="A27" s="184" t="str">
        <f>IF('Product Launch Brief - PM'!G29="","",'Product Launch Brief - PM'!G29)</f>
        <v>Large Loan - Existing Customer only</v>
      </c>
      <c r="B27" s="185" t="str">
        <f t="shared" si="5"/>
        <v>Retention</v>
      </c>
      <c r="C27" s="186">
        <f>IF('Product Launch Brief - PM'!I29="","",'Product Launch Brief - PM'!I29)</f>
        <v>0.65</v>
      </c>
      <c r="D27" s="185" t="str">
        <f>IF(C27="","",IF('Product Launch Brief - PM'!J29&lt;=1,"No","Yes"))</f>
        <v>Yes</v>
      </c>
      <c r="E27" s="185">
        <f>IF(C27="","",IF('Product Launch Brief - PM'!J29="","",'Product Launch Brief - PM'!J29))</f>
        <v>1999</v>
      </c>
      <c r="F27" s="187">
        <f t="shared" si="0"/>
        <v>150000</v>
      </c>
      <c r="G27" s="188">
        <f t="shared" si="6"/>
        <v>226</v>
      </c>
      <c r="H27" s="189">
        <f>IF('Product Launch Brief - PM'!H29="","",'Product Launch Brief - PM'!H29)</f>
        <v>4.7500000000000001E-2</v>
      </c>
      <c r="I27" s="170">
        <v>6.2E-2</v>
      </c>
      <c r="J27" s="190" t="str">
        <f t="shared" si="10"/>
        <v/>
      </c>
      <c r="K27" s="191">
        <f t="shared" si="11"/>
        <v>0</v>
      </c>
      <c r="L27" s="192" t="str">
        <f>IF(B27="","",IF('Product Launch Brief - PM'!F29="2 Year Fixed","2",IF('Product Launch Brief - PM'!F29="5 Year Fixed","5",IF('Product Launch Brief - PM'!F29="2 Year Discount","2",IF('Product Launch Brief - PM'!F29="5 Year Discount","5",IF('Product Launch Brief - PM'!F29="2 Year Variable","2"))))))</f>
        <v>5</v>
      </c>
      <c r="M27" s="193" t="str">
        <f>IF(B27="","",IF('Product Launch Brief - PM'!F29="2 Year Fixed","Fixed",IF('Product Launch Brief - PM'!F29="5 Year Fixed","Fixed",IF('Product Launch Brief - PM'!F29="2 Year Discount","Variable",IF('Product Launch Brief - PM'!F29="5 Year Discount","Variable",IF('Product Launch Brief - PM'!F29="2 Year Variable","Variable"))))))</f>
        <v>Fixed</v>
      </c>
      <c r="T27" s="194" t="str">
        <f t="shared" si="4"/>
        <v>Retention Fixed Rate</v>
      </c>
    </row>
    <row r="28" spans="1:20">
      <c r="A28" s="184" t="str">
        <f>IF('Product Launch Brief - PM'!G30="","",'Product Launch Brief - PM'!G30)</f>
        <v>Large Loan - Existing Customer only</v>
      </c>
      <c r="B28" s="185" t="str">
        <f t="shared" si="5"/>
        <v>Retention</v>
      </c>
      <c r="C28" s="186">
        <f>IF('Product Launch Brief - PM'!I30="","",'Product Launch Brief - PM'!I30)</f>
        <v>0.75</v>
      </c>
      <c r="D28" s="185" t="str">
        <f>IF(C28="","",IF('Product Launch Brief - PM'!J30&lt;=1,"No","Yes"))</f>
        <v>Yes</v>
      </c>
      <c r="E28" s="185">
        <f>IF(C28="","",IF('Product Launch Brief - PM'!J30="","",'Product Launch Brief - PM'!J30))</f>
        <v>1999</v>
      </c>
      <c r="F28" s="187">
        <f t="shared" si="0"/>
        <v>200000</v>
      </c>
      <c r="G28" s="188">
        <f t="shared" si="6"/>
        <v>226</v>
      </c>
      <c r="H28" s="189">
        <f>IF('Product Launch Brief - PM'!H30="","",'Product Launch Brief - PM'!H30)</f>
        <v>6.0900000000000003E-2</v>
      </c>
      <c r="I28" s="167">
        <v>7.0000000000000007E-2</v>
      </c>
      <c r="J28" s="190" t="str">
        <f t="shared" si="10"/>
        <v/>
      </c>
      <c r="K28" s="191">
        <f t="shared" si="11"/>
        <v>0</v>
      </c>
      <c r="L28" s="192" t="str">
        <f>IF(B28="","",IF('Product Launch Brief - PM'!F30="2 Year Fixed","2",IF('Product Launch Brief - PM'!F30="5 Year Fixed","5",IF('Product Launch Brief - PM'!F30="2 Year Discount","2",IF('Product Launch Brief - PM'!F30="5 Year Discount","5",IF('Product Launch Brief - PM'!F30="2 Year Variable","2"))))))</f>
        <v>2</v>
      </c>
      <c r="M28" s="193" t="str">
        <f>IF(B28="","",IF('Product Launch Brief - PM'!F30="2 Year Fixed","Fixed",IF('Product Launch Brief - PM'!F30="5 Year Fixed","Fixed",IF('Product Launch Brief - PM'!F30="2 Year Discount","Variable",IF('Product Launch Brief - PM'!F30="5 Year Discount","Variable",IF('Product Launch Brief - PM'!F30="2 Year Variable","Variable"))))))</f>
        <v>Variable</v>
      </c>
      <c r="T28" s="194" t="str">
        <f t="shared" si="4"/>
        <v>Retention Variable Rate</v>
      </c>
    </row>
    <row r="29" spans="1:20">
      <c r="A29" s="184" t="str">
        <f>IF('Product Launch Brief - PM'!G31="","",'Product Launch Brief - PM'!G31)</f>
        <v>Large Loan - Existing Customer only</v>
      </c>
      <c r="B29" s="185" t="str">
        <f t="shared" si="5"/>
        <v>Retention</v>
      </c>
      <c r="C29" s="186">
        <f>IF('Product Launch Brief - PM'!I31="","",'Product Launch Brief - PM'!I31)</f>
        <v>0.75</v>
      </c>
      <c r="D29" s="185" t="str">
        <f>IF(C29="","",IF('Product Launch Brief - PM'!J31&lt;=1,"No","Yes"))</f>
        <v>Yes</v>
      </c>
      <c r="E29" s="185">
        <f>IF(C29="","",IF('Product Launch Brief - PM'!J31="","",'Product Launch Brief - PM'!J31))</f>
        <v>1999</v>
      </c>
      <c r="F29" s="187">
        <f t="shared" si="0"/>
        <v>150000</v>
      </c>
      <c r="G29" s="188">
        <f t="shared" si="6"/>
        <v>226</v>
      </c>
      <c r="H29" s="189">
        <f>IF('Product Launch Brief - PM'!H31="","",'Product Launch Brief - PM'!H31)</f>
        <v>5.1999999999999998E-2</v>
      </c>
      <c r="I29" s="170">
        <v>6.8000000000000005E-2</v>
      </c>
      <c r="J29" s="190" t="str">
        <f t="shared" si="10"/>
        <v/>
      </c>
      <c r="K29" s="191">
        <f t="shared" si="11"/>
        <v>0</v>
      </c>
      <c r="L29" s="192" t="str">
        <f>IF(B29="","",IF('Product Launch Brief - PM'!F31="2 Year Fixed","2",IF('Product Launch Brief - PM'!F31="5 Year Fixed","5",IF('Product Launch Brief - PM'!F31="2 Year Discount","2",IF('Product Launch Brief - PM'!F31="5 Year Discount","5",IF('Product Launch Brief - PM'!F31="2 Year Variable","2"))))))</f>
        <v>2</v>
      </c>
      <c r="M29" s="193" t="str">
        <f>IF(B29="","",IF('Product Launch Brief - PM'!F31="2 Year Fixed","Fixed",IF('Product Launch Brief - PM'!F31="5 Year Fixed","Fixed",IF('Product Launch Brief - PM'!F31="2 Year Discount","Variable",IF('Product Launch Brief - PM'!F31="5 Year Discount","Variable",IF('Product Launch Brief - PM'!F31="2 Year Variable","Variable"))))))</f>
        <v>Fixed</v>
      </c>
      <c r="T29" s="194" t="str">
        <f t="shared" si="4"/>
        <v>Retention Fixed Rate</v>
      </c>
    </row>
    <row r="30" spans="1:20">
      <c r="A30" s="184" t="str">
        <f>IF('Product Launch Brief - PM'!G32="","",'Product Launch Brief - PM'!G32)</f>
        <v>Large Loan - Existing Customer only</v>
      </c>
      <c r="B30" s="185" t="str">
        <f t="shared" si="5"/>
        <v>Retention</v>
      </c>
      <c r="C30" s="186">
        <f>IF('Product Launch Brief - PM'!I32="","",'Product Launch Brief - PM'!I32)</f>
        <v>0.75</v>
      </c>
      <c r="D30" s="185" t="str">
        <f>IF(C30="","",IF('Product Launch Brief - PM'!J32&lt;=1,"No","Yes"))</f>
        <v>Yes</v>
      </c>
      <c r="E30" s="185">
        <f>IF(C30="","",IF('Product Launch Brief - PM'!J32="","",'Product Launch Brief - PM'!J32))</f>
        <v>1999</v>
      </c>
      <c r="F30" s="187">
        <f t="shared" si="0"/>
        <v>150000</v>
      </c>
      <c r="G30" s="188">
        <f t="shared" si="6"/>
        <v>226</v>
      </c>
      <c r="H30" s="189">
        <f>IF('Product Launch Brief - PM'!H32="","",'Product Launch Brief - PM'!H32)</f>
        <v>4.8000000000000001E-2</v>
      </c>
      <c r="I30" s="167">
        <v>6.2E-2</v>
      </c>
      <c r="J30" s="190" t="str">
        <f t="shared" si="10"/>
        <v/>
      </c>
      <c r="K30" s="191">
        <f t="shared" si="11"/>
        <v>0</v>
      </c>
      <c r="L30" s="192" t="str">
        <f>IF(B30="","",IF('Product Launch Brief - PM'!F32="2 Year Fixed","2",IF('Product Launch Brief - PM'!F32="5 Year Fixed","5",IF('Product Launch Brief - PM'!F32="2 Year Discount","2",IF('Product Launch Brief - PM'!F32="5 Year Discount","5",IF('Product Launch Brief - PM'!F32="2 Year Variable","2"))))))</f>
        <v>5</v>
      </c>
      <c r="M30" s="193" t="str">
        <f>IF(B30="","",IF('Product Launch Brief - PM'!F32="2 Year Fixed","Fixed",IF('Product Launch Brief - PM'!F32="5 Year Fixed","Fixed",IF('Product Launch Brief - PM'!F32="2 Year Discount","Variable",IF('Product Launch Brief - PM'!F32="5 Year Discount","Variable",IF('Product Launch Brief - PM'!F32="2 Year Variable","Variable"))))))</f>
        <v>Fixed</v>
      </c>
      <c r="T30" s="194" t="str">
        <f t="shared" si="4"/>
        <v>Retention Fixed Rate</v>
      </c>
    </row>
    <row r="31" spans="1:20">
      <c r="A31" s="184" t="str">
        <f>IF('Product Launch Brief - PM'!G33="","",'Product Launch Brief - PM'!G33)</f>
        <v>Large Loan - Existing Customer only</v>
      </c>
      <c r="B31" s="185" t="str">
        <f t="shared" si="5"/>
        <v>Retention</v>
      </c>
      <c r="C31" s="186">
        <f>IF('Product Launch Brief - PM'!I33="","",'Product Launch Brief - PM'!I33)</f>
        <v>0.8</v>
      </c>
      <c r="D31" s="185" t="str">
        <f>IF(C31="","",IF('Product Launch Brief - PM'!J33&lt;=1,"No","Yes"))</f>
        <v>Yes</v>
      </c>
      <c r="E31" s="185">
        <f>IF(C31="","",IF('Product Launch Brief - PM'!J33="","",'Product Launch Brief - PM'!J33))</f>
        <v>1999</v>
      </c>
      <c r="F31" s="187">
        <f t="shared" si="0"/>
        <v>200000</v>
      </c>
      <c r="G31" s="188">
        <f t="shared" si="6"/>
        <v>226</v>
      </c>
      <c r="H31" s="189">
        <f>IF('Product Launch Brief - PM'!H33="","",'Product Launch Brief - PM'!H33)</f>
        <v>6.0900000000000003E-2</v>
      </c>
      <c r="I31" s="167">
        <v>7.0000000000000007E-2</v>
      </c>
      <c r="J31" s="190" t="str">
        <f t="shared" si="10"/>
        <v/>
      </c>
      <c r="K31" s="191">
        <f t="shared" si="11"/>
        <v>0</v>
      </c>
      <c r="L31" s="192" t="str">
        <f>IF(B31="","",IF('Product Launch Brief - PM'!F33="2 Year Fixed","2",IF('Product Launch Brief - PM'!F33="5 Year Fixed","5",IF('Product Launch Brief - PM'!F33="2 Year Discount","2",IF('Product Launch Brief - PM'!F33="5 Year Discount","5",IF('Product Launch Brief - PM'!F33="2 Year Variable","2"))))))</f>
        <v>2</v>
      </c>
      <c r="M31" s="193" t="str">
        <f>IF(B31="","",IF('Product Launch Brief - PM'!F33="2 Year Fixed","Fixed",IF('Product Launch Brief - PM'!F33="5 Year Fixed","Fixed",IF('Product Launch Brief - PM'!F33="2 Year Discount","Variable",IF('Product Launch Brief - PM'!F33="5 Year Discount","Variable",IF('Product Launch Brief - PM'!F33="2 Year Variable","Variable"))))))</f>
        <v>Variable</v>
      </c>
      <c r="T31" s="194" t="str">
        <f t="shared" si="4"/>
        <v>Retention Variable Rate</v>
      </c>
    </row>
    <row r="32" spans="1:20">
      <c r="A32" s="184" t="str">
        <f>IF('Product Launch Brief - PM'!G34="","",'Product Launch Brief - PM'!G34)</f>
        <v>Large Loan - Existing Customer only</v>
      </c>
      <c r="B32" s="185" t="str">
        <f t="shared" si="5"/>
        <v>Retention</v>
      </c>
      <c r="C32" s="186">
        <f>IF('Product Launch Brief - PM'!I34="","",'Product Launch Brief - PM'!I34)</f>
        <v>0.8</v>
      </c>
      <c r="D32" s="185" t="str">
        <f>IF(C32="","",IF('Product Launch Brief - PM'!J34&lt;=1,"No","Yes"))</f>
        <v>Yes</v>
      </c>
      <c r="E32" s="185">
        <f>IF(C32="","",IF('Product Launch Brief - PM'!J34="","",'Product Launch Brief - PM'!J34))</f>
        <v>1999</v>
      </c>
      <c r="F32" s="187">
        <f t="shared" si="0"/>
        <v>150000</v>
      </c>
      <c r="G32" s="188">
        <f t="shared" si="6"/>
        <v>226</v>
      </c>
      <c r="H32" s="189">
        <f>IF('Product Launch Brief - PM'!H34="","",'Product Launch Brief - PM'!H34)</f>
        <v>5.1999999999999998E-2</v>
      </c>
      <c r="I32" s="170">
        <v>6.8000000000000005E-2</v>
      </c>
      <c r="J32" s="190" t="str">
        <f t="shared" si="10"/>
        <v/>
      </c>
      <c r="K32" s="191">
        <f t="shared" si="11"/>
        <v>0</v>
      </c>
      <c r="L32" s="192" t="str">
        <f>IF(B32="","",IF('Product Launch Brief - PM'!F34="2 Year Fixed","2",IF('Product Launch Brief - PM'!F34="5 Year Fixed","5",IF('Product Launch Brief - PM'!F34="2 Year Discount","2",IF('Product Launch Brief - PM'!F34="5 Year Discount","5",IF('Product Launch Brief - PM'!F34="2 Year Variable","2"))))))</f>
        <v>2</v>
      </c>
      <c r="M32" s="193" t="str">
        <f>IF(B32="","",IF('Product Launch Brief - PM'!F34="2 Year Fixed","Fixed",IF('Product Launch Brief - PM'!F34="5 Year Fixed","Fixed",IF('Product Launch Brief - PM'!F34="2 Year Discount","Variable",IF('Product Launch Brief - PM'!F34="5 Year Discount","Variable",IF('Product Launch Brief - PM'!F34="2 Year Variable","Variable"))))))</f>
        <v>Fixed</v>
      </c>
      <c r="T32" s="194" t="str">
        <f t="shared" si="4"/>
        <v>Retention Fixed Rate</v>
      </c>
    </row>
    <row r="33" spans="1:20">
      <c r="A33" s="184" t="str">
        <f>IF('Product Launch Brief - PM'!G35="","",'Product Launch Brief - PM'!G35)</f>
        <v>Large Loan - Existing Customer only</v>
      </c>
      <c r="B33" s="185" t="str">
        <f t="shared" si="5"/>
        <v>Retention</v>
      </c>
      <c r="C33" s="186">
        <f>IF('Product Launch Brief - PM'!I35="","",'Product Launch Brief - PM'!I35)</f>
        <v>0.8</v>
      </c>
      <c r="D33" s="185" t="str">
        <f>IF(C33="","",IF('Product Launch Brief - PM'!J35&lt;=1,"No","Yes"))</f>
        <v>Yes</v>
      </c>
      <c r="E33" s="185">
        <f>IF(C33="","",IF('Product Launch Brief - PM'!J35="","",'Product Launch Brief - PM'!J35))</f>
        <v>1999</v>
      </c>
      <c r="F33" s="187">
        <f t="shared" si="0"/>
        <v>150000</v>
      </c>
      <c r="G33" s="188">
        <f t="shared" si="6"/>
        <v>226</v>
      </c>
      <c r="H33" s="189">
        <f>IF('Product Launch Brief - PM'!H35="","",'Product Launch Brief - PM'!H35)</f>
        <v>4.8000000000000001E-2</v>
      </c>
      <c r="I33" s="167">
        <v>6.2E-2</v>
      </c>
      <c r="J33" s="190" t="str">
        <f t="shared" ref="J33:J41" si="12">IF(B33="Interest Only", "Interest Regularly and Repayment of capital at end","")</f>
        <v/>
      </c>
      <c r="K33" s="191">
        <f t="shared" ref="K33:K41" si="13">IF(B33="","",VLOOKUP(T33,lookup,5,FALSE))</f>
        <v>0</v>
      </c>
      <c r="L33" s="192" t="str">
        <f>IF(B33="","",IF('Product Launch Brief - PM'!F35="2 Year Fixed","2",IF('Product Launch Brief - PM'!F35="5 Year Fixed","5",IF('Product Launch Brief - PM'!F35="2 Year Discount","2",IF('Product Launch Brief - PM'!F35="5 Year Discount","5",IF('Product Launch Brief - PM'!F35="2 Year Variable","2"))))))</f>
        <v>5</v>
      </c>
      <c r="M33" s="193" t="str">
        <f>IF(B33="","",IF('Product Launch Brief - PM'!F35="2 Year Fixed","Fixed",IF('Product Launch Brief - PM'!F35="5 Year Fixed","Fixed",IF('Product Launch Brief - PM'!F35="2 Year Discount","Variable",IF('Product Launch Brief - PM'!F35="5 Year Discount","Variable",IF('Product Launch Brief - PM'!F35="2 Year Variable","Variable"))))))</f>
        <v>Fixed</v>
      </c>
      <c r="T33" s="194" t="str">
        <f t="shared" si="4"/>
        <v>Retention Fixed Rate</v>
      </c>
    </row>
    <row r="34" spans="1:20">
      <c r="A34" s="184" t="str">
        <f>IF('Product Launch Brief - PM'!G36="","",'Product Launch Brief - PM'!G36)</f>
        <v/>
      </c>
      <c r="B34" s="185" t="str">
        <f t="shared" si="5"/>
        <v/>
      </c>
      <c r="C34" s="186" t="str">
        <f>IF('Product Launch Brief - PM'!I36="","",'Product Launch Brief - PM'!I36)</f>
        <v/>
      </c>
      <c r="D34" s="185" t="str">
        <f>IF(C34="","",IF('Product Launch Brief - PM'!J36&lt;=1,"No","Yes"))</f>
        <v/>
      </c>
      <c r="E34" s="185" t="str">
        <f>IF(C34="","",IF('Product Launch Brief - PM'!J36="","",'Product Launch Brief - PM'!J36))</f>
        <v/>
      </c>
      <c r="F34" s="187" t="str">
        <f t="shared" si="0"/>
        <v/>
      </c>
      <c r="G34" s="188" t="str">
        <f t="shared" si="6"/>
        <v/>
      </c>
      <c r="H34" s="189" t="str">
        <f>IF('Product Launch Brief - PM'!H36="","",'Product Launch Brief - PM'!H36)</f>
        <v/>
      </c>
      <c r="I34" s="170"/>
      <c r="J34" s="190" t="str">
        <f t="shared" si="12"/>
        <v/>
      </c>
      <c r="K34" s="191" t="str">
        <f t="shared" si="13"/>
        <v/>
      </c>
      <c r="L34" s="192" t="str">
        <f>IF(B34="","",IF('Product Launch Brief - PM'!F36="2 Year Fixed","2",IF('Product Launch Brief - PM'!F36="5 Year Fixed","5",IF('Product Launch Brief - PM'!F36="2 Year Discount","2",IF('Product Launch Brief - PM'!F36="5 Year Discount","5",IF('Product Launch Brief - PM'!F36="2 Year Variable","2"))))))</f>
        <v/>
      </c>
      <c r="M34" s="193" t="str">
        <f>IF(B34="","",IF('Product Launch Brief - PM'!F36="2 Year Fixed","Fixed",IF('Product Launch Brief - PM'!F36="5 Year Fixed","Fixed",IF('Product Launch Brief - PM'!F36="2 Year Discount","Variable",IF('Product Launch Brief - PM'!F36="5 Year Discount","Variable",IF('Product Launch Brief - PM'!F36="2 Year Variable","Variable"))))))</f>
        <v/>
      </c>
      <c r="T34" s="194" t="str">
        <f t="shared" si="4"/>
        <v/>
      </c>
    </row>
    <row r="35" spans="1:20">
      <c r="A35" s="184" t="str">
        <f>IF('Product Launch Brief - PM'!G37="","",'Product Launch Brief - PM'!G37)</f>
        <v/>
      </c>
      <c r="B35" s="185" t="str">
        <f t="shared" si="5"/>
        <v/>
      </c>
      <c r="C35" s="186" t="str">
        <f>IF('Product Launch Brief - PM'!I37="","",'Product Launch Brief - PM'!I37)</f>
        <v/>
      </c>
      <c r="D35" s="185" t="str">
        <f>IF(C35="","",IF('Product Launch Brief - PM'!J37&lt;=1,"No","Yes"))</f>
        <v/>
      </c>
      <c r="E35" s="185" t="str">
        <f>IF(C35="","",IF('Product Launch Brief - PM'!J37="","",'Product Launch Brief - PM'!J37))</f>
        <v/>
      </c>
      <c r="F35" s="187" t="str">
        <f t="shared" si="0"/>
        <v/>
      </c>
      <c r="G35" s="188" t="str">
        <f t="shared" si="6"/>
        <v/>
      </c>
      <c r="H35" s="189" t="str">
        <f>IF('Product Launch Brief - PM'!H37="","",'Product Launch Brief - PM'!H37)</f>
        <v/>
      </c>
      <c r="I35" s="167"/>
      <c r="J35" s="190" t="str">
        <f t="shared" si="12"/>
        <v/>
      </c>
      <c r="K35" s="191" t="str">
        <f t="shared" si="13"/>
        <v/>
      </c>
      <c r="L35" s="192" t="str">
        <f>IF(B35="","",IF('Product Launch Brief - PM'!F37="2 Year Fixed","2",IF('Product Launch Brief - PM'!F37="5 Year Fixed","5",IF('Product Launch Brief - PM'!F37="2 Year Discount","2",IF('Product Launch Brief - PM'!F37="5 Year Discount","5",IF('Product Launch Brief - PM'!F37="2 Year Variable","2"))))))</f>
        <v/>
      </c>
      <c r="M35" s="193" t="str">
        <f>IF(B35="","",IF('Product Launch Brief - PM'!F37="2 Year Fixed","Fixed",IF('Product Launch Brief - PM'!F37="5 Year Fixed","Fixed",IF('Product Launch Brief - PM'!F37="2 Year Discount","Variable",IF('Product Launch Brief - PM'!F37="5 Year Discount","Variable",IF('Product Launch Brief - PM'!F37="2 Year Variable","Variable"))))))</f>
        <v/>
      </c>
    </row>
    <row r="36" spans="1:20">
      <c r="A36" s="184" t="str">
        <f>IF('Product Launch Brief - PM'!G38="","",'Product Launch Brief - PM'!G38)</f>
        <v/>
      </c>
      <c r="B36" s="185" t="str">
        <f t="shared" si="5"/>
        <v/>
      </c>
      <c r="C36" s="186" t="str">
        <f>IF('Product Launch Brief - PM'!I38="","",'Product Launch Brief - PM'!I38)</f>
        <v/>
      </c>
      <c r="D36" s="185" t="str">
        <f>IF(C36="","",IF('Product Launch Brief - PM'!J38&lt;=1,"No","Yes"))</f>
        <v/>
      </c>
      <c r="E36" s="185" t="str">
        <f>IF(C36="","",IF('Product Launch Brief - PM'!J38="","",'Product Launch Brief - PM'!J38))</f>
        <v/>
      </c>
      <c r="F36" s="187" t="str">
        <f t="shared" si="0"/>
        <v/>
      </c>
      <c r="G36" s="188" t="str">
        <f t="shared" si="6"/>
        <v/>
      </c>
      <c r="H36" s="189" t="str">
        <f>IF('Product Launch Brief - PM'!H38="","",'Product Launch Brief - PM'!H38)</f>
        <v/>
      </c>
      <c r="I36" s="170"/>
      <c r="J36" s="190" t="str">
        <f t="shared" si="12"/>
        <v/>
      </c>
      <c r="K36" s="191" t="str">
        <f t="shared" si="13"/>
        <v/>
      </c>
      <c r="L36" s="192" t="str">
        <f>IF(B36="","",IF('Product Launch Brief - PM'!F38="2 Year Fixed","2",IF('Product Launch Brief - PM'!F38="5 Year Fixed","5",IF('Product Launch Brief - PM'!F38="2 Year Discount","2",IF('Product Launch Brief - PM'!F38="5 Year Discount","5",IF('Product Launch Brief - PM'!F38="2 Year Variable","2"))))))</f>
        <v/>
      </c>
      <c r="M36" s="193" t="str">
        <f>IF(B36="","",IF('Product Launch Brief - PM'!F38="2 Year Fixed","Fixed",IF('Product Launch Brief - PM'!F38="5 Year Fixed","Fixed",IF('Product Launch Brief - PM'!F38="2 Year Discount","Variable",IF('Product Launch Brief - PM'!F38="5 Year Discount","Variable",IF('Product Launch Brief - PM'!F38="2 Year Variable","Variable"))))))</f>
        <v/>
      </c>
    </row>
    <row r="37" spans="1:20">
      <c r="A37" s="184" t="str">
        <f>IF('Product Launch Brief - PM'!G39="","",'Product Launch Brief - PM'!G39)</f>
        <v/>
      </c>
      <c r="B37" s="185" t="str">
        <f t="shared" si="5"/>
        <v/>
      </c>
      <c r="C37" s="186" t="str">
        <f>IF('Product Launch Brief - PM'!I39="","",'Product Launch Brief - PM'!I39)</f>
        <v/>
      </c>
      <c r="D37" s="185" t="str">
        <f>IF(C37="","",IF('Product Launch Brief - PM'!J39&lt;=1,"No","Yes"))</f>
        <v/>
      </c>
      <c r="E37" s="185" t="str">
        <f>IF(C37="","",IF('Product Launch Brief - PM'!J39="","",'Product Launch Brief - PM'!J39))</f>
        <v/>
      </c>
      <c r="F37" s="187" t="str">
        <f t="shared" si="0"/>
        <v/>
      </c>
      <c r="G37" s="188" t="str">
        <f t="shared" si="6"/>
        <v/>
      </c>
      <c r="H37" s="189" t="str">
        <f>IF('Product Launch Brief - PM'!H39="","",'Product Launch Brief - PM'!H39)</f>
        <v/>
      </c>
      <c r="I37" s="167"/>
      <c r="J37" s="190" t="str">
        <f t="shared" si="12"/>
        <v/>
      </c>
      <c r="K37" s="191" t="str">
        <f t="shared" si="13"/>
        <v/>
      </c>
      <c r="L37" s="192" t="str">
        <f>IF(B37="","",IF('Product Launch Brief - PM'!F39="2 Year Fixed","2",IF('Product Launch Brief - PM'!F39="5 Year Fixed","5",IF('Product Launch Brief - PM'!F39="2 Year Discount","2",IF('Product Launch Brief - PM'!F39="5 Year Discount","5",IF('Product Launch Brief - PM'!F39="2 Year Variable","2"))))))</f>
        <v/>
      </c>
      <c r="M37" s="193" t="str">
        <f>IF(B37="","",IF('Product Launch Brief - PM'!F39="2 Year Fixed","Fixed",IF('Product Launch Brief - PM'!F39="5 Year Fixed","Fixed",IF('Product Launch Brief - PM'!F39="2 Year Discount","Variable",IF('Product Launch Brief - PM'!F39="5 Year Discount","Variable",IF('Product Launch Brief - PM'!F39="2 Year Variable","Variable"))))))</f>
        <v/>
      </c>
    </row>
    <row r="38" spans="1:20">
      <c r="A38" s="184" t="str">
        <f>IF('Product Launch Brief - PM'!G40="","",'Product Launch Brief - PM'!G40)</f>
        <v/>
      </c>
      <c r="B38" s="185" t="str">
        <f t="shared" si="5"/>
        <v/>
      </c>
      <c r="C38" s="186" t="str">
        <f>IF('Product Launch Brief - PM'!I40="","",'Product Launch Brief - PM'!I40)</f>
        <v/>
      </c>
      <c r="D38" s="185" t="str">
        <f>IF(C38="","",IF('Product Launch Brief - PM'!J40&lt;=1,"No","Yes"))</f>
        <v/>
      </c>
      <c r="E38" s="185" t="str">
        <f>IF(C38="","",IF('Product Launch Brief - PM'!J40="","",'Product Launch Brief - PM'!J40))</f>
        <v/>
      </c>
      <c r="F38" s="187" t="str">
        <f t="shared" si="0"/>
        <v/>
      </c>
      <c r="G38" s="188" t="str">
        <f t="shared" si="6"/>
        <v/>
      </c>
      <c r="H38" s="189" t="str">
        <f>IF('Product Launch Brief - PM'!H40="","",'Product Launch Brief - PM'!H40)</f>
        <v/>
      </c>
      <c r="I38" s="167"/>
      <c r="J38" s="190" t="str">
        <f t="shared" si="12"/>
        <v/>
      </c>
      <c r="K38" s="191" t="str">
        <f t="shared" si="13"/>
        <v/>
      </c>
      <c r="L38" s="192" t="str">
        <f>IF(B38="","",IF('Product Launch Brief - PM'!F40="2 Year Fixed","2",IF('Product Launch Brief - PM'!F40="5 Year Fixed","5",IF('Product Launch Brief - PM'!F40="2 Year Discount","2",IF('Product Launch Brief - PM'!F40="5 Year Discount","5",IF('Product Launch Brief - PM'!F40="2 Year Variable","2"))))))</f>
        <v/>
      </c>
      <c r="M38" s="193" t="str">
        <f>IF(B38="","",IF('Product Launch Brief - PM'!F40="2 Year Fixed","Fixed",IF('Product Launch Brief - PM'!F40="5 Year Fixed","Fixed",IF('Product Launch Brief - PM'!F40="2 Year Discount","Variable",IF('Product Launch Brief - PM'!F40="5 Year Discount","Variable",IF('Product Launch Brief - PM'!F40="2 Year Variable","Variable"))))))</f>
        <v/>
      </c>
    </row>
    <row r="39" spans="1:20">
      <c r="A39" s="184" t="str">
        <f>IF('Product Launch Brief - PM'!G41="","",'Product Launch Brief - PM'!G41)</f>
        <v/>
      </c>
      <c r="B39" s="185" t="str">
        <f t="shared" si="5"/>
        <v/>
      </c>
      <c r="C39" s="186" t="str">
        <f>IF('Product Launch Brief - PM'!I41="","",'Product Launch Brief - PM'!I41)</f>
        <v/>
      </c>
      <c r="D39" s="185" t="str">
        <f>IF(C39="","",IF('Product Launch Brief - PM'!J41&lt;=1,"No","Yes"))</f>
        <v/>
      </c>
      <c r="E39" s="185" t="str">
        <f>IF(C39="","",IF('Product Launch Brief - PM'!J41="","",'Product Launch Brief - PM'!J41))</f>
        <v/>
      </c>
      <c r="F39" s="187" t="str">
        <f t="shared" si="0"/>
        <v/>
      </c>
      <c r="G39" s="188" t="str">
        <f t="shared" si="6"/>
        <v/>
      </c>
      <c r="H39" s="189" t="str">
        <f>IF('Product Launch Brief - PM'!H41="","",'Product Launch Brief - PM'!H41)</f>
        <v/>
      </c>
      <c r="I39" s="167"/>
      <c r="J39" s="190" t="str">
        <f t="shared" si="12"/>
        <v/>
      </c>
      <c r="K39" s="191" t="str">
        <f t="shared" si="13"/>
        <v/>
      </c>
      <c r="L39" s="192" t="str">
        <f>IF(B39="","",IF('Product Launch Brief - PM'!F41="2 Year Fixed","2",IF('Product Launch Brief - PM'!F41="5 Year Fixed","5",IF('Product Launch Brief - PM'!F41="2 Year Discount","2",IF('Product Launch Brief - PM'!F41="5 Year Discount","5",IF('Product Launch Brief - PM'!F41="2 Year Variable","2"))))))</f>
        <v/>
      </c>
      <c r="M39" s="193" t="str">
        <f>IF(B39="","",IF('Product Launch Brief - PM'!F41="2 Year Fixed","Fixed",IF('Product Launch Brief - PM'!F41="5 Year Fixed","Fixed",IF('Product Launch Brief - PM'!F41="2 Year Discount","Variable",IF('Product Launch Brief - PM'!F41="5 Year Discount","Variable",IF('Product Launch Brief - PM'!F41="2 Year Variable","Variable"))))))</f>
        <v/>
      </c>
    </row>
    <row r="40" spans="1:20">
      <c r="A40" s="184" t="str">
        <f>IF('Product Launch Brief - PM'!G42="","",'Product Launch Brief - PM'!G42)</f>
        <v/>
      </c>
      <c r="B40" s="185" t="str">
        <f t="shared" si="5"/>
        <v/>
      </c>
      <c r="C40" s="186" t="str">
        <f>IF('Product Launch Brief - PM'!I42="","",'Product Launch Brief - PM'!I42)</f>
        <v/>
      </c>
      <c r="D40" s="185" t="str">
        <f>IF(C40="","",IF('Product Launch Brief - PM'!J42&lt;=1,"No","Yes"))</f>
        <v/>
      </c>
      <c r="E40" s="185" t="str">
        <f>IF(C40="","",IF('Product Launch Brief - PM'!J42="","",'Product Launch Brief - PM'!J42))</f>
        <v/>
      </c>
      <c r="F40" s="187" t="str">
        <f t="shared" si="0"/>
        <v/>
      </c>
      <c r="G40" s="188" t="str">
        <f t="shared" si="6"/>
        <v/>
      </c>
      <c r="H40" s="189" t="str">
        <f>IF('Product Launch Brief - PM'!H42="","",'Product Launch Brief - PM'!H42)</f>
        <v/>
      </c>
      <c r="I40" s="170"/>
      <c r="J40" s="190" t="str">
        <f t="shared" si="12"/>
        <v/>
      </c>
      <c r="K40" s="191" t="str">
        <f t="shared" si="13"/>
        <v/>
      </c>
      <c r="L40" s="192" t="str">
        <f>IF(B40="","",IF('Product Launch Brief - PM'!F42="2 Year Fixed","2",IF('Product Launch Brief - PM'!F42="5 Year Fixed","5",IF('Product Launch Brief - PM'!F42="2 Year Discount","2",IF('Product Launch Brief - PM'!F42="5 Year Discount","5",IF('Product Launch Brief - PM'!F42="2 Year Variable","2"))))))</f>
        <v/>
      </c>
      <c r="M40" s="193" t="str">
        <f>IF(B40="","",IF('Product Launch Brief - PM'!F42="2 Year Fixed","Fixed",IF('Product Launch Brief - PM'!F42="5 Year Fixed","Fixed",IF('Product Launch Brief - PM'!F42="2 Year Discount","Variable",IF('Product Launch Brief - PM'!F42="5 Year Discount","Variable",IF('Product Launch Brief - PM'!F42="2 Year Variable","Variable"))))))</f>
        <v/>
      </c>
    </row>
    <row r="41" spans="1:20">
      <c r="A41" s="184" t="str">
        <f>IF('Product Launch Brief - PM'!G43="","",'Product Launch Brief - PM'!G43)</f>
        <v/>
      </c>
      <c r="B41" s="185" t="str">
        <f t="shared" si="5"/>
        <v/>
      </c>
      <c r="C41" s="186" t="str">
        <f>IF('Product Launch Brief - PM'!I43="","",'Product Launch Brief - PM'!I43)</f>
        <v/>
      </c>
      <c r="D41" s="185" t="str">
        <f>IF(C41="","",IF('Product Launch Brief - PM'!J43&lt;=1,"No","Yes"))</f>
        <v/>
      </c>
      <c r="E41" s="185" t="str">
        <f>IF(C41="","",IF('Product Launch Brief - PM'!J43="","",'Product Launch Brief - PM'!J43))</f>
        <v/>
      </c>
      <c r="F41" s="187" t="str">
        <f t="shared" si="0"/>
        <v/>
      </c>
      <c r="G41" s="188" t="str">
        <f t="shared" si="6"/>
        <v/>
      </c>
      <c r="H41" s="189" t="str">
        <f>IF('Product Launch Brief - PM'!H43="","",'Product Launch Brief - PM'!H43)</f>
        <v/>
      </c>
      <c r="I41" s="167"/>
      <c r="J41" s="190" t="str">
        <f t="shared" si="12"/>
        <v/>
      </c>
      <c r="K41" s="191" t="str">
        <f t="shared" si="13"/>
        <v/>
      </c>
      <c r="L41" s="192" t="str">
        <f>IF(B41="","",IF('Product Launch Brief - PM'!F43="2 Year Fixed","2",IF('Product Launch Brief - PM'!F43="5 Year Fixed","5",IF('Product Launch Brief - PM'!F43="2 Year Discount","2",IF('Product Launch Brief - PM'!F43="5 Year Discount","5",IF('Product Launch Brief - PM'!F43="2 Year Variable","2"))))))</f>
        <v/>
      </c>
      <c r="M41" s="193" t="str">
        <f>IF(B41="","",IF('Product Launch Brief - PM'!F43="2 Year Fixed","Fixed",IF('Product Launch Brief - PM'!F43="5 Year Fixed","Fixed",IF('Product Launch Brief - PM'!F43="2 Year Discount","Variable",IF('Product Launch Brief - PM'!F43="5 Year Discount","Variable",IF('Product Launch Brief - PM'!F43="2 Year Variable","Variable"))))))</f>
        <v/>
      </c>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CB48"/>
  <sheetViews>
    <sheetView zoomScale="85" zoomScaleNormal="85" workbookViewId="0">
      <pane ySplit="1" topLeftCell="A30" activePane="bottomLeft" state="frozen"/>
      <selection pane="bottomLeft" activeCell="L38" sqref="L38"/>
    </sheetView>
  </sheetViews>
  <sheetFormatPr defaultColWidth="9.140625" defaultRowHeight="15"/>
  <cols>
    <col min="1" max="1" width="41.140625" customWidth="1"/>
    <col min="2" max="2" width="12.85546875" customWidth="1"/>
    <col min="3" max="3" width="15.42578125" bestFit="1" customWidth="1"/>
    <col min="4" max="4" width="14.5703125" customWidth="1"/>
    <col min="5" max="5" width="9.42578125" style="39" customWidth="1"/>
    <col min="6" max="6" width="11.85546875" style="1" customWidth="1"/>
    <col min="7" max="7" width="9.28515625" customWidth="1"/>
    <col min="8" max="8" width="11.42578125" customWidth="1"/>
    <col min="9" max="9" width="9.28515625" customWidth="1"/>
    <col min="10" max="10" width="10.28515625" customWidth="1"/>
    <col min="11" max="20" width="9.28515625" customWidth="1"/>
    <col min="21" max="21" width="11.140625" style="39" customWidth="1"/>
    <col min="22" max="22" width="14.5703125" customWidth="1"/>
    <col min="23" max="23" width="12.85546875" customWidth="1"/>
    <col min="24" max="24" width="11" customWidth="1"/>
    <col min="25" max="26" width="28.85546875" customWidth="1"/>
    <col min="27" max="36" width="9.140625" customWidth="1"/>
    <col min="37" max="38" width="18" customWidth="1"/>
    <col min="39" max="39" width="9.42578125" bestFit="1" customWidth="1"/>
    <col min="40" max="40" width="9.140625" customWidth="1"/>
    <col min="42" max="42" width="15.42578125" customWidth="1"/>
    <col min="43" max="43" width="15.140625" customWidth="1"/>
    <col min="44" max="44" width="9.42578125" bestFit="1" customWidth="1"/>
    <col min="45" max="45" width="9.42578125" style="39" bestFit="1" customWidth="1"/>
    <col min="46" max="46" width="10.28515625" customWidth="1"/>
    <col min="48" max="48" width="10.42578125" customWidth="1"/>
    <col min="49" max="60" width="14.7109375" customWidth="1"/>
    <col min="61" max="61" width="22.85546875" customWidth="1"/>
    <col min="62" max="76" width="14.7109375" customWidth="1"/>
    <col min="77" max="79" width="9.140625" customWidth="1"/>
    <col min="80" max="80" width="0" hidden="1" customWidth="1"/>
  </cols>
  <sheetData>
    <row r="1" spans="1:80" ht="51">
      <c r="A1" s="51" t="s">
        <v>162</v>
      </c>
      <c r="B1" s="51" t="s">
        <v>163</v>
      </c>
      <c r="C1" s="51" t="s">
        <v>164</v>
      </c>
      <c r="D1" s="51" t="s">
        <v>165</v>
      </c>
      <c r="E1" s="52" t="s">
        <v>166</v>
      </c>
      <c r="F1" s="120" t="s">
        <v>167</v>
      </c>
      <c r="G1" s="51" t="s">
        <v>168</v>
      </c>
      <c r="H1" s="51" t="s">
        <v>169</v>
      </c>
      <c r="I1" s="51" t="s">
        <v>170</v>
      </c>
      <c r="J1" s="51" t="s">
        <v>171</v>
      </c>
      <c r="K1" s="51" t="s">
        <v>172</v>
      </c>
      <c r="L1" s="51" t="s">
        <v>173</v>
      </c>
      <c r="M1" s="51" t="s">
        <v>174</v>
      </c>
      <c r="N1" s="51" t="s">
        <v>175</v>
      </c>
      <c r="O1" s="51" t="s">
        <v>176</v>
      </c>
      <c r="P1" s="51" t="s">
        <v>177</v>
      </c>
      <c r="Q1" s="51" t="s">
        <v>178</v>
      </c>
      <c r="R1" s="51" t="s">
        <v>179</v>
      </c>
      <c r="S1" s="51" t="s">
        <v>180</v>
      </c>
      <c r="T1" s="51" t="s">
        <v>181</v>
      </c>
      <c r="U1" s="51" t="s">
        <v>182</v>
      </c>
      <c r="V1" s="51" t="s">
        <v>183</v>
      </c>
      <c r="W1" s="51" t="s">
        <v>184</v>
      </c>
      <c r="X1" s="51" t="s">
        <v>185</v>
      </c>
      <c r="Y1" s="51" t="s">
        <v>186</v>
      </c>
      <c r="Z1" s="51" t="s">
        <v>187</v>
      </c>
      <c r="AA1" s="51" t="s">
        <v>188</v>
      </c>
      <c r="AB1" s="51" t="s">
        <v>189</v>
      </c>
      <c r="AC1" s="51" t="s">
        <v>190</v>
      </c>
      <c r="AD1" s="51" t="s">
        <v>191</v>
      </c>
      <c r="AE1" s="51" t="s">
        <v>192</v>
      </c>
      <c r="AF1" s="51" t="s">
        <v>193</v>
      </c>
      <c r="AG1" s="51" t="s">
        <v>194</v>
      </c>
      <c r="AH1" s="51" t="s">
        <v>195</v>
      </c>
      <c r="AI1" s="51" t="s">
        <v>196</v>
      </c>
      <c r="AJ1" s="51" t="s">
        <v>197</v>
      </c>
      <c r="AK1" s="51" t="s">
        <v>198</v>
      </c>
      <c r="AL1" s="53" t="s">
        <v>199</v>
      </c>
      <c r="AM1" s="51" t="s">
        <v>200</v>
      </c>
      <c r="AN1" s="51" t="s">
        <v>201</v>
      </c>
      <c r="AO1" s="51" t="s">
        <v>202</v>
      </c>
      <c r="AP1" s="51" t="s">
        <v>203</v>
      </c>
      <c r="AQ1" s="51" t="s">
        <v>204</v>
      </c>
      <c r="AR1" s="51" t="s">
        <v>205</v>
      </c>
      <c r="AS1" s="52" t="s">
        <v>206</v>
      </c>
      <c r="AT1" s="51" t="s">
        <v>207</v>
      </c>
      <c r="AU1" s="51" t="s">
        <v>208</v>
      </c>
      <c r="AV1" s="51" t="s">
        <v>209</v>
      </c>
      <c r="AW1" s="51" t="s">
        <v>210</v>
      </c>
      <c r="AX1" s="51" t="s">
        <v>211</v>
      </c>
      <c r="AY1" s="51" t="s">
        <v>212</v>
      </c>
      <c r="AZ1" s="51" t="s">
        <v>213</v>
      </c>
      <c r="BA1" s="51" t="s">
        <v>214</v>
      </c>
      <c r="BB1" s="51" t="s">
        <v>215</v>
      </c>
      <c r="BC1" s="51" t="s">
        <v>216</v>
      </c>
      <c r="BD1" s="51" t="s">
        <v>217</v>
      </c>
      <c r="BE1" s="51" t="s">
        <v>218</v>
      </c>
      <c r="BF1" s="51" t="s">
        <v>219</v>
      </c>
      <c r="BG1" s="51" t="s">
        <v>220</v>
      </c>
      <c r="BH1" s="54" t="s">
        <v>221</v>
      </c>
      <c r="BI1" s="51" t="s">
        <v>222</v>
      </c>
      <c r="BJ1" s="51" t="s">
        <v>223</v>
      </c>
      <c r="BK1" s="55" t="s">
        <v>224</v>
      </c>
      <c r="BL1" s="55" t="s">
        <v>225</v>
      </c>
      <c r="BM1" s="55" t="s">
        <v>226</v>
      </c>
      <c r="BN1" s="55" t="s">
        <v>227</v>
      </c>
      <c r="BO1" s="55" t="s">
        <v>228</v>
      </c>
      <c r="BP1" s="55" t="s">
        <v>229</v>
      </c>
      <c r="BQ1" s="55" t="s">
        <v>230</v>
      </c>
      <c r="BR1" s="55" t="s">
        <v>231</v>
      </c>
      <c r="BS1" s="55" t="s">
        <v>232</v>
      </c>
      <c r="BT1" s="55" t="s">
        <v>233</v>
      </c>
      <c r="BU1" s="55" t="s">
        <v>234</v>
      </c>
      <c r="BV1" s="55" t="s">
        <v>235</v>
      </c>
      <c r="BW1" s="55" t="s">
        <v>236</v>
      </c>
      <c r="BX1" s="55" t="s">
        <v>237</v>
      </c>
      <c r="BY1" s="55" t="s">
        <v>238</v>
      </c>
      <c r="BZ1" s="56" t="s">
        <v>239</v>
      </c>
      <c r="CA1" s="56" t="s">
        <v>240</v>
      </c>
      <c r="CB1" s="119" t="s">
        <v>241</v>
      </c>
    </row>
    <row r="2" spans="1:80" s="67" customFormat="1" ht="28.5" customHeight="1">
      <c r="A2" s="57" t="s">
        <v>242</v>
      </c>
      <c r="B2" s="57" t="s">
        <v>34</v>
      </c>
      <c r="C2" s="57" t="s">
        <v>243</v>
      </c>
      <c r="D2" s="57" t="s">
        <v>119</v>
      </c>
      <c r="E2" s="58" t="s">
        <v>244</v>
      </c>
      <c r="F2" s="121">
        <v>45504</v>
      </c>
      <c r="G2" s="57"/>
      <c r="H2" s="57"/>
      <c r="I2" s="57"/>
      <c r="J2" s="57"/>
      <c r="K2" s="57"/>
      <c r="L2" s="57"/>
      <c r="M2" s="57"/>
      <c r="N2" s="57"/>
      <c r="O2" s="57"/>
      <c r="P2" s="57"/>
      <c r="Q2" s="57"/>
      <c r="R2" s="57"/>
      <c r="S2" s="57"/>
      <c r="T2" s="57"/>
      <c r="U2" s="59" t="s">
        <v>245</v>
      </c>
      <c r="V2" s="57" t="s">
        <v>21</v>
      </c>
      <c r="W2" s="57">
        <v>24</v>
      </c>
      <c r="X2" s="59" t="s">
        <v>246</v>
      </c>
      <c r="Y2" s="60" t="s">
        <v>247</v>
      </c>
      <c r="Z2" s="60" t="s">
        <v>248</v>
      </c>
      <c r="AA2" s="61">
        <v>1</v>
      </c>
      <c r="AB2" s="61">
        <v>1</v>
      </c>
      <c r="AC2" s="61"/>
      <c r="AD2" s="61"/>
      <c r="AE2" s="62"/>
      <c r="AF2" s="57"/>
      <c r="AG2" s="57"/>
      <c r="AH2" s="57"/>
      <c r="AI2" s="57"/>
      <c r="AJ2" s="57"/>
      <c r="AK2" s="57" t="s">
        <v>249</v>
      </c>
      <c r="AL2" s="63" t="s">
        <v>250</v>
      </c>
      <c r="AM2" s="57">
        <v>0</v>
      </c>
      <c r="AN2" s="57" t="s">
        <v>251</v>
      </c>
      <c r="AO2" s="57" t="s">
        <v>251</v>
      </c>
      <c r="AP2" s="64">
        <v>30000</v>
      </c>
      <c r="AQ2" s="64">
        <v>1500000</v>
      </c>
      <c r="AR2" s="64">
        <v>80</v>
      </c>
      <c r="AS2" s="65">
        <v>3.5</v>
      </c>
      <c r="AT2" s="57"/>
      <c r="AU2" s="57" t="s">
        <v>251</v>
      </c>
      <c r="AV2" s="57"/>
      <c r="AW2" s="57">
        <v>0</v>
      </c>
      <c r="AX2" s="57">
        <v>0</v>
      </c>
      <c r="AY2" s="57"/>
      <c r="AZ2" s="57">
        <v>0</v>
      </c>
      <c r="BA2" s="57">
        <v>999</v>
      </c>
      <c r="BB2" s="57"/>
      <c r="BC2" s="57">
        <v>50</v>
      </c>
      <c r="BD2" s="57"/>
      <c r="BE2" s="57"/>
      <c r="BF2" s="57">
        <v>0</v>
      </c>
      <c r="BG2" s="61">
        <v>0</v>
      </c>
      <c r="BH2" s="66">
        <v>4.0000000000000001E-3</v>
      </c>
      <c r="BI2" s="57"/>
      <c r="BJ2" s="57">
        <v>0</v>
      </c>
      <c r="BK2" s="57">
        <v>130</v>
      </c>
      <c r="BL2" s="57" t="s">
        <v>249</v>
      </c>
      <c r="BM2" s="57" t="s">
        <v>251</v>
      </c>
      <c r="BN2" s="57" t="s">
        <v>249</v>
      </c>
      <c r="BO2" s="57" t="s">
        <v>251</v>
      </c>
      <c r="BP2" s="57" t="s">
        <v>251</v>
      </c>
      <c r="BQ2" s="57" t="s">
        <v>251</v>
      </c>
      <c r="BR2" s="57" t="s">
        <v>249</v>
      </c>
      <c r="BS2" s="57" t="s">
        <v>251</v>
      </c>
      <c r="BT2" s="57" t="s">
        <v>251</v>
      </c>
      <c r="BU2" s="57"/>
      <c r="BV2" s="57" t="s">
        <v>251</v>
      </c>
      <c r="BW2" s="57" t="s">
        <v>251</v>
      </c>
      <c r="BX2" s="57" t="s">
        <v>251</v>
      </c>
      <c r="BY2" s="57" t="s">
        <v>251</v>
      </c>
      <c r="BZ2" s="57" t="s">
        <v>249</v>
      </c>
      <c r="CA2" s="57" t="s">
        <v>251</v>
      </c>
    </row>
    <row r="3" spans="1:80">
      <c r="A3" s="57" t="s">
        <v>252</v>
      </c>
      <c r="B3" s="57" t="s">
        <v>34</v>
      </c>
      <c r="C3" s="57" t="s">
        <v>253</v>
      </c>
      <c r="D3" s="57" t="s">
        <v>254</v>
      </c>
      <c r="E3" s="58" t="s">
        <v>245</v>
      </c>
      <c r="F3" s="121"/>
      <c r="G3" s="31"/>
      <c r="H3" s="31"/>
      <c r="I3" s="31"/>
      <c r="J3" s="31"/>
      <c r="K3" s="31"/>
      <c r="L3" s="31"/>
      <c r="M3" s="31"/>
      <c r="N3" s="31"/>
      <c r="O3" s="31"/>
      <c r="P3" s="31"/>
      <c r="Q3" s="31"/>
      <c r="R3" s="31"/>
      <c r="S3" s="31"/>
      <c r="T3" s="31"/>
      <c r="U3" s="59" t="s">
        <v>245</v>
      </c>
      <c r="V3" s="57" t="s">
        <v>21</v>
      </c>
      <c r="W3" s="57"/>
      <c r="X3" s="59"/>
      <c r="Y3" s="60" t="s">
        <v>247</v>
      </c>
      <c r="Z3" s="60" t="s">
        <v>248</v>
      </c>
      <c r="AA3" s="68"/>
      <c r="AB3" s="68"/>
      <c r="AC3" s="68"/>
      <c r="AD3" s="68"/>
      <c r="AE3" s="68"/>
      <c r="AF3" s="31"/>
      <c r="AG3" s="31"/>
      <c r="AH3" s="31"/>
      <c r="AI3" s="31"/>
      <c r="AJ3" s="31"/>
      <c r="AK3" s="57" t="s">
        <v>251</v>
      </c>
      <c r="AL3" s="63"/>
      <c r="AM3" s="57">
        <v>0</v>
      </c>
      <c r="AN3" s="57" t="s">
        <v>251</v>
      </c>
      <c r="AO3" s="57" t="s">
        <v>251</v>
      </c>
      <c r="AP3" s="58">
        <v>10000</v>
      </c>
      <c r="AQ3" s="69">
        <v>1500000</v>
      </c>
      <c r="AR3" s="58">
        <v>80</v>
      </c>
      <c r="AS3" s="65">
        <v>4.0999999999999996</v>
      </c>
      <c r="AT3" s="31"/>
      <c r="AU3" s="57" t="s">
        <v>251</v>
      </c>
      <c r="AV3" s="31"/>
      <c r="AW3" s="57">
        <v>0</v>
      </c>
      <c r="AX3" s="57">
        <v>0</v>
      </c>
      <c r="AY3" s="57"/>
      <c r="AZ3" s="57">
        <v>0</v>
      </c>
      <c r="BA3" s="57">
        <v>999</v>
      </c>
      <c r="BB3" s="57"/>
      <c r="BC3" s="57">
        <v>50</v>
      </c>
      <c r="BD3" s="31"/>
      <c r="BE3" s="31"/>
      <c r="BF3" s="57">
        <v>0</v>
      </c>
      <c r="BG3" s="57">
        <v>0</v>
      </c>
      <c r="BH3" s="66">
        <v>4.0000000000000001E-3</v>
      </c>
      <c r="BI3" s="57"/>
      <c r="BJ3" s="57">
        <v>0</v>
      </c>
      <c r="BK3" s="57">
        <v>130</v>
      </c>
      <c r="BL3" s="57" t="s">
        <v>249</v>
      </c>
      <c r="BM3" s="57" t="s">
        <v>251</v>
      </c>
      <c r="BN3" s="57" t="s">
        <v>249</v>
      </c>
      <c r="BO3" s="57" t="s">
        <v>251</v>
      </c>
      <c r="BP3" s="57" t="s">
        <v>251</v>
      </c>
      <c r="BQ3" s="57" t="s">
        <v>251</v>
      </c>
      <c r="BR3" s="57" t="s">
        <v>249</v>
      </c>
      <c r="BS3" s="57" t="s">
        <v>251</v>
      </c>
      <c r="BT3" s="57" t="s">
        <v>251</v>
      </c>
      <c r="BU3" s="31"/>
      <c r="BV3" s="57" t="s">
        <v>251</v>
      </c>
      <c r="BW3" s="57" t="s">
        <v>251</v>
      </c>
      <c r="BX3" s="57" t="s">
        <v>251</v>
      </c>
      <c r="BY3" s="57" t="s">
        <v>251</v>
      </c>
      <c r="BZ3" s="57" t="s">
        <v>249</v>
      </c>
      <c r="CA3" s="57" t="s">
        <v>251</v>
      </c>
    </row>
    <row r="4" spans="1:80" ht="28.5" customHeight="1">
      <c r="A4" s="57" t="s">
        <v>242</v>
      </c>
      <c r="B4" s="57" t="s">
        <v>34</v>
      </c>
      <c r="C4" s="57" t="s">
        <v>255</v>
      </c>
      <c r="D4" s="57" t="s">
        <v>119</v>
      </c>
      <c r="E4" s="58">
        <v>1.5</v>
      </c>
      <c r="F4" s="121">
        <v>45504</v>
      </c>
      <c r="G4" s="31"/>
      <c r="H4" s="31"/>
      <c r="I4" s="31"/>
      <c r="J4" s="31"/>
      <c r="K4" s="31"/>
      <c r="L4" s="31"/>
      <c r="M4" s="31"/>
      <c r="N4" s="31"/>
      <c r="O4" s="31"/>
      <c r="P4" s="31"/>
      <c r="Q4" s="31"/>
      <c r="R4" s="31"/>
      <c r="S4" s="31"/>
      <c r="T4" s="31"/>
      <c r="U4" s="59" t="s">
        <v>245</v>
      </c>
      <c r="V4" s="57" t="s">
        <v>21</v>
      </c>
      <c r="W4" s="57">
        <v>24</v>
      </c>
      <c r="X4" s="59" t="s">
        <v>246</v>
      </c>
      <c r="Y4" s="60" t="s">
        <v>247</v>
      </c>
      <c r="Z4" s="60" t="s">
        <v>248</v>
      </c>
      <c r="AA4" s="61">
        <v>1</v>
      </c>
      <c r="AB4" s="61">
        <v>1</v>
      </c>
      <c r="AC4" s="31"/>
      <c r="AD4" s="31"/>
      <c r="AE4" s="31"/>
      <c r="AF4" s="31"/>
      <c r="AG4" s="31"/>
      <c r="AH4" s="31"/>
      <c r="AI4" s="31"/>
      <c r="AJ4" s="31"/>
      <c r="AK4" s="57" t="s">
        <v>249</v>
      </c>
      <c r="AL4" s="63" t="s">
        <v>250</v>
      </c>
      <c r="AM4" s="57">
        <v>0</v>
      </c>
      <c r="AN4" s="57" t="s">
        <v>251</v>
      </c>
      <c r="AO4" s="57" t="s">
        <v>251</v>
      </c>
      <c r="AP4" s="58">
        <v>30000</v>
      </c>
      <c r="AQ4" s="69">
        <v>750000</v>
      </c>
      <c r="AR4" s="58">
        <v>85</v>
      </c>
      <c r="AS4" s="65">
        <v>3.7</v>
      </c>
      <c r="AT4" s="31"/>
      <c r="AU4" s="57" t="s">
        <v>251</v>
      </c>
      <c r="AV4" s="31"/>
      <c r="AW4" s="57">
        <v>0</v>
      </c>
      <c r="AX4" s="57">
        <v>0</v>
      </c>
      <c r="AY4" s="57"/>
      <c r="AZ4" s="57">
        <v>0</v>
      </c>
      <c r="BA4" s="57">
        <v>999</v>
      </c>
      <c r="BB4" s="57"/>
      <c r="BC4" s="57">
        <v>50</v>
      </c>
      <c r="BD4" s="31"/>
      <c r="BE4" s="57"/>
      <c r="BF4" s="57">
        <v>0</v>
      </c>
      <c r="BG4" s="57">
        <v>0</v>
      </c>
      <c r="BH4" s="66">
        <v>4.0000000000000001E-3</v>
      </c>
      <c r="BI4" s="57"/>
      <c r="BJ4" s="57">
        <v>0</v>
      </c>
      <c r="BK4" s="57">
        <v>130</v>
      </c>
      <c r="BL4" s="57" t="s">
        <v>249</v>
      </c>
      <c r="BM4" s="57" t="s">
        <v>251</v>
      </c>
      <c r="BN4" s="57" t="s">
        <v>249</v>
      </c>
      <c r="BO4" s="57" t="s">
        <v>251</v>
      </c>
      <c r="BP4" s="57" t="s">
        <v>251</v>
      </c>
      <c r="BQ4" s="57" t="s">
        <v>251</v>
      </c>
      <c r="BR4" s="57" t="s">
        <v>249</v>
      </c>
      <c r="BS4" s="57" t="s">
        <v>251</v>
      </c>
      <c r="BT4" s="57" t="s">
        <v>251</v>
      </c>
      <c r="BU4" s="31"/>
      <c r="BV4" s="57" t="s">
        <v>251</v>
      </c>
      <c r="BW4" s="57" t="s">
        <v>251</v>
      </c>
      <c r="BX4" s="57" t="s">
        <v>251</v>
      </c>
      <c r="BY4" s="57" t="s">
        <v>251</v>
      </c>
      <c r="BZ4" s="57" t="s">
        <v>249</v>
      </c>
      <c r="CA4" s="57" t="s">
        <v>251</v>
      </c>
    </row>
    <row r="5" spans="1:80" ht="64.5">
      <c r="A5" s="57" t="s">
        <v>256</v>
      </c>
      <c r="B5" s="57" t="s">
        <v>34</v>
      </c>
      <c r="C5" s="57" t="s">
        <v>257</v>
      </c>
      <c r="D5" s="57" t="s">
        <v>258</v>
      </c>
      <c r="E5" s="58">
        <v>2.75</v>
      </c>
      <c r="F5" s="121">
        <v>46599</v>
      </c>
      <c r="G5" s="31"/>
      <c r="H5" s="31"/>
      <c r="I5" s="31"/>
      <c r="J5" s="31"/>
      <c r="K5" s="31"/>
      <c r="L5" s="31"/>
      <c r="M5" s="31"/>
      <c r="N5" s="31"/>
      <c r="O5" s="31"/>
      <c r="P5" s="31"/>
      <c r="Q5" s="31"/>
      <c r="R5" s="31"/>
      <c r="S5" s="31"/>
      <c r="T5" s="31"/>
      <c r="U5" s="59" t="s">
        <v>245</v>
      </c>
      <c r="V5" s="57" t="s">
        <v>21</v>
      </c>
      <c r="W5" s="57">
        <v>60</v>
      </c>
      <c r="X5" s="59" t="s">
        <v>246</v>
      </c>
      <c r="Y5" s="60" t="s">
        <v>247</v>
      </c>
      <c r="Z5" s="60" t="s">
        <v>248</v>
      </c>
      <c r="AA5" s="68">
        <v>5</v>
      </c>
      <c r="AB5" s="68">
        <v>4</v>
      </c>
      <c r="AC5" s="68">
        <v>3</v>
      </c>
      <c r="AD5" s="68">
        <v>2</v>
      </c>
      <c r="AE5" s="68">
        <v>1</v>
      </c>
      <c r="AF5" s="31"/>
      <c r="AG5" s="31"/>
      <c r="AH5" s="31"/>
      <c r="AI5" s="31"/>
      <c r="AJ5" s="31"/>
      <c r="AK5" s="57" t="s">
        <v>249</v>
      </c>
      <c r="AL5" s="63" t="s">
        <v>259</v>
      </c>
      <c r="AM5" s="57">
        <v>500</v>
      </c>
      <c r="AN5" s="57" t="s">
        <v>251</v>
      </c>
      <c r="AO5" s="57" t="s">
        <v>249</v>
      </c>
      <c r="AP5" s="58">
        <v>50000</v>
      </c>
      <c r="AQ5" s="69">
        <v>750000</v>
      </c>
      <c r="AR5" s="58">
        <v>85</v>
      </c>
      <c r="AS5" s="65">
        <v>3.6</v>
      </c>
      <c r="AT5" s="31"/>
      <c r="AU5" s="57" t="s">
        <v>251</v>
      </c>
      <c r="AV5" s="31"/>
      <c r="AW5" s="57">
        <v>0</v>
      </c>
      <c r="AX5" s="57">
        <v>0</v>
      </c>
      <c r="AY5" s="57"/>
      <c r="AZ5" s="57">
        <v>0</v>
      </c>
      <c r="BA5" s="57">
        <v>0</v>
      </c>
      <c r="BB5" s="57"/>
      <c r="BC5" s="57">
        <v>50</v>
      </c>
      <c r="BD5" s="31"/>
      <c r="BE5" s="57"/>
      <c r="BF5" s="57">
        <v>0</v>
      </c>
      <c r="BG5" s="57">
        <v>0</v>
      </c>
      <c r="BH5" s="66">
        <v>4.0000000000000001E-3</v>
      </c>
      <c r="BI5" s="57"/>
      <c r="BJ5" s="57">
        <v>0</v>
      </c>
      <c r="BK5" s="57">
        <v>130</v>
      </c>
      <c r="BL5" s="57" t="s">
        <v>249</v>
      </c>
      <c r="BM5" s="57" t="s">
        <v>251</v>
      </c>
      <c r="BN5" s="57" t="s">
        <v>249</v>
      </c>
      <c r="BO5" s="57" t="s">
        <v>251</v>
      </c>
      <c r="BP5" s="57" t="s">
        <v>251</v>
      </c>
      <c r="BQ5" s="57" t="s">
        <v>251</v>
      </c>
      <c r="BR5" s="57" t="s">
        <v>249</v>
      </c>
      <c r="BS5" s="57" t="s">
        <v>251</v>
      </c>
      <c r="BT5" s="57" t="s">
        <v>251</v>
      </c>
      <c r="BU5" s="31"/>
      <c r="BV5" s="57" t="s">
        <v>251</v>
      </c>
      <c r="BW5" s="57" t="s">
        <v>251</v>
      </c>
      <c r="BX5" s="57" t="s">
        <v>251</v>
      </c>
      <c r="BY5" s="57" t="s">
        <v>251</v>
      </c>
      <c r="BZ5" s="57" t="s">
        <v>249</v>
      </c>
      <c r="CA5" s="57" t="s">
        <v>251</v>
      </c>
    </row>
    <row r="6" spans="1:80">
      <c r="A6" s="57" t="s">
        <v>242</v>
      </c>
      <c r="B6" s="57" t="s">
        <v>34</v>
      </c>
      <c r="C6" s="57" t="s">
        <v>260</v>
      </c>
      <c r="D6" s="57" t="s">
        <v>261</v>
      </c>
      <c r="E6" s="58">
        <v>1.8</v>
      </c>
      <c r="F6" s="121">
        <v>45504</v>
      </c>
      <c r="G6" s="31"/>
      <c r="H6" s="31"/>
      <c r="I6" s="31"/>
      <c r="J6" s="31"/>
      <c r="K6" s="31"/>
      <c r="L6" s="31"/>
      <c r="M6" s="31"/>
      <c r="N6" s="31"/>
      <c r="O6" s="31"/>
      <c r="P6" s="31"/>
      <c r="Q6" s="31"/>
      <c r="R6" s="31"/>
      <c r="S6" s="31"/>
      <c r="T6" s="31"/>
      <c r="U6" s="59" t="s">
        <v>245</v>
      </c>
      <c r="V6" s="57" t="s">
        <v>21</v>
      </c>
      <c r="W6" s="57">
        <v>24</v>
      </c>
      <c r="X6" s="59" t="s">
        <v>246</v>
      </c>
      <c r="Y6" s="60" t="s">
        <v>247</v>
      </c>
      <c r="Z6" s="60" t="s">
        <v>248</v>
      </c>
      <c r="AA6" s="57">
        <v>1</v>
      </c>
      <c r="AB6" s="57">
        <v>1</v>
      </c>
      <c r="AC6" s="31"/>
      <c r="AD6" s="31"/>
      <c r="AE6" s="31"/>
      <c r="AF6" s="31"/>
      <c r="AG6" s="31"/>
      <c r="AH6" s="31"/>
      <c r="AI6" s="31"/>
      <c r="AJ6" s="31"/>
      <c r="AK6" s="57" t="s">
        <v>249</v>
      </c>
      <c r="AL6" s="63" t="s">
        <v>250</v>
      </c>
      <c r="AM6" s="57">
        <v>0</v>
      </c>
      <c r="AN6" s="57" t="s">
        <v>251</v>
      </c>
      <c r="AO6" s="57" t="s">
        <v>251</v>
      </c>
      <c r="AP6" s="58">
        <v>30000</v>
      </c>
      <c r="AQ6" s="69">
        <v>750000</v>
      </c>
      <c r="AR6" s="58">
        <v>90</v>
      </c>
      <c r="AS6" s="65">
        <v>3.7</v>
      </c>
      <c r="AT6" s="31"/>
      <c r="AU6" s="57" t="s">
        <v>251</v>
      </c>
      <c r="AV6" s="31"/>
      <c r="AW6" s="57">
        <v>0</v>
      </c>
      <c r="AX6" s="57">
        <v>0</v>
      </c>
      <c r="AY6" s="57"/>
      <c r="AZ6" s="57">
        <v>0</v>
      </c>
      <c r="BA6" s="57">
        <v>999</v>
      </c>
      <c r="BB6" s="57"/>
      <c r="BC6" s="57">
        <v>50</v>
      </c>
      <c r="BD6" s="31"/>
      <c r="BE6" s="57"/>
      <c r="BF6" s="57">
        <v>0</v>
      </c>
      <c r="BG6" s="57">
        <v>0</v>
      </c>
      <c r="BH6" s="66">
        <v>4.0000000000000001E-3</v>
      </c>
      <c r="BI6" s="57"/>
      <c r="BJ6" s="57">
        <v>0</v>
      </c>
      <c r="BK6" s="57">
        <v>130</v>
      </c>
      <c r="BL6" s="57" t="s">
        <v>249</v>
      </c>
      <c r="BM6" s="57" t="s">
        <v>251</v>
      </c>
      <c r="BN6" s="57" t="s">
        <v>249</v>
      </c>
      <c r="BO6" s="57" t="s">
        <v>251</v>
      </c>
      <c r="BP6" s="57" t="s">
        <v>251</v>
      </c>
      <c r="BQ6" s="57" t="s">
        <v>251</v>
      </c>
      <c r="BR6" s="57" t="s">
        <v>249</v>
      </c>
      <c r="BS6" s="57" t="s">
        <v>251</v>
      </c>
      <c r="BT6" s="57" t="s">
        <v>251</v>
      </c>
      <c r="BU6" s="31"/>
      <c r="BV6" s="57" t="s">
        <v>251</v>
      </c>
      <c r="BW6" s="57" t="s">
        <v>251</v>
      </c>
      <c r="BX6" s="57" t="s">
        <v>251</v>
      </c>
      <c r="BY6" s="57" t="s">
        <v>251</v>
      </c>
      <c r="BZ6" s="57" t="s">
        <v>249</v>
      </c>
      <c r="CA6" s="57" t="s">
        <v>251</v>
      </c>
    </row>
    <row r="7" spans="1:80" ht="28.5" customHeight="1">
      <c r="A7" s="57" t="s">
        <v>262</v>
      </c>
      <c r="B7" s="57" t="s">
        <v>34</v>
      </c>
      <c r="C7" s="57" t="s">
        <v>263</v>
      </c>
      <c r="D7" s="57" t="s">
        <v>258</v>
      </c>
      <c r="E7" s="58">
        <v>2.2999999999999998</v>
      </c>
      <c r="F7" s="121">
        <v>45504</v>
      </c>
      <c r="G7" s="31"/>
      <c r="H7" s="31"/>
      <c r="I7" s="31"/>
      <c r="J7" s="31"/>
      <c r="K7" s="31"/>
      <c r="L7" s="31"/>
      <c r="M7" s="31"/>
      <c r="N7" s="31"/>
      <c r="O7" s="31"/>
      <c r="P7" s="31"/>
      <c r="Q7" s="31"/>
      <c r="R7" s="31"/>
      <c r="S7" s="31"/>
      <c r="T7" s="31"/>
      <c r="U7" s="59" t="s">
        <v>245</v>
      </c>
      <c r="V7" s="57" t="s">
        <v>21</v>
      </c>
      <c r="W7" s="57">
        <v>24</v>
      </c>
      <c r="X7" s="59" t="s">
        <v>246</v>
      </c>
      <c r="Y7" s="60" t="s">
        <v>247</v>
      </c>
      <c r="Z7" s="60" t="s">
        <v>248</v>
      </c>
      <c r="AA7" s="57">
        <v>2</v>
      </c>
      <c r="AB7" s="57">
        <v>1</v>
      </c>
      <c r="AC7" s="31"/>
      <c r="AD7" s="31"/>
      <c r="AE7" s="31"/>
      <c r="AF7" s="31"/>
      <c r="AG7" s="31"/>
      <c r="AH7" s="31"/>
      <c r="AI7" s="31"/>
      <c r="AJ7" s="31"/>
      <c r="AK7" s="57" t="s">
        <v>249</v>
      </c>
      <c r="AL7" s="63" t="s">
        <v>264</v>
      </c>
      <c r="AM7" s="57">
        <v>0</v>
      </c>
      <c r="AN7" s="57" t="s">
        <v>251</v>
      </c>
      <c r="AO7" s="57" t="s">
        <v>251</v>
      </c>
      <c r="AP7" s="58">
        <v>30000</v>
      </c>
      <c r="AQ7" s="69">
        <v>750000</v>
      </c>
      <c r="AR7" s="58">
        <v>90</v>
      </c>
      <c r="AS7" s="65">
        <v>3.8</v>
      </c>
      <c r="AT7" s="31"/>
      <c r="AU7" s="57" t="s">
        <v>251</v>
      </c>
      <c r="AV7" s="31"/>
      <c r="AW7" s="57">
        <v>0</v>
      </c>
      <c r="AX7" s="57">
        <v>0</v>
      </c>
      <c r="AY7" s="57"/>
      <c r="AZ7" s="57">
        <v>0</v>
      </c>
      <c r="BA7" s="57">
        <v>999</v>
      </c>
      <c r="BB7" s="57"/>
      <c r="BC7" s="57">
        <v>50</v>
      </c>
      <c r="BD7" s="31"/>
      <c r="BE7" s="57"/>
      <c r="BF7" s="57">
        <v>0</v>
      </c>
      <c r="BG7" s="57">
        <v>0</v>
      </c>
      <c r="BH7" s="66">
        <v>4.0000000000000001E-3</v>
      </c>
      <c r="BI7" s="57"/>
      <c r="BJ7" s="57">
        <v>0</v>
      </c>
      <c r="BK7" s="57">
        <v>130</v>
      </c>
      <c r="BL7" s="57" t="s">
        <v>249</v>
      </c>
      <c r="BM7" s="57" t="s">
        <v>251</v>
      </c>
      <c r="BN7" s="57" t="s">
        <v>249</v>
      </c>
      <c r="BO7" s="57" t="s">
        <v>251</v>
      </c>
      <c r="BP7" s="57" t="s">
        <v>251</v>
      </c>
      <c r="BQ7" s="57" t="s">
        <v>251</v>
      </c>
      <c r="BR7" s="57" t="s">
        <v>249</v>
      </c>
      <c r="BS7" s="57" t="s">
        <v>251</v>
      </c>
      <c r="BT7" s="57" t="s">
        <v>251</v>
      </c>
      <c r="BU7" s="31"/>
      <c r="BV7" s="57" t="s">
        <v>251</v>
      </c>
      <c r="BW7" s="57" t="s">
        <v>251</v>
      </c>
      <c r="BX7" s="57" t="s">
        <v>251</v>
      </c>
      <c r="BY7" s="57" t="s">
        <v>251</v>
      </c>
      <c r="BZ7" s="57" t="s">
        <v>249</v>
      </c>
      <c r="CA7" s="57" t="s">
        <v>251</v>
      </c>
    </row>
    <row r="8" spans="1:80" ht="64.5">
      <c r="A8" s="57" t="s">
        <v>256</v>
      </c>
      <c r="B8" s="57" t="s">
        <v>34</v>
      </c>
      <c r="C8" s="57" t="s">
        <v>265</v>
      </c>
      <c r="D8" s="57" t="s">
        <v>258</v>
      </c>
      <c r="E8" s="58">
        <v>2.75</v>
      </c>
      <c r="F8" s="121">
        <v>46599</v>
      </c>
      <c r="G8" s="31"/>
      <c r="H8" s="31"/>
      <c r="I8" s="31"/>
      <c r="J8" s="31"/>
      <c r="K8" s="31"/>
      <c r="L8" s="31"/>
      <c r="M8" s="31"/>
      <c r="N8" s="31"/>
      <c r="O8" s="31"/>
      <c r="P8" s="31"/>
      <c r="Q8" s="31"/>
      <c r="R8" s="31"/>
      <c r="S8" s="31"/>
      <c r="T8" s="31"/>
      <c r="U8" s="59" t="s">
        <v>245</v>
      </c>
      <c r="V8" s="57" t="s">
        <v>21</v>
      </c>
      <c r="W8" s="57">
        <v>60</v>
      </c>
      <c r="X8" s="59" t="s">
        <v>246</v>
      </c>
      <c r="Y8" s="60" t="s">
        <v>247</v>
      </c>
      <c r="Z8" s="60" t="s">
        <v>248</v>
      </c>
      <c r="AA8" s="68">
        <v>5</v>
      </c>
      <c r="AB8" s="68">
        <v>4</v>
      </c>
      <c r="AC8" s="68">
        <v>3</v>
      </c>
      <c r="AD8" s="68">
        <v>2</v>
      </c>
      <c r="AE8" s="68">
        <v>1</v>
      </c>
      <c r="AF8" s="31"/>
      <c r="AG8" s="31"/>
      <c r="AH8" s="31"/>
      <c r="AI8" s="31"/>
      <c r="AJ8" s="31"/>
      <c r="AK8" s="57" t="s">
        <v>249</v>
      </c>
      <c r="AL8" s="63" t="s">
        <v>259</v>
      </c>
      <c r="AM8" s="57">
        <v>0</v>
      </c>
      <c r="AN8" s="57" t="s">
        <v>251</v>
      </c>
      <c r="AO8" s="57" t="s">
        <v>251</v>
      </c>
      <c r="AP8" s="58">
        <v>30000</v>
      </c>
      <c r="AQ8" s="69">
        <v>750000</v>
      </c>
      <c r="AR8" s="58">
        <v>90</v>
      </c>
      <c r="AS8" s="65">
        <v>3.6</v>
      </c>
      <c r="AT8" s="31"/>
      <c r="AU8" s="57" t="s">
        <v>251</v>
      </c>
      <c r="AV8" s="31"/>
      <c r="AW8" s="57">
        <v>0</v>
      </c>
      <c r="AX8" s="57">
        <v>0</v>
      </c>
      <c r="AY8" s="57"/>
      <c r="AZ8" s="57">
        <v>0</v>
      </c>
      <c r="BA8" s="57">
        <v>999</v>
      </c>
      <c r="BB8" s="57"/>
      <c r="BC8" s="57">
        <v>50</v>
      </c>
      <c r="BD8" s="31"/>
      <c r="BE8" s="57"/>
      <c r="BF8" s="57">
        <v>0</v>
      </c>
      <c r="BG8" s="57">
        <v>0</v>
      </c>
      <c r="BH8" s="66">
        <v>4.0000000000000001E-3</v>
      </c>
      <c r="BI8" s="57"/>
      <c r="BJ8" s="57">
        <v>0</v>
      </c>
      <c r="BK8" s="57">
        <v>130</v>
      </c>
      <c r="BL8" s="57" t="s">
        <v>249</v>
      </c>
      <c r="BM8" s="57" t="s">
        <v>251</v>
      </c>
      <c r="BN8" s="57" t="s">
        <v>249</v>
      </c>
      <c r="BO8" s="57" t="s">
        <v>251</v>
      </c>
      <c r="BP8" s="57" t="s">
        <v>251</v>
      </c>
      <c r="BQ8" s="57" t="s">
        <v>251</v>
      </c>
      <c r="BR8" s="57" t="s">
        <v>249</v>
      </c>
      <c r="BS8" s="57" t="s">
        <v>251</v>
      </c>
      <c r="BT8" s="57" t="s">
        <v>251</v>
      </c>
      <c r="BU8" s="31"/>
      <c r="BV8" s="57" t="s">
        <v>251</v>
      </c>
      <c r="BW8" s="57" t="s">
        <v>251</v>
      </c>
      <c r="BX8" s="57" t="s">
        <v>251</v>
      </c>
      <c r="BY8" s="57" t="s">
        <v>251</v>
      </c>
      <c r="BZ8" s="57" t="s">
        <v>249</v>
      </c>
      <c r="CA8" s="57" t="s">
        <v>251</v>
      </c>
    </row>
    <row r="9" spans="1:80">
      <c r="A9" s="57" t="s">
        <v>242</v>
      </c>
      <c r="B9" s="57" t="s">
        <v>34</v>
      </c>
      <c r="C9" s="57" t="s">
        <v>266</v>
      </c>
      <c r="D9" s="57" t="s">
        <v>119</v>
      </c>
      <c r="E9" s="58">
        <v>2.35</v>
      </c>
      <c r="F9" s="121">
        <v>45504</v>
      </c>
      <c r="G9" s="31"/>
      <c r="H9" s="31"/>
      <c r="I9" s="31"/>
      <c r="J9" s="31"/>
      <c r="K9" s="31"/>
      <c r="L9" s="31"/>
      <c r="M9" s="31"/>
      <c r="N9" s="31"/>
      <c r="O9" s="31"/>
      <c r="P9" s="31"/>
      <c r="Q9" s="31"/>
      <c r="R9" s="31"/>
      <c r="S9" s="31"/>
      <c r="T9" s="31"/>
      <c r="U9" s="59" t="s">
        <v>245</v>
      </c>
      <c r="V9" s="57" t="s">
        <v>21</v>
      </c>
      <c r="W9" s="57">
        <v>24</v>
      </c>
      <c r="X9" s="59" t="s">
        <v>246</v>
      </c>
      <c r="Y9" s="60" t="s">
        <v>247</v>
      </c>
      <c r="Z9" s="60" t="s">
        <v>248</v>
      </c>
      <c r="AA9" s="61">
        <v>1</v>
      </c>
      <c r="AB9" s="61">
        <v>1</v>
      </c>
      <c r="AC9" s="68"/>
      <c r="AD9" s="68"/>
      <c r="AE9" s="68"/>
      <c r="AF9" s="31"/>
      <c r="AG9" s="31"/>
      <c r="AH9" s="31"/>
      <c r="AI9" s="31"/>
      <c r="AJ9" s="31"/>
      <c r="AK9" s="57" t="s">
        <v>249</v>
      </c>
      <c r="AL9" s="63" t="s">
        <v>250</v>
      </c>
      <c r="AM9" s="57">
        <v>0</v>
      </c>
      <c r="AN9" s="57" t="s">
        <v>251</v>
      </c>
      <c r="AO9" s="57" t="s">
        <v>251</v>
      </c>
      <c r="AP9" s="58">
        <v>30000</v>
      </c>
      <c r="AQ9" s="69">
        <v>500000</v>
      </c>
      <c r="AR9" s="58">
        <v>95</v>
      </c>
      <c r="AS9" s="65">
        <v>3.8</v>
      </c>
      <c r="AT9" s="31"/>
      <c r="AU9" s="57" t="s">
        <v>251</v>
      </c>
      <c r="AV9" s="31"/>
      <c r="AW9" s="57">
        <v>0</v>
      </c>
      <c r="AX9" s="57">
        <v>0</v>
      </c>
      <c r="AY9" s="57"/>
      <c r="AZ9" s="57">
        <v>0</v>
      </c>
      <c r="BA9" s="57">
        <v>999</v>
      </c>
      <c r="BB9" s="57"/>
      <c r="BC9" s="57">
        <v>50</v>
      </c>
      <c r="BD9" s="31"/>
      <c r="BE9" s="57"/>
      <c r="BF9" s="57">
        <v>0</v>
      </c>
      <c r="BG9" s="57">
        <v>0</v>
      </c>
      <c r="BH9" s="66">
        <v>4.0000000000000001E-3</v>
      </c>
      <c r="BI9" s="57"/>
      <c r="BJ9" s="57">
        <v>0</v>
      </c>
      <c r="BK9" s="57">
        <v>130</v>
      </c>
      <c r="BL9" s="57" t="s">
        <v>249</v>
      </c>
      <c r="BM9" s="57" t="s">
        <v>251</v>
      </c>
      <c r="BN9" s="57" t="s">
        <v>249</v>
      </c>
      <c r="BO9" s="57" t="s">
        <v>251</v>
      </c>
      <c r="BP9" s="57" t="s">
        <v>251</v>
      </c>
      <c r="BQ9" s="57" t="s">
        <v>251</v>
      </c>
      <c r="BR9" s="57" t="s">
        <v>249</v>
      </c>
      <c r="BS9" s="57" t="s">
        <v>251</v>
      </c>
      <c r="BT9" s="57" t="s">
        <v>251</v>
      </c>
      <c r="BU9" s="31"/>
      <c r="BV9" s="57" t="s">
        <v>251</v>
      </c>
      <c r="BW9" s="57" t="s">
        <v>251</v>
      </c>
      <c r="BX9" s="57" t="s">
        <v>251</v>
      </c>
      <c r="BY9" s="57" t="s">
        <v>251</v>
      </c>
      <c r="BZ9" s="57" t="s">
        <v>249</v>
      </c>
      <c r="CA9" s="57" t="s">
        <v>251</v>
      </c>
    </row>
    <row r="10" spans="1:80" ht="28.5" customHeight="1">
      <c r="A10" s="57" t="s">
        <v>262</v>
      </c>
      <c r="B10" s="57" t="s">
        <v>34</v>
      </c>
      <c r="C10" s="57" t="s">
        <v>267</v>
      </c>
      <c r="D10" s="57" t="s">
        <v>258</v>
      </c>
      <c r="E10" s="58">
        <v>2.4500000000000002</v>
      </c>
      <c r="F10" s="121">
        <v>45504</v>
      </c>
      <c r="G10" s="31"/>
      <c r="H10" s="31"/>
      <c r="I10" s="31"/>
      <c r="J10" s="31"/>
      <c r="K10" s="31"/>
      <c r="L10" s="31"/>
      <c r="M10" s="31"/>
      <c r="N10" s="31"/>
      <c r="O10" s="31"/>
      <c r="P10" s="31"/>
      <c r="Q10" s="31"/>
      <c r="R10" s="31"/>
      <c r="S10" s="31"/>
      <c r="T10" s="31"/>
      <c r="U10" s="59" t="s">
        <v>245</v>
      </c>
      <c r="V10" s="57" t="s">
        <v>21</v>
      </c>
      <c r="W10" s="57">
        <v>24</v>
      </c>
      <c r="X10" s="59" t="s">
        <v>246</v>
      </c>
      <c r="Y10" s="60" t="s">
        <v>247</v>
      </c>
      <c r="Z10" s="60" t="s">
        <v>248</v>
      </c>
      <c r="AA10" s="68">
        <v>2</v>
      </c>
      <c r="AB10" s="68">
        <v>1</v>
      </c>
      <c r="AC10" s="31"/>
      <c r="AD10" s="31"/>
      <c r="AE10" s="31"/>
      <c r="AF10" s="31"/>
      <c r="AG10" s="31"/>
      <c r="AH10" s="31"/>
      <c r="AI10" s="31"/>
      <c r="AJ10" s="31"/>
      <c r="AK10" s="57" t="s">
        <v>249</v>
      </c>
      <c r="AL10" s="63" t="s">
        <v>264</v>
      </c>
      <c r="AM10" s="57">
        <v>0</v>
      </c>
      <c r="AN10" s="57" t="s">
        <v>251</v>
      </c>
      <c r="AO10" s="57" t="s">
        <v>251</v>
      </c>
      <c r="AP10" s="58">
        <v>30000</v>
      </c>
      <c r="AQ10" s="69">
        <v>500000</v>
      </c>
      <c r="AR10" s="58">
        <v>95</v>
      </c>
      <c r="AS10" s="65">
        <v>3.8</v>
      </c>
      <c r="AT10" s="31"/>
      <c r="AU10" s="57" t="s">
        <v>251</v>
      </c>
      <c r="AV10" s="31"/>
      <c r="AW10" s="57">
        <v>0</v>
      </c>
      <c r="AX10" s="57">
        <v>0</v>
      </c>
      <c r="AY10" s="57"/>
      <c r="AZ10" s="57">
        <v>0</v>
      </c>
      <c r="BA10" s="57">
        <v>999</v>
      </c>
      <c r="BB10" s="57"/>
      <c r="BC10" s="57">
        <v>50</v>
      </c>
      <c r="BD10" s="31"/>
      <c r="BE10" s="57"/>
      <c r="BF10" s="57">
        <v>0</v>
      </c>
      <c r="BG10" s="57">
        <v>0</v>
      </c>
      <c r="BH10" s="66">
        <v>4.0000000000000001E-3</v>
      </c>
      <c r="BI10" s="57"/>
      <c r="BJ10" s="57">
        <v>0</v>
      </c>
      <c r="BK10" s="57">
        <v>130</v>
      </c>
      <c r="BL10" s="57" t="s">
        <v>249</v>
      </c>
      <c r="BM10" s="57" t="s">
        <v>251</v>
      </c>
      <c r="BN10" s="57" t="s">
        <v>249</v>
      </c>
      <c r="BO10" s="57" t="s">
        <v>251</v>
      </c>
      <c r="BP10" s="57" t="s">
        <v>251</v>
      </c>
      <c r="BQ10" s="57" t="s">
        <v>251</v>
      </c>
      <c r="BR10" s="57" t="s">
        <v>249</v>
      </c>
      <c r="BS10" s="57" t="s">
        <v>251</v>
      </c>
      <c r="BT10" s="57" t="s">
        <v>251</v>
      </c>
      <c r="BU10" s="31"/>
      <c r="BV10" s="57" t="s">
        <v>251</v>
      </c>
      <c r="BW10" s="57" t="s">
        <v>251</v>
      </c>
      <c r="BX10" s="57" t="s">
        <v>251</v>
      </c>
      <c r="BY10" s="57" t="s">
        <v>251</v>
      </c>
      <c r="BZ10" s="57" t="s">
        <v>249</v>
      </c>
      <c r="CA10" s="57" t="s">
        <v>251</v>
      </c>
    </row>
    <row r="11" spans="1:80" ht="26.25">
      <c r="A11" s="57" t="s">
        <v>262</v>
      </c>
      <c r="B11" s="57" t="s">
        <v>34</v>
      </c>
      <c r="C11" s="57" t="s">
        <v>268</v>
      </c>
      <c r="D11" s="57" t="s">
        <v>258</v>
      </c>
      <c r="E11" s="58">
        <v>2.79</v>
      </c>
      <c r="F11" s="121">
        <v>45504</v>
      </c>
      <c r="G11" s="31"/>
      <c r="H11" s="31"/>
      <c r="I11" s="31"/>
      <c r="J11" s="31"/>
      <c r="K11" s="31"/>
      <c r="L11" s="31"/>
      <c r="M11" s="31"/>
      <c r="N11" s="31"/>
      <c r="O11" s="31"/>
      <c r="P11" s="31"/>
      <c r="Q11" s="31"/>
      <c r="R11" s="31"/>
      <c r="S11" s="31"/>
      <c r="T11" s="31"/>
      <c r="U11" s="59" t="s">
        <v>245</v>
      </c>
      <c r="V11" s="57" t="s">
        <v>21</v>
      </c>
      <c r="W11" s="57">
        <v>24</v>
      </c>
      <c r="X11" s="59" t="s">
        <v>246</v>
      </c>
      <c r="Y11" s="60" t="s">
        <v>247</v>
      </c>
      <c r="Z11" s="60" t="s">
        <v>248</v>
      </c>
      <c r="AA11" s="68">
        <v>2</v>
      </c>
      <c r="AB11" s="68">
        <v>1</v>
      </c>
      <c r="AC11" s="31"/>
      <c r="AD11" s="31"/>
      <c r="AE11" s="31"/>
      <c r="AF11" s="31"/>
      <c r="AG11" s="31"/>
      <c r="AH11" s="31"/>
      <c r="AI11" s="31"/>
      <c r="AJ11" s="31"/>
      <c r="AK11" s="57" t="s">
        <v>249</v>
      </c>
      <c r="AL11" s="63" t="s">
        <v>264</v>
      </c>
      <c r="AM11" s="57">
        <v>500</v>
      </c>
      <c r="AN11" s="57" t="s">
        <v>251</v>
      </c>
      <c r="AO11" s="57" t="s">
        <v>249</v>
      </c>
      <c r="AP11" s="58">
        <v>50000</v>
      </c>
      <c r="AQ11" s="69">
        <v>500000</v>
      </c>
      <c r="AR11" s="58">
        <v>95</v>
      </c>
      <c r="AS11" s="65">
        <v>3.8</v>
      </c>
      <c r="AT11" s="31"/>
      <c r="AU11" s="57" t="s">
        <v>251</v>
      </c>
      <c r="AV11" s="31"/>
      <c r="AW11" s="57">
        <v>0</v>
      </c>
      <c r="AX11" s="57">
        <v>0</v>
      </c>
      <c r="AY11" s="57"/>
      <c r="AZ11" s="57">
        <v>0</v>
      </c>
      <c r="BA11" s="57">
        <v>0</v>
      </c>
      <c r="BB11" s="57"/>
      <c r="BC11" s="57">
        <v>50</v>
      </c>
      <c r="BD11" s="31"/>
      <c r="BE11" s="57"/>
      <c r="BF11" s="57">
        <v>0</v>
      </c>
      <c r="BG11" s="57">
        <v>0</v>
      </c>
      <c r="BH11" s="66">
        <v>4.0000000000000001E-3</v>
      </c>
      <c r="BI11" s="57"/>
      <c r="BJ11" s="57">
        <v>0</v>
      </c>
      <c r="BK11" s="57">
        <v>130</v>
      </c>
      <c r="BL11" s="57" t="s">
        <v>249</v>
      </c>
      <c r="BM11" s="57" t="s">
        <v>251</v>
      </c>
      <c r="BN11" s="57" t="s">
        <v>249</v>
      </c>
      <c r="BO11" s="57" t="s">
        <v>251</v>
      </c>
      <c r="BP11" s="57" t="s">
        <v>251</v>
      </c>
      <c r="BQ11" s="57" t="s">
        <v>251</v>
      </c>
      <c r="BR11" s="57" t="s">
        <v>249</v>
      </c>
      <c r="BS11" s="57" t="s">
        <v>251</v>
      </c>
      <c r="BT11" s="57" t="s">
        <v>251</v>
      </c>
      <c r="BU11" s="31"/>
      <c r="BV11" s="57" t="s">
        <v>251</v>
      </c>
      <c r="BW11" s="57" t="s">
        <v>251</v>
      </c>
      <c r="BX11" s="57" t="s">
        <v>251</v>
      </c>
      <c r="BY11" s="57" t="s">
        <v>251</v>
      </c>
      <c r="BZ11" s="57" t="s">
        <v>249</v>
      </c>
      <c r="CA11" s="57" t="s">
        <v>251</v>
      </c>
    </row>
    <row r="12" spans="1:80" ht="64.5">
      <c r="A12" s="57" t="s">
        <v>256</v>
      </c>
      <c r="B12" s="57" t="s">
        <v>34</v>
      </c>
      <c r="C12" s="57" t="s">
        <v>269</v>
      </c>
      <c r="D12" s="57" t="s">
        <v>258</v>
      </c>
      <c r="E12" s="58">
        <v>2.85</v>
      </c>
      <c r="F12" s="121">
        <v>46599</v>
      </c>
      <c r="G12" s="31"/>
      <c r="H12" s="31"/>
      <c r="I12" s="31"/>
      <c r="J12" s="31"/>
      <c r="K12" s="31"/>
      <c r="L12" s="31"/>
      <c r="M12" s="31"/>
      <c r="N12" s="31"/>
      <c r="O12" s="31"/>
      <c r="P12" s="31"/>
      <c r="Q12" s="31"/>
      <c r="R12" s="31"/>
      <c r="S12" s="31"/>
      <c r="T12" s="31"/>
      <c r="U12" s="59" t="s">
        <v>245</v>
      </c>
      <c r="V12" s="57" t="s">
        <v>21</v>
      </c>
      <c r="W12" s="57">
        <v>60</v>
      </c>
      <c r="X12" s="59" t="s">
        <v>246</v>
      </c>
      <c r="Y12" s="60" t="s">
        <v>247</v>
      </c>
      <c r="Z12" s="60" t="s">
        <v>248</v>
      </c>
      <c r="AA12" s="68">
        <v>5</v>
      </c>
      <c r="AB12" s="68">
        <v>4</v>
      </c>
      <c r="AC12" s="68">
        <v>3</v>
      </c>
      <c r="AD12" s="68">
        <v>2</v>
      </c>
      <c r="AE12" s="68">
        <v>1</v>
      </c>
      <c r="AF12" s="31"/>
      <c r="AG12" s="31"/>
      <c r="AH12" s="31"/>
      <c r="AI12" s="31"/>
      <c r="AJ12" s="31"/>
      <c r="AK12" s="57" t="s">
        <v>249</v>
      </c>
      <c r="AL12" s="63" t="s">
        <v>259</v>
      </c>
      <c r="AM12" s="57">
        <v>0</v>
      </c>
      <c r="AN12" s="57" t="s">
        <v>251</v>
      </c>
      <c r="AO12" s="57" t="s">
        <v>251</v>
      </c>
      <c r="AP12" s="58">
        <v>30000</v>
      </c>
      <c r="AQ12" s="69">
        <v>500000</v>
      </c>
      <c r="AR12" s="58">
        <v>95</v>
      </c>
      <c r="AS12" s="65">
        <v>3.7</v>
      </c>
      <c r="AT12" s="31"/>
      <c r="AU12" s="57" t="s">
        <v>251</v>
      </c>
      <c r="AV12" s="31"/>
      <c r="AW12" s="57">
        <v>0</v>
      </c>
      <c r="AX12" s="57">
        <v>0</v>
      </c>
      <c r="AY12" s="57"/>
      <c r="AZ12" s="57">
        <v>0</v>
      </c>
      <c r="BA12" s="57">
        <v>999</v>
      </c>
      <c r="BB12" s="57"/>
      <c r="BC12" s="57">
        <v>50</v>
      </c>
      <c r="BD12" s="31"/>
      <c r="BE12" s="57"/>
      <c r="BF12" s="57">
        <v>0</v>
      </c>
      <c r="BG12" s="57">
        <v>0</v>
      </c>
      <c r="BH12" s="66">
        <v>4.0000000000000001E-3</v>
      </c>
      <c r="BI12" s="57"/>
      <c r="BJ12" s="57">
        <v>0</v>
      </c>
      <c r="BK12" s="57">
        <v>130</v>
      </c>
      <c r="BL12" s="57" t="s">
        <v>249</v>
      </c>
      <c r="BM12" s="57" t="s">
        <v>251</v>
      </c>
      <c r="BN12" s="57" t="s">
        <v>249</v>
      </c>
      <c r="BO12" s="57" t="s">
        <v>251</v>
      </c>
      <c r="BP12" s="57" t="s">
        <v>251</v>
      </c>
      <c r="BQ12" s="57" t="s">
        <v>251</v>
      </c>
      <c r="BR12" s="57" t="s">
        <v>249</v>
      </c>
      <c r="BS12" s="57" t="s">
        <v>251</v>
      </c>
      <c r="BT12" s="57" t="s">
        <v>251</v>
      </c>
      <c r="BU12" s="31"/>
      <c r="BV12" s="57" t="s">
        <v>251</v>
      </c>
      <c r="BW12" s="57" t="s">
        <v>251</v>
      </c>
      <c r="BX12" s="57" t="s">
        <v>251</v>
      </c>
      <c r="BY12" s="57" t="s">
        <v>251</v>
      </c>
      <c r="BZ12" s="57" t="s">
        <v>249</v>
      </c>
      <c r="CA12" s="57" t="s">
        <v>251</v>
      </c>
    </row>
    <row r="13" spans="1:80" ht="64.5">
      <c r="A13" s="57" t="s">
        <v>256</v>
      </c>
      <c r="B13" s="57" t="s">
        <v>34</v>
      </c>
      <c r="C13" s="57" t="s">
        <v>270</v>
      </c>
      <c r="D13" s="57" t="s">
        <v>258</v>
      </c>
      <c r="E13" s="58">
        <v>3.05</v>
      </c>
      <c r="F13" s="121">
        <v>46599</v>
      </c>
      <c r="G13" s="31"/>
      <c r="H13" s="31"/>
      <c r="I13" s="31"/>
      <c r="J13" s="31"/>
      <c r="K13" s="31"/>
      <c r="L13" s="31"/>
      <c r="M13" s="31"/>
      <c r="N13" s="31"/>
      <c r="O13" s="31"/>
      <c r="P13" s="31"/>
      <c r="Q13" s="31"/>
      <c r="R13" s="31"/>
      <c r="S13" s="31"/>
      <c r="T13" s="31"/>
      <c r="U13" s="59" t="s">
        <v>245</v>
      </c>
      <c r="V13" s="57" t="s">
        <v>21</v>
      </c>
      <c r="W13" s="57">
        <v>60</v>
      </c>
      <c r="X13" s="59" t="s">
        <v>246</v>
      </c>
      <c r="Y13" s="60" t="s">
        <v>247</v>
      </c>
      <c r="Z13" s="60" t="s">
        <v>248</v>
      </c>
      <c r="AA13" s="68">
        <v>5</v>
      </c>
      <c r="AB13" s="68">
        <v>4</v>
      </c>
      <c r="AC13" s="68">
        <v>3</v>
      </c>
      <c r="AD13" s="68">
        <v>2</v>
      </c>
      <c r="AE13" s="68">
        <v>1</v>
      </c>
      <c r="AF13" s="31"/>
      <c r="AG13" s="31"/>
      <c r="AH13" s="31"/>
      <c r="AI13" s="31"/>
      <c r="AJ13" s="31"/>
      <c r="AK13" s="57" t="s">
        <v>249</v>
      </c>
      <c r="AL13" s="63" t="s">
        <v>259</v>
      </c>
      <c r="AM13" s="57">
        <v>500</v>
      </c>
      <c r="AN13" s="57" t="s">
        <v>251</v>
      </c>
      <c r="AO13" s="57" t="s">
        <v>249</v>
      </c>
      <c r="AP13" s="58">
        <v>50000</v>
      </c>
      <c r="AQ13" s="69">
        <v>500000</v>
      </c>
      <c r="AR13" s="58">
        <v>95</v>
      </c>
      <c r="AS13" s="65">
        <v>3.7</v>
      </c>
      <c r="AT13" s="31"/>
      <c r="AU13" s="57" t="s">
        <v>251</v>
      </c>
      <c r="AV13" s="31"/>
      <c r="AW13" s="57">
        <v>0</v>
      </c>
      <c r="AX13" s="57">
        <v>0</v>
      </c>
      <c r="AY13" s="57"/>
      <c r="AZ13" s="57">
        <v>0</v>
      </c>
      <c r="BA13" s="57">
        <v>0</v>
      </c>
      <c r="BB13" s="57"/>
      <c r="BC13" s="57">
        <v>50</v>
      </c>
      <c r="BD13" s="31"/>
      <c r="BE13" s="57"/>
      <c r="BF13" s="57">
        <v>0</v>
      </c>
      <c r="BG13" s="57">
        <v>0</v>
      </c>
      <c r="BH13" s="66">
        <v>4.0000000000000001E-3</v>
      </c>
      <c r="BI13" s="57"/>
      <c r="BJ13" s="57">
        <v>0</v>
      </c>
      <c r="BK13" s="57">
        <v>130</v>
      </c>
      <c r="BL13" s="57" t="s">
        <v>249</v>
      </c>
      <c r="BM13" s="57" t="s">
        <v>251</v>
      </c>
      <c r="BN13" s="57" t="s">
        <v>249</v>
      </c>
      <c r="BO13" s="57" t="s">
        <v>251</v>
      </c>
      <c r="BP13" s="57" t="s">
        <v>251</v>
      </c>
      <c r="BQ13" s="57" t="s">
        <v>251</v>
      </c>
      <c r="BR13" s="57" t="s">
        <v>249</v>
      </c>
      <c r="BS13" s="57" t="s">
        <v>251</v>
      </c>
      <c r="BT13" s="57" t="s">
        <v>251</v>
      </c>
      <c r="BU13" s="31"/>
      <c r="BV13" s="57" t="s">
        <v>251</v>
      </c>
      <c r="BW13" s="57" t="s">
        <v>251</v>
      </c>
      <c r="BX13" s="57" t="s">
        <v>251</v>
      </c>
      <c r="BY13" s="57" t="s">
        <v>251</v>
      </c>
      <c r="BZ13" s="57" t="s">
        <v>249</v>
      </c>
      <c r="CA13" s="57" t="s">
        <v>251</v>
      </c>
    </row>
    <row r="14" spans="1:80" ht="26.25" customHeight="1">
      <c r="A14" s="57" t="s">
        <v>271</v>
      </c>
      <c r="B14" s="57" t="s">
        <v>34</v>
      </c>
      <c r="C14" s="57" t="s">
        <v>272</v>
      </c>
      <c r="D14" s="57" t="s">
        <v>258</v>
      </c>
      <c r="E14" s="58">
        <v>3.05</v>
      </c>
      <c r="F14" s="121">
        <v>46599</v>
      </c>
      <c r="G14" s="31"/>
      <c r="H14" s="31"/>
      <c r="I14" s="31"/>
      <c r="J14" s="31"/>
      <c r="K14" s="31"/>
      <c r="L14" s="31"/>
      <c r="M14" s="31"/>
      <c r="N14" s="31"/>
      <c r="O14" s="31"/>
      <c r="P14" s="31"/>
      <c r="Q14" s="31"/>
      <c r="R14" s="31"/>
      <c r="S14" s="31"/>
      <c r="T14" s="31"/>
      <c r="U14" s="59" t="s">
        <v>245</v>
      </c>
      <c r="V14" s="57" t="s">
        <v>21</v>
      </c>
      <c r="W14" s="57">
        <v>60</v>
      </c>
      <c r="X14" s="59" t="s">
        <v>246</v>
      </c>
      <c r="Y14" s="60" t="s">
        <v>247</v>
      </c>
      <c r="Z14" s="60" t="s">
        <v>248</v>
      </c>
      <c r="AA14" s="68">
        <v>5</v>
      </c>
      <c r="AB14" s="68">
        <v>4</v>
      </c>
      <c r="AC14" s="68">
        <v>3</v>
      </c>
      <c r="AD14" s="68">
        <v>2</v>
      </c>
      <c r="AE14" s="68">
        <v>1</v>
      </c>
      <c r="AF14" s="31"/>
      <c r="AG14" s="31"/>
      <c r="AH14" s="31"/>
      <c r="AI14" s="31"/>
      <c r="AJ14" s="31"/>
      <c r="AK14" s="57" t="s">
        <v>249</v>
      </c>
      <c r="AL14" s="63" t="s">
        <v>259</v>
      </c>
      <c r="AM14" s="57">
        <v>1000</v>
      </c>
      <c r="AN14" s="57" t="s">
        <v>251</v>
      </c>
      <c r="AO14" s="57" t="s">
        <v>249</v>
      </c>
      <c r="AP14" s="58">
        <v>50000</v>
      </c>
      <c r="AQ14" s="69">
        <v>500000</v>
      </c>
      <c r="AR14" s="58">
        <v>95</v>
      </c>
      <c r="AS14" s="65">
        <v>3.7</v>
      </c>
      <c r="AT14" s="31"/>
      <c r="AU14" s="57" t="s">
        <v>251</v>
      </c>
      <c r="AV14" s="31"/>
      <c r="AW14" s="57">
        <v>0</v>
      </c>
      <c r="AX14" s="57">
        <v>0</v>
      </c>
      <c r="AY14" s="57"/>
      <c r="AZ14" s="57">
        <v>0</v>
      </c>
      <c r="BA14" s="57">
        <v>0</v>
      </c>
      <c r="BB14" s="57"/>
      <c r="BC14" s="57">
        <v>50</v>
      </c>
      <c r="BD14" s="31"/>
      <c r="BE14" s="57"/>
      <c r="BF14" s="57">
        <v>0</v>
      </c>
      <c r="BG14" s="57">
        <v>0</v>
      </c>
      <c r="BH14" s="66">
        <v>4.0000000000000001E-3</v>
      </c>
      <c r="BI14" s="57"/>
      <c r="BJ14" s="57">
        <v>0</v>
      </c>
      <c r="BK14" s="57">
        <v>130</v>
      </c>
      <c r="BL14" s="57" t="s">
        <v>249</v>
      </c>
      <c r="BM14" s="57" t="s">
        <v>251</v>
      </c>
      <c r="BN14" s="57" t="s">
        <v>249</v>
      </c>
      <c r="BO14" s="57" t="s">
        <v>251</v>
      </c>
      <c r="BP14" s="57" t="s">
        <v>251</v>
      </c>
      <c r="BQ14" s="57" t="s">
        <v>251</v>
      </c>
      <c r="BR14" s="57" t="s">
        <v>249</v>
      </c>
      <c r="BS14" s="57" t="s">
        <v>251</v>
      </c>
      <c r="BT14" s="57" t="s">
        <v>251</v>
      </c>
      <c r="BU14" s="31"/>
      <c r="BV14" s="57" t="s">
        <v>251</v>
      </c>
      <c r="BW14" s="57" t="s">
        <v>251</v>
      </c>
      <c r="BX14" s="57" t="s">
        <v>251</v>
      </c>
      <c r="BY14" s="57" t="s">
        <v>251</v>
      </c>
      <c r="BZ14" s="57" t="s">
        <v>249</v>
      </c>
      <c r="CA14" s="57" t="s">
        <v>251</v>
      </c>
    </row>
    <row r="15" spans="1:80" ht="26.25">
      <c r="A15" s="57" t="s">
        <v>273</v>
      </c>
      <c r="B15" s="57" t="s">
        <v>34</v>
      </c>
      <c r="C15" s="57" t="s">
        <v>274</v>
      </c>
      <c r="D15" s="57" t="s">
        <v>258</v>
      </c>
      <c r="E15" s="58">
        <v>2.79</v>
      </c>
      <c r="F15" s="121">
        <v>45504</v>
      </c>
      <c r="G15" s="31"/>
      <c r="H15" s="31"/>
      <c r="I15" s="31"/>
      <c r="J15" s="31"/>
      <c r="K15" s="31"/>
      <c r="L15" s="31"/>
      <c r="M15" s="31"/>
      <c r="N15" s="31"/>
      <c r="O15" s="31"/>
      <c r="P15" s="31"/>
      <c r="Q15" s="31"/>
      <c r="R15" s="31"/>
      <c r="S15" s="31"/>
      <c r="T15" s="31"/>
      <c r="U15" s="59" t="s">
        <v>245</v>
      </c>
      <c r="V15" s="57" t="s">
        <v>21</v>
      </c>
      <c r="W15" s="57">
        <v>24</v>
      </c>
      <c r="X15" s="59" t="s">
        <v>246</v>
      </c>
      <c r="Y15" s="60" t="s">
        <v>247</v>
      </c>
      <c r="Z15" s="60" t="s">
        <v>248</v>
      </c>
      <c r="AA15" s="68">
        <v>2</v>
      </c>
      <c r="AB15" s="68">
        <v>1</v>
      </c>
      <c r="AC15" s="31"/>
      <c r="AD15" s="31"/>
      <c r="AE15" s="31"/>
      <c r="AF15" s="31"/>
      <c r="AG15" s="31"/>
      <c r="AH15" s="31"/>
      <c r="AI15" s="31"/>
      <c r="AJ15" s="31"/>
      <c r="AK15" s="57" t="s">
        <v>249</v>
      </c>
      <c r="AL15" s="63" t="s">
        <v>264</v>
      </c>
      <c r="AM15" s="57">
        <v>1000</v>
      </c>
      <c r="AN15" s="57" t="s">
        <v>251</v>
      </c>
      <c r="AO15" s="57" t="s">
        <v>249</v>
      </c>
      <c r="AP15" s="58">
        <v>50000</v>
      </c>
      <c r="AQ15" s="69">
        <v>500000</v>
      </c>
      <c r="AR15" s="58">
        <v>95</v>
      </c>
      <c r="AS15" s="65">
        <v>3.8</v>
      </c>
      <c r="AT15" s="31"/>
      <c r="AU15" s="57" t="s">
        <v>251</v>
      </c>
      <c r="AV15" s="31"/>
      <c r="AW15" s="57">
        <v>0</v>
      </c>
      <c r="AX15" s="57">
        <v>0</v>
      </c>
      <c r="AY15" s="57"/>
      <c r="AZ15" s="57">
        <v>0</v>
      </c>
      <c r="BA15" s="57">
        <v>0</v>
      </c>
      <c r="BB15" s="57"/>
      <c r="BC15" s="57">
        <v>50</v>
      </c>
      <c r="BD15" s="31"/>
      <c r="BE15" s="57"/>
      <c r="BF15" s="57">
        <v>0</v>
      </c>
      <c r="BG15" s="57">
        <v>0</v>
      </c>
      <c r="BH15" s="66">
        <v>4.0000000000000001E-3</v>
      </c>
      <c r="BI15" s="57"/>
      <c r="BJ15" s="57">
        <v>0</v>
      </c>
      <c r="BK15" s="57">
        <v>130</v>
      </c>
      <c r="BL15" s="57" t="s">
        <v>249</v>
      </c>
      <c r="BM15" s="57" t="s">
        <v>251</v>
      </c>
      <c r="BN15" s="57" t="s">
        <v>249</v>
      </c>
      <c r="BO15" s="57" t="s">
        <v>251</v>
      </c>
      <c r="BP15" s="57" t="s">
        <v>251</v>
      </c>
      <c r="BQ15" s="57" t="s">
        <v>251</v>
      </c>
      <c r="BR15" s="57" t="s">
        <v>249</v>
      </c>
      <c r="BS15" s="57" t="s">
        <v>251</v>
      </c>
      <c r="BT15" s="57" t="s">
        <v>251</v>
      </c>
      <c r="BU15" s="31"/>
      <c r="BV15" s="57" t="s">
        <v>251</v>
      </c>
      <c r="BW15" s="57" t="s">
        <v>251</v>
      </c>
      <c r="BX15" s="57" t="s">
        <v>251</v>
      </c>
      <c r="BY15" s="57" t="s">
        <v>251</v>
      </c>
      <c r="BZ15" s="57" t="s">
        <v>249</v>
      </c>
      <c r="CA15" s="57" t="s">
        <v>251</v>
      </c>
    </row>
    <row r="16" spans="1:80" ht="26.25" customHeight="1">
      <c r="A16" s="57" t="s">
        <v>275</v>
      </c>
      <c r="B16" s="57" t="s">
        <v>34</v>
      </c>
      <c r="C16" s="57" t="s">
        <v>276</v>
      </c>
      <c r="D16" s="57" t="s">
        <v>258</v>
      </c>
      <c r="E16" s="58">
        <v>3.05</v>
      </c>
      <c r="F16" s="121">
        <v>46599</v>
      </c>
      <c r="G16" s="31"/>
      <c r="H16" s="31"/>
      <c r="I16" s="31"/>
      <c r="J16" s="31"/>
      <c r="K16" s="31"/>
      <c r="L16" s="31"/>
      <c r="M16" s="31"/>
      <c r="N16" s="31"/>
      <c r="O16" s="31"/>
      <c r="P16" s="31"/>
      <c r="Q16" s="31"/>
      <c r="R16" s="31"/>
      <c r="S16" s="31"/>
      <c r="T16" s="31"/>
      <c r="U16" s="59" t="s">
        <v>245</v>
      </c>
      <c r="V16" s="57" t="s">
        <v>21</v>
      </c>
      <c r="W16" s="57">
        <v>60</v>
      </c>
      <c r="X16" s="59" t="s">
        <v>246</v>
      </c>
      <c r="Y16" s="60" t="s">
        <v>247</v>
      </c>
      <c r="Z16" s="60" t="s">
        <v>248</v>
      </c>
      <c r="AA16" s="68">
        <v>5</v>
      </c>
      <c r="AB16" s="68">
        <v>4</v>
      </c>
      <c r="AC16" s="68">
        <v>3</v>
      </c>
      <c r="AD16" s="68">
        <v>2</v>
      </c>
      <c r="AE16" s="68">
        <v>1</v>
      </c>
      <c r="AF16" s="31"/>
      <c r="AG16" s="31"/>
      <c r="AH16" s="31"/>
      <c r="AI16" s="31"/>
      <c r="AJ16" s="31"/>
      <c r="AK16" s="57" t="s">
        <v>249</v>
      </c>
      <c r="AL16" s="63" t="s">
        <v>259</v>
      </c>
      <c r="AM16" s="57">
        <v>1000</v>
      </c>
      <c r="AN16" s="57" t="s">
        <v>251</v>
      </c>
      <c r="AO16" s="57" t="s">
        <v>249</v>
      </c>
      <c r="AP16" s="58">
        <v>50000</v>
      </c>
      <c r="AQ16" s="69">
        <v>500000</v>
      </c>
      <c r="AR16" s="58">
        <v>95</v>
      </c>
      <c r="AS16" s="65">
        <v>3.7</v>
      </c>
      <c r="AT16" s="31"/>
      <c r="AU16" s="57" t="s">
        <v>251</v>
      </c>
      <c r="AV16" s="31"/>
      <c r="AW16" s="57">
        <v>0</v>
      </c>
      <c r="AX16" s="57">
        <v>0</v>
      </c>
      <c r="AY16" s="57"/>
      <c r="AZ16" s="57">
        <v>0</v>
      </c>
      <c r="BA16" s="57">
        <v>0</v>
      </c>
      <c r="BB16" s="57"/>
      <c r="BC16" s="57">
        <v>50</v>
      </c>
      <c r="BD16" s="31"/>
      <c r="BE16" s="57"/>
      <c r="BF16" s="57">
        <v>0</v>
      </c>
      <c r="BG16" s="57">
        <v>0</v>
      </c>
      <c r="BH16" s="66">
        <v>4.0000000000000001E-3</v>
      </c>
      <c r="BI16" s="57"/>
      <c r="BJ16" s="57">
        <v>0</v>
      </c>
      <c r="BK16" s="57">
        <v>130</v>
      </c>
      <c r="BL16" s="57" t="s">
        <v>249</v>
      </c>
      <c r="BM16" s="57" t="s">
        <v>251</v>
      </c>
      <c r="BN16" s="57" t="s">
        <v>249</v>
      </c>
      <c r="BO16" s="57" t="s">
        <v>251</v>
      </c>
      <c r="BP16" s="57" t="s">
        <v>251</v>
      </c>
      <c r="BQ16" s="57" t="s">
        <v>251</v>
      </c>
      <c r="BR16" s="57" t="s">
        <v>249</v>
      </c>
      <c r="BS16" s="57" t="s">
        <v>251</v>
      </c>
      <c r="BT16" s="57" t="s">
        <v>251</v>
      </c>
      <c r="BU16" s="31"/>
      <c r="BV16" s="57" t="s">
        <v>251</v>
      </c>
      <c r="BW16" s="57" t="s">
        <v>251</v>
      </c>
      <c r="BX16" s="57" t="s">
        <v>251</v>
      </c>
      <c r="BY16" s="57" t="s">
        <v>251</v>
      </c>
      <c r="BZ16" s="57" t="s">
        <v>249</v>
      </c>
      <c r="CA16" s="57" t="s">
        <v>251</v>
      </c>
    </row>
    <row r="17" spans="1:79" ht="26.25">
      <c r="A17" s="57" t="s">
        <v>277</v>
      </c>
      <c r="B17" s="57" t="s">
        <v>34</v>
      </c>
      <c r="C17" s="57" t="s">
        <v>278</v>
      </c>
      <c r="D17" s="57" t="s">
        <v>258</v>
      </c>
      <c r="E17" s="58">
        <v>2.35</v>
      </c>
      <c r="F17" s="121">
        <v>45473</v>
      </c>
      <c r="G17" s="31"/>
      <c r="H17" s="31"/>
      <c r="I17" s="31"/>
      <c r="J17" s="31"/>
      <c r="K17" s="31"/>
      <c r="L17" s="31"/>
      <c r="M17" s="31"/>
      <c r="N17" s="31"/>
      <c r="O17" s="31"/>
      <c r="P17" s="31"/>
      <c r="Q17" s="31"/>
      <c r="R17" s="31"/>
      <c r="S17" s="31"/>
      <c r="T17" s="31"/>
      <c r="U17" s="59" t="s">
        <v>245</v>
      </c>
      <c r="V17" s="57" t="s">
        <v>21</v>
      </c>
      <c r="W17" s="57">
        <v>24</v>
      </c>
      <c r="X17" s="59" t="s">
        <v>246</v>
      </c>
      <c r="Y17" s="60" t="s">
        <v>279</v>
      </c>
      <c r="Z17" s="60" t="s">
        <v>280</v>
      </c>
      <c r="AA17" s="68">
        <v>2</v>
      </c>
      <c r="AB17" s="68">
        <v>1</v>
      </c>
      <c r="AC17" s="68"/>
      <c r="AD17" s="68"/>
      <c r="AE17" s="68"/>
      <c r="AF17" s="31"/>
      <c r="AG17" s="31"/>
      <c r="AH17" s="31"/>
      <c r="AI17" s="31"/>
      <c r="AJ17" s="31"/>
      <c r="AK17" s="57" t="s">
        <v>249</v>
      </c>
      <c r="AL17" s="63" t="s">
        <v>281</v>
      </c>
      <c r="AM17" s="57">
        <v>0</v>
      </c>
      <c r="AN17" s="57" t="s">
        <v>251</v>
      </c>
      <c r="AO17" s="57" t="s">
        <v>249</v>
      </c>
      <c r="AP17" s="58">
        <v>50000</v>
      </c>
      <c r="AQ17" s="69">
        <v>237500</v>
      </c>
      <c r="AR17" s="58">
        <v>75</v>
      </c>
      <c r="AS17" s="65">
        <v>3.7</v>
      </c>
      <c r="AT17" s="31"/>
      <c r="AU17" s="57" t="s">
        <v>251</v>
      </c>
      <c r="AV17" s="31"/>
      <c r="AW17" s="57">
        <v>0</v>
      </c>
      <c r="AX17" s="57">
        <v>0</v>
      </c>
      <c r="AY17" s="57"/>
      <c r="AZ17" s="57">
        <v>0</v>
      </c>
      <c r="BA17" s="57">
        <v>0</v>
      </c>
      <c r="BB17" s="57"/>
      <c r="BC17" s="57">
        <v>50</v>
      </c>
      <c r="BD17" s="31"/>
      <c r="BE17" s="31"/>
      <c r="BF17" s="57">
        <v>0</v>
      </c>
      <c r="BG17" s="57">
        <v>0</v>
      </c>
      <c r="BH17" s="66">
        <v>4.0000000000000001E-3</v>
      </c>
      <c r="BI17" s="57"/>
      <c r="BJ17" s="57">
        <v>0</v>
      </c>
      <c r="BK17" s="57">
        <v>130</v>
      </c>
      <c r="BL17" s="57" t="s">
        <v>249</v>
      </c>
      <c r="BM17" s="57" t="s">
        <v>251</v>
      </c>
      <c r="BN17" s="57" t="s">
        <v>249</v>
      </c>
      <c r="BO17" s="57" t="s">
        <v>251</v>
      </c>
      <c r="BP17" s="57" t="s">
        <v>251</v>
      </c>
      <c r="BQ17" s="57" t="s">
        <v>251</v>
      </c>
      <c r="BR17" s="57" t="s">
        <v>249</v>
      </c>
      <c r="BS17" s="57" t="s">
        <v>251</v>
      </c>
      <c r="BT17" s="57" t="s">
        <v>251</v>
      </c>
      <c r="BU17" s="31"/>
      <c r="BV17" s="57" t="s">
        <v>251</v>
      </c>
      <c r="BW17" s="57" t="s">
        <v>251</v>
      </c>
      <c r="BX17" s="57" t="s">
        <v>251</v>
      </c>
      <c r="BY17" s="57" t="s">
        <v>251</v>
      </c>
      <c r="BZ17" s="57" t="s">
        <v>249</v>
      </c>
      <c r="CA17" s="57" t="s">
        <v>251</v>
      </c>
    </row>
    <row r="18" spans="1:79" ht="64.5">
      <c r="A18" s="57" t="s">
        <v>282</v>
      </c>
      <c r="B18" s="57" t="s">
        <v>34</v>
      </c>
      <c r="C18" s="57" t="s">
        <v>283</v>
      </c>
      <c r="D18" s="57" t="s">
        <v>258</v>
      </c>
      <c r="E18" s="58" t="s">
        <v>284</v>
      </c>
      <c r="F18" s="121">
        <v>46568</v>
      </c>
      <c r="G18" s="31"/>
      <c r="H18" s="31"/>
      <c r="I18" s="31"/>
      <c r="J18" s="31"/>
      <c r="K18" s="31"/>
      <c r="L18" s="31"/>
      <c r="M18" s="31"/>
      <c r="N18" s="31"/>
      <c r="O18" s="31"/>
      <c r="P18" s="31"/>
      <c r="Q18" s="31"/>
      <c r="R18" s="31"/>
      <c r="S18" s="31"/>
      <c r="T18" s="31"/>
      <c r="U18" s="59" t="s">
        <v>245</v>
      </c>
      <c r="V18" s="57" t="s">
        <v>21</v>
      </c>
      <c r="W18" s="57">
        <v>60</v>
      </c>
      <c r="X18" s="59" t="s">
        <v>246</v>
      </c>
      <c r="Y18" s="60" t="s">
        <v>279</v>
      </c>
      <c r="Z18" s="60" t="s">
        <v>280</v>
      </c>
      <c r="AA18" s="68">
        <v>5</v>
      </c>
      <c r="AB18" s="68">
        <v>4</v>
      </c>
      <c r="AC18" s="68">
        <v>3</v>
      </c>
      <c r="AD18" s="68">
        <v>2</v>
      </c>
      <c r="AE18" s="68">
        <v>1</v>
      </c>
      <c r="AF18" s="31"/>
      <c r="AG18" s="31"/>
      <c r="AH18" s="31"/>
      <c r="AI18" s="31"/>
      <c r="AJ18" s="31"/>
      <c r="AK18" s="57" t="s">
        <v>249</v>
      </c>
      <c r="AL18" s="63" t="s">
        <v>285</v>
      </c>
      <c r="AM18" s="57">
        <v>0</v>
      </c>
      <c r="AN18" s="57" t="s">
        <v>251</v>
      </c>
      <c r="AO18" s="57" t="s">
        <v>249</v>
      </c>
      <c r="AP18" s="58">
        <v>50000</v>
      </c>
      <c r="AQ18" s="69">
        <v>237500</v>
      </c>
      <c r="AR18" s="58">
        <v>75</v>
      </c>
      <c r="AS18" s="65">
        <v>3.4</v>
      </c>
      <c r="AT18" s="31"/>
      <c r="AU18" s="57" t="s">
        <v>251</v>
      </c>
      <c r="AV18" s="31"/>
      <c r="AW18" s="57">
        <v>0</v>
      </c>
      <c r="AX18" s="57">
        <v>0</v>
      </c>
      <c r="AY18" s="57"/>
      <c r="AZ18" s="57">
        <v>0</v>
      </c>
      <c r="BA18" s="57">
        <v>0</v>
      </c>
      <c r="BB18" s="57"/>
      <c r="BC18" s="57">
        <v>50</v>
      </c>
      <c r="BD18" s="31"/>
      <c r="BE18" s="31"/>
      <c r="BF18" s="57">
        <v>0</v>
      </c>
      <c r="BG18" s="57">
        <v>0</v>
      </c>
      <c r="BH18" s="66">
        <v>4.0000000000000001E-3</v>
      </c>
      <c r="BI18" s="57"/>
      <c r="BJ18" s="57">
        <v>0</v>
      </c>
      <c r="BK18" s="57">
        <v>130</v>
      </c>
      <c r="BL18" s="57" t="s">
        <v>249</v>
      </c>
      <c r="BM18" s="57" t="s">
        <v>251</v>
      </c>
      <c r="BN18" s="57" t="s">
        <v>249</v>
      </c>
      <c r="BO18" s="57" t="s">
        <v>251</v>
      </c>
      <c r="BP18" s="57" t="s">
        <v>251</v>
      </c>
      <c r="BQ18" s="57" t="s">
        <v>251</v>
      </c>
      <c r="BR18" s="57" t="s">
        <v>249</v>
      </c>
      <c r="BS18" s="57" t="s">
        <v>251</v>
      </c>
      <c r="BT18" s="57" t="s">
        <v>251</v>
      </c>
      <c r="BU18" s="31"/>
      <c r="BV18" s="57" t="s">
        <v>251</v>
      </c>
      <c r="BW18" s="57" t="s">
        <v>251</v>
      </c>
      <c r="BX18" s="57" t="s">
        <v>251</v>
      </c>
      <c r="BY18" s="57" t="s">
        <v>251</v>
      </c>
      <c r="BZ18" s="57" t="s">
        <v>249</v>
      </c>
      <c r="CA18" s="57" t="s">
        <v>251</v>
      </c>
    </row>
    <row r="19" spans="1:79" ht="26.25" customHeight="1">
      <c r="A19" s="57" t="s">
        <v>286</v>
      </c>
      <c r="B19" s="57" t="s">
        <v>34</v>
      </c>
      <c r="C19" s="57" t="s">
        <v>287</v>
      </c>
      <c r="D19" s="57" t="s">
        <v>258</v>
      </c>
      <c r="E19" s="58" t="s">
        <v>288</v>
      </c>
      <c r="F19" s="121">
        <v>45504</v>
      </c>
      <c r="G19" s="31"/>
      <c r="H19" s="31"/>
      <c r="I19" s="31"/>
      <c r="J19" s="31"/>
      <c r="K19" s="31"/>
      <c r="L19" s="31"/>
      <c r="M19" s="31"/>
      <c r="N19" s="31"/>
      <c r="O19" s="31"/>
      <c r="P19" s="31"/>
      <c r="Q19" s="31"/>
      <c r="R19" s="31"/>
      <c r="S19" s="31"/>
      <c r="T19" s="31"/>
      <c r="U19" s="59" t="s">
        <v>245</v>
      </c>
      <c r="V19" s="57" t="s">
        <v>21</v>
      </c>
      <c r="W19" s="57">
        <v>24</v>
      </c>
      <c r="X19" s="59" t="s">
        <v>246</v>
      </c>
      <c r="Y19" s="60" t="s">
        <v>279</v>
      </c>
      <c r="Z19" s="60" t="s">
        <v>280</v>
      </c>
      <c r="AA19" s="68">
        <v>2</v>
      </c>
      <c r="AB19" s="68">
        <v>1</v>
      </c>
      <c r="AC19" s="31"/>
      <c r="AD19" s="31"/>
      <c r="AE19" s="31"/>
      <c r="AF19" s="31"/>
      <c r="AG19" s="31"/>
      <c r="AH19" s="31"/>
      <c r="AI19" s="31"/>
      <c r="AJ19" s="31"/>
      <c r="AK19" s="57" t="s">
        <v>249</v>
      </c>
      <c r="AL19" s="63" t="s">
        <v>264</v>
      </c>
      <c r="AM19" s="57">
        <v>500</v>
      </c>
      <c r="AN19" s="57" t="s">
        <v>251</v>
      </c>
      <c r="AO19" s="57" t="s">
        <v>249</v>
      </c>
      <c r="AP19" s="58">
        <v>50000</v>
      </c>
      <c r="AQ19" s="69">
        <v>570000</v>
      </c>
      <c r="AR19" s="58">
        <v>95</v>
      </c>
      <c r="AS19" s="65">
        <v>3.8</v>
      </c>
      <c r="AT19" s="31"/>
      <c r="AU19" s="57" t="s">
        <v>251</v>
      </c>
      <c r="AV19" s="31"/>
      <c r="AW19" s="57">
        <v>0</v>
      </c>
      <c r="AX19" s="57">
        <v>0</v>
      </c>
      <c r="AY19" s="57"/>
      <c r="AZ19" s="57">
        <v>0</v>
      </c>
      <c r="BA19" s="57">
        <v>0</v>
      </c>
      <c r="BB19" s="57"/>
      <c r="BC19" s="57">
        <v>50</v>
      </c>
      <c r="BD19" s="31"/>
      <c r="BE19" s="57"/>
      <c r="BF19" s="57">
        <v>0</v>
      </c>
      <c r="BG19" s="57">
        <v>0</v>
      </c>
      <c r="BH19" s="66">
        <v>4.0000000000000001E-3</v>
      </c>
      <c r="BI19" s="57"/>
      <c r="BJ19" s="57">
        <v>0</v>
      </c>
      <c r="BK19" s="57">
        <v>130</v>
      </c>
      <c r="BL19" s="57" t="s">
        <v>249</v>
      </c>
      <c r="BM19" s="57" t="s">
        <v>251</v>
      </c>
      <c r="BN19" s="57" t="s">
        <v>249</v>
      </c>
      <c r="BO19" s="57" t="s">
        <v>251</v>
      </c>
      <c r="BP19" s="57" t="s">
        <v>251</v>
      </c>
      <c r="BQ19" s="57" t="s">
        <v>251</v>
      </c>
      <c r="BR19" s="57" t="s">
        <v>249</v>
      </c>
      <c r="BS19" s="57" t="s">
        <v>251</v>
      </c>
      <c r="BT19" s="57" t="s">
        <v>251</v>
      </c>
      <c r="BU19" s="31"/>
      <c r="BV19" s="57" t="s">
        <v>251</v>
      </c>
      <c r="BW19" s="57" t="s">
        <v>251</v>
      </c>
      <c r="BX19" s="57" t="s">
        <v>251</v>
      </c>
      <c r="BY19" s="57" t="s">
        <v>251</v>
      </c>
      <c r="BZ19" s="57" t="s">
        <v>249</v>
      </c>
      <c r="CA19" s="57" t="s">
        <v>251</v>
      </c>
    </row>
    <row r="20" spans="1:79" ht="64.5">
      <c r="A20" s="57" t="s">
        <v>289</v>
      </c>
      <c r="B20" s="57" t="s">
        <v>34</v>
      </c>
      <c r="C20" s="57" t="s">
        <v>290</v>
      </c>
      <c r="D20" s="57" t="s">
        <v>258</v>
      </c>
      <c r="E20" s="58">
        <v>3.05</v>
      </c>
      <c r="F20" s="121">
        <v>46599</v>
      </c>
      <c r="G20" s="31"/>
      <c r="H20" s="31"/>
      <c r="I20" s="31"/>
      <c r="J20" s="31"/>
      <c r="K20" s="31"/>
      <c r="L20" s="31"/>
      <c r="M20" s="31"/>
      <c r="N20" s="31"/>
      <c r="O20" s="31"/>
      <c r="P20" s="31"/>
      <c r="Q20" s="31"/>
      <c r="R20" s="31"/>
      <c r="S20" s="31"/>
      <c r="T20" s="31"/>
      <c r="U20" s="59" t="s">
        <v>245</v>
      </c>
      <c r="V20" s="57" t="s">
        <v>21</v>
      </c>
      <c r="W20" s="57">
        <v>60</v>
      </c>
      <c r="X20" s="59" t="s">
        <v>246</v>
      </c>
      <c r="Y20" s="60" t="s">
        <v>291</v>
      </c>
      <c r="Z20" s="60" t="s">
        <v>280</v>
      </c>
      <c r="AA20" s="68">
        <v>5</v>
      </c>
      <c r="AB20" s="68">
        <v>4</v>
      </c>
      <c r="AC20" s="68">
        <v>3</v>
      </c>
      <c r="AD20" s="68">
        <v>2</v>
      </c>
      <c r="AE20" s="68">
        <v>1</v>
      </c>
      <c r="AF20" s="31"/>
      <c r="AG20" s="31"/>
      <c r="AH20" s="31"/>
      <c r="AI20" s="31"/>
      <c r="AJ20" s="31"/>
      <c r="AK20" s="57" t="s">
        <v>249</v>
      </c>
      <c r="AL20" s="63" t="s">
        <v>259</v>
      </c>
      <c r="AM20" s="57">
        <v>500</v>
      </c>
      <c r="AN20" s="57" t="s">
        <v>251</v>
      </c>
      <c r="AO20" s="57" t="s">
        <v>249</v>
      </c>
      <c r="AP20" s="58">
        <v>50000</v>
      </c>
      <c r="AQ20" s="69">
        <v>570000</v>
      </c>
      <c r="AR20" s="58">
        <v>95</v>
      </c>
      <c r="AS20" s="65">
        <v>3.7</v>
      </c>
      <c r="AT20" s="31"/>
      <c r="AU20" s="57" t="s">
        <v>251</v>
      </c>
      <c r="AV20" s="31"/>
      <c r="AW20" s="57">
        <v>0</v>
      </c>
      <c r="AX20" s="57">
        <v>0</v>
      </c>
      <c r="AY20" s="57"/>
      <c r="AZ20" s="57">
        <v>0</v>
      </c>
      <c r="BA20" s="57">
        <v>0</v>
      </c>
      <c r="BB20" s="57"/>
      <c r="BC20" s="57">
        <v>50</v>
      </c>
      <c r="BD20" s="31"/>
      <c r="BE20" s="57"/>
      <c r="BF20" s="57">
        <v>0</v>
      </c>
      <c r="BG20" s="57">
        <v>0</v>
      </c>
      <c r="BH20" s="66">
        <v>4.0000000000000001E-3</v>
      </c>
      <c r="BI20" s="57"/>
      <c r="BJ20" s="57">
        <v>0</v>
      </c>
      <c r="BK20" s="57">
        <v>130</v>
      </c>
      <c r="BL20" s="57" t="s">
        <v>249</v>
      </c>
      <c r="BM20" s="57" t="s">
        <v>251</v>
      </c>
      <c r="BN20" s="57" t="s">
        <v>249</v>
      </c>
      <c r="BO20" s="57" t="s">
        <v>251</v>
      </c>
      <c r="BP20" s="57" t="s">
        <v>251</v>
      </c>
      <c r="BQ20" s="57" t="s">
        <v>251</v>
      </c>
      <c r="BR20" s="57" t="s">
        <v>249</v>
      </c>
      <c r="BS20" s="57" t="s">
        <v>251</v>
      </c>
      <c r="BT20" s="57" t="s">
        <v>251</v>
      </c>
      <c r="BU20" s="31"/>
      <c r="BV20" s="57" t="s">
        <v>251</v>
      </c>
      <c r="BW20" s="57" t="s">
        <v>251</v>
      </c>
      <c r="BX20" s="57" t="s">
        <v>251</v>
      </c>
      <c r="BY20" s="57" t="s">
        <v>251</v>
      </c>
      <c r="BZ20" s="57" t="s">
        <v>249</v>
      </c>
      <c r="CA20" s="57" t="s">
        <v>251</v>
      </c>
    </row>
    <row r="21" spans="1:79" ht="28.5" customHeight="1">
      <c r="A21" s="57" t="s">
        <v>292</v>
      </c>
      <c r="B21" s="57" t="s">
        <v>34</v>
      </c>
      <c r="C21" s="57" t="s">
        <v>293</v>
      </c>
      <c r="D21" s="57" t="s">
        <v>258</v>
      </c>
      <c r="E21" s="58">
        <v>2.5499999999999998</v>
      </c>
      <c r="F21" s="121">
        <v>45504</v>
      </c>
      <c r="G21" s="31"/>
      <c r="H21" s="31"/>
      <c r="I21" s="31"/>
      <c r="J21" s="31"/>
      <c r="K21" s="31"/>
      <c r="L21" s="31"/>
      <c r="M21" s="31"/>
      <c r="N21" s="31"/>
      <c r="O21" s="31"/>
      <c r="P21" s="31"/>
      <c r="Q21" s="31"/>
      <c r="R21" s="31"/>
      <c r="S21" s="31"/>
      <c r="T21" s="31"/>
      <c r="U21" s="59" t="s">
        <v>245</v>
      </c>
      <c r="V21" s="57" t="s">
        <v>21</v>
      </c>
      <c r="W21" s="57">
        <v>24</v>
      </c>
      <c r="X21" s="59" t="s">
        <v>246</v>
      </c>
      <c r="Y21" s="60" t="s">
        <v>247</v>
      </c>
      <c r="Z21" s="60" t="s">
        <v>248</v>
      </c>
      <c r="AA21" s="57">
        <v>2</v>
      </c>
      <c r="AB21" s="57">
        <v>1</v>
      </c>
      <c r="AC21" s="31"/>
      <c r="AD21" s="31"/>
      <c r="AE21" s="31"/>
      <c r="AF21" s="31"/>
      <c r="AG21" s="31"/>
      <c r="AH21" s="31"/>
      <c r="AI21" s="31"/>
      <c r="AJ21" s="31"/>
      <c r="AK21" s="57" t="s">
        <v>249</v>
      </c>
      <c r="AL21" s="63" t="s">
        <v>264</v>
      </c>
      <c r="AM21" s="57">
        <v>0</v>
      </c>
      <c r="AN21" s="57" t="s">
        <v>251</v>
      </c>
      <c r="AO21" s="57" t="s">
        <v>251</v>
      </c>
      <c r="AP21" s="58">
        <v>30000</v>
      </c>
      <c r="AQ21" s="69">
        <v>1500000</v>
      </c>
      <c r="AR21" s="58">
        <v>80</v>
      </c>
      <c r="AS21" s="65">
        <v>3.8</v>
      </c>
      <c r="AT21" s="31"/>
      <c r="AU21" s="57" t="s">
        <v>251</v>
      </c>
      <c r="AV21" s="31"/>
      <c r="AW21" s="57">
        <v>0</v>
      </c>
      <c r="AX21" s="57">
        <v>0</v>
      </c>
      <c r="AY21" s="57"/>
      <c r="AZ21" s="57">
        <v>0</v>
      </c>
      <c r="BA21" s="57">
        <v>999</v>
      </c>
      <c r="BB21" s="57"/>
      <c r="BC21" s="57">
        <v>50</v>
      </c>
      <c r="BD21" s="31"/>
      <c r="BE21" s="57"/>
      <c r="BF21" s="57">
        <v>0</v>
      </c>
      <c r="BG21" s="57">
        <v>0</v>
      </c>
      <c r="BH21" s="66">
        <v>4.0000000000000001E-3</v>
      </c>
      <c r="BI21" s="57"/>
      <c r="BJ21" s="57">
        <v>0</v>
      </c>
      <c r="BK21" s="57">
        <v>130</v>
      </c>
      <c r="BL21" s="57" t="s">
        <v>249</v>
      </c>
      <c r="BM21" s="57" t="s">
        <v>251</v>
      </c>
      <c r="BN21" s="57" t="s">
        <v>249</v>
      </c>
      <c r="BO21" s="57" t="s">
        <v>251</v>
      </c>
      <c r="BP21" s="57" t="s">
        <v>251</v>
      </c>
      <c r="BQ21" s="57" t="s">
        <v>251</v>
      </c>
      <c r="BR21" s="57" t="s">
        <v>249</v>
      </c>
      <c r="BS21" s="57" t="s">
        <v>251</v>
      </c>
      <c r="BT21" s="57" t="s">
        <v>251</v>
      </c>
      <c r="BU21" s="31"/>
      <c r="BV21" s="57" t="s">
        <v>251</v>
      </c>
      <c r="BW21" s="57" t="s">
        <v>251</v>
      </c>
      <c r="BX21" s="57" t="s">
        <v>251</v>
      </c>
      <c r="BY21" s="57" t="s">
        <v>251</v>
      </c>
      <c r="BZ21" s="57" t="s">
        <v>249</v>
      </c>
      <c r="CA21" s="57" t="s">
        <v>251</v>
      </c>
    </row>
    <row r="22" spans="1:79" ht="26.25">
      <c r="A22" s="57" t="s">
        <v>292</v>
      </c>
      <c r="B22" s="57" t="s">
        <v>34</v>
      </c>
      <c r="C22" s="57" t="s">
        <v>294</v>
      </c>
      <c r="D22" s="57" t="s">
        <v>258</v>
      </c>
      <c r="E22" s="58">
        <v>2.75</v>
      </c>
      <c r="F22" s="121">
        <v>45504</v>
      </c>
      <c r="G22" s="31"/>
      <c r="H22" s="31"/>
      <c r="I22" s="31"/>
      <c r="J22" s="31"/>
      <c r="K22" s="31"/>
      <c r="L22" s="31"/>
      <c r="M22" s="31"/>
      <c r="N22" s="31"/>
      <c r="O22" s="31"/>
      <c r="P22" s="31"/>
      <c r="Q22" s="31"/>
      <c r="R22" s="31"/>
      <c r="S22" s="31"/>
      <c r="T22" s="31"/>
      <c r="U22" s="59" t="s">
        <v>245</v>
      </c>
      <c r="V22" s="57" t="s">
        <v>21</v>
      </c>
      <c r="W22" s="57">
        <v>24</v>
      </c>
      <c r="X22" s="59" t="s">
        <v>246</v>
      </c>
      <c r="Y22" s="60" t="s">
        <v>247</v>
      </c>
      <c r="Z22" s="60" t="s">
        <v>248</v>
      </c>
      <c r="AA22" s="57">
        <v>2</v>
      </c>
      <c r="AB22" s="57">
        <v>1</v>
      </c>
      <c r="AC22" s="31"/>
      <c r="AD22" s="31"/>
      <c r="AE22" s="31"/>
      <c r="AF22" s="31"/>
      <c r="AG22" s="31"/>
      <c r="AH22" s="31"/>
      <c r="AI22" s="31"/>
      <c r="AJ22" s="31"/>
      <c r="AK22" s="57" t="s">
        <v>249</v>
      </c>
      <c r="AL22" s="63" t="s">
        <v>264</v>
      </c>
      <c r="AM22" s="57">
        <v>0</v>
      </c>
      <c r="AN22" s="57" t="s">
        <v>251</v>
      </c>
      <c r="AO22" s="57" t="s">
        <v>249</v>
      </c>
      <c r="AP22" s="58">
        <v>50000</v>
      </c>
      <c r="AQ22" s="69">
        <v>1500000</v>
      </c>
      <c r="AR22" s="58">
        <v>80</v>
      </c>
      <c r="AS22" s="65">
        <v>3.8</v>
      </c>
      <c r="AT22" s="31"/>
      <c r="AU22" s="57" t="s">
        <v>251</v>
      </c>
      <c r="AV22" s="31"/>
      <c r="AW22" s="57">
        <v>0</v>
      </c>
      <c r="AX22" s="57">
        <v>0</v>
      </c>
      <c r="AY22" s="57"/>
      <c r="AZ22" s="57">
        <v>0</v>
      </c>
      <c r="BA22" s="57">
        <v>0</v>
      </c>
      <c r="BB22" s="57"/>
      <c r="BC22" s="57">
        <v>50</v>
      </c>
      <c r="BD22" s="31"/>
      <c r="BE22" s="57"/>
      <c r="BF22" s="57">
        <v>0</v>
      </c>
      <c r="BG22" s="57">
        <v>0</v>
      </c>
      <c r="BH22" s="66">
        <v>4.0000000000000001E-3</v>
      </c>
      <c r="BI22" s="57"/>
      <c r="BJ22" s="57">
        <v>0</v>
      </c>
      <c r="BK22" s="57">
        <v>130</v>
      </c>
      <c r="BL22" s="57" t="s">
        <v>249</v>
      </c>
      <c r="BM22" s="57" t="s">
        <v>251</v>
      </c>
      <c r="BN22" s="57" t="s">
        <v>249</v>
      </c>
      <c r="BO22" s="57" t="s">
        <v>251</v>
      </c>
      <c r="BP22" s="57" t="s">
        <v>251</v>
      </c>
      <c r="BQ22" s="57" t="s">
        <v>251</v>
      </c>
      <c r="BR22" s="57" t="s">
        <v>249</v>
      </c>
      <c r="BS22" s="57" t="s">
        <v>251</v>
      </c>
      <c r="BT22" s="57" t="s">
        <v>251</v>
      </c>
      <c r="BU22" s="31"/>
      <c r="BV22" s="57" t="s">
        <v>251</v>
      </c>
      <c r="BW22" s="57" t="s">
        <v>251</v>
      </c>
      <c r="BX22" s="57" t="s">
        <v>251</v>
      </c>
      <c r="BY22" s="57" t="s">
        <v>251</v>
      </c>
      <c r="BZ22" s="57" t="s">
        <v>249</v>
      </c>
      <c r="CA22" s="57" t="s">
        <v>251</v>
      </c>
    </row>
    <row r="23" spans="1:79" ht="26.25">
      <c r="A23" s="57" t="s">
        <v>295</v>
      </c>
      <c r="B23" s="57" t="s">
        <v>34</v>
      </c>
      <c r="C23" s="57" t="s">
        <v>296</v>
      </c>
      <c r="D23" s="57" t="s">
        <v>258</v>
      </c>
      <c r="E23" s="58" t="s">
        <v>297</v>
      </c>
      <c r="F23" s="121">
        <v>45504</v>
      </c>
      <c r="G23" s="31"/>
      <c r="H23" s="31"/>
      <c r="I23" s="31"/>
      <c r="J23" s="31"/>
      <c r="K23" s="31"/>
      <c r="L23" s="31"/>
      <c r="M23" s="31"/>
      <c r="N23" s="31"/>
      <c r="O23" s="31"/>
      <c r="P23" s="31"/>
      <c r="Q23" s="31"/>
      <c r="R23" s="31"/>
      <c r="S23" s="31"/>
      <c r="T23" s="31"/>
      <c r="U23" s="59" t="s">
        <v>245</v>
      </c>
      <c r="V23" s="57" t="s">
        <v>21</v>
      </c>
      <c r="W23" s="57">
        <v>24</v>
      </c>
      <c r="X23" s="59" t="s">
        <v>246</v>
      </c>
      <c r="Y23" s="60" t="s">
        <v>247</v>
      </c>
      <c r="Z23" s="60" t="s">
        <v>248</v>
      </c>
      <c r="AA23" s="68">
        <v>2</v>
      </c>
      <c r="AB23" s="68">
        <v>1</v>
      </c>
      <c r="AC23" s="31"/>
      <c r="AD23" s="31"/>
      <c r="AE23" s="31"/>
      <c r="AF23" s="31"/>
      <c r="AG23" s="31"/>
      <c r="AH23" s="31"/>
      <c r="AI23" s="31"/>
      <c r="AJ23" s="31"/>
      <c r="AK23" s="57" t="s">
        <v>249</v>
      </c>
      <c r="AL23" s="63" t="s">
        <v>264</v>
      </c>
      <c r="AM23" s="57">
        <v>0</v>
      </c>
      <c r="AN23" s="57" t="s">
        <v>251</v>
      </c>
      <c r="AO23" s="57" t="s">
        <v>249</v>
      </c>
      <c r="AP23" s="58">
        <v>50000</v>
      </c>
      <c r="AQ23" s="69">
        <v>1500000</v>
      </c>
      <c r="AR23" s="58">
        <v>80</v>
      </c>
      <c r="AS23" s="65">
        <v>3.8</v>
      </c>
      <c r="AT23" s="31"/>
      <c r="AU23" s="57" t="s">
        <v>249</v>
      </c>
      <c r="AV23" s="70">
        <v>1</v>
      </c>
      <c r="AW23" s="57">
        <v>0</v>
      </c>
      <c r="AX23" s="57">
        <v>0</v>
      </c>
      <c r="AY23" s="57"/>
      <c r="AZ23" s="57">
        <v>0</v>
      </c>
      <c r="BA23" s="57">
        <v>0</v>
      </c>
      <c r="BB23" s="57"/>
      <c r="BC23" s="57">
        <v>50</v>
      </c>
      <c r="BD23" s="31"/>
      <c r="BE23" s="31"/>
      <c r="BF23" s="57">
        <v>0</v>
      </c>
      <c r="BG23" s="57">
        <v>0</v>
      </c>
      <c r="BH23" s="66">
        <v>4.0000000000000001E-3</v>
      </c>
      <c r="BI23" s="57"/>
      <c r="BJ23" s="57">
        <v>0</v>
      </c>
      <c r="BK23" s="57">
        <v>130</v>
      </c>
      <c r="BL23" s="57" t="s">
        <v>249</v>
      </c>
      <c r="BM23" s="57" t="s">
        <v>251</v>
      </c>
      <c r="BN23" s="57" t="s">
        <v>249</v>
      </c>
      <c r="BO23" s="57" t="s">
        <v>251</v>
      </c>
      <c r="BP23" s="57" t="s">
        <v>251</v>
      </c>
      <c r="BQ23" s="57" t="s">
        <v>251</v>
      </c>
      <c r="BR23" s="57" t="s">
        <v>249</v>
      </c>
      <c r="BS23" s="57" t="s">
        <v>251</v>
      </c>
      <c r="BT23" s="57" t="s">
        <v>251</v>
      </c>
      <c r="BU23" s="31"/>
      <c r="BV23" s="57" t="s">
        <v>251</v>
      </c>
      <c r="BW23" s="57" t="s">
        <v>251</v>
      </c>
      <c r="BX23" s="57" t="s">
        <v>251</v>
      </c>
      <c r="BY23" s="57" t="s">
        <v>251</v>
      </c>
      <c r="BZ23" s="57" t="s">
        <v>249</v>
      </c>
      <c r="CA23" s="57" t="s">
        <v>251</v>
      </c>
    </row>
    <row r="24" spans="1:79" ht="64.5">
      <c r="A24" s="57" t="s">
        <v>298</v>
      </c>
      <c r="B24" s="57" t="s">
        <v>34</v>
      </c>
      <c r="C24" s="57" t="s">
        <v>299</v>
      </c>
      <c r="D24" s="57" t="s">
        <v>258</v>
      </c>
      <c r="E24" s="58">
        <v>2.79</v>
      </c>
      <c r="F24" s="121">
        <v>46599</v>
      </c>
      <c r="G24" s="31"/>
      <c r="H24" s="31"/>
      <c r="I24" s="31"/>
      <c r="J24" s="31"/>
      <c r="K24" s="31"/>
      <c r="L24" s="31"/>
      <c r="M24" s="31"/>
      <c r="N24" s="31"/>
      <c r="O24" s="31"/>
      <c r="P24" s="31"/>
      <c r="Q24" s="31"/>
      <c r="R24" s="31"/>
      <c r="S24" s="31"/>
      <c r="T24" s="31"/>
      <c r="U24" s="59" t="s">
        <v>245</v>
      </c>
      <c r="V24" s="57" t="s">
        <v>21</v>
      </c>
      <c r="W24" s="57">
        <v>60</v>
      </c>
      <c r="X24" s="59" t="s">
        <v>246</v>
      </c>
      <c r="Y24" s="60" t="s">
        <v>247</v>
      </c>
      <c r="Z24" s="60" t="s">
        <v>248</v>
      </c>
      <c r="AA24" s="68">
        <v>5</v>
      </c>
      <c r="AB24" s="68">
        <v>4</v>
      </c>
      <c r="AC24" s="68">
        <v>3</v>
      </c>
      <c r="AD24" s="68">
        <v>2</v>
      </c>
      <c r="AE24" s="68">
        <v>1</v>
      </c>
      <c r="AF24" s="31"/>
      <c r="AG24" s="31"/>
      <c r="AH24" s="31"/>
      <c r="AI24" s="31"/>
      <c r="AJ24" s="31"/>
      <c r="AK24" s="57" t="s">
        <v>249</v>
      </c>
      <c r="AL24" s="63" t="s">
        <v>259</v>
      </c>
      <c r="AM24" s="57">
        <v>0</v>
      </c>
      <c r="AN24" s="57" t="s">
        <v>251</v>
      </c>
      <c r="AO24" s="57" t="s">
        <v>251</v>
      </c>
      <c r="AP24" s="58">
        <v>30000</v>
      </c>
      <c r="AQ24" s="69">
        <v>1500000</v>
      </c>
      <c r="AR24" s="58">
        <v>80</v>
      </c>
      <c r="AS24" s="65">
        <v>3.5</v>
      </c>
      <c r="AT24" s="31"/>
      <c r="AU24" s="57" t="s">
        <v>249</v>
      </c>
      <c r="AV24" s="70">
        <v>1</v>
      </c>
      <c r="AW24" s="57">
        <v>0</v>
      </c>
      <c r="AX24" s="57">
        <v>0</v>
      </c>
      <c r="AY24" s="57"/>
      <c r="AZ24" s="57">
        <v>0</v>
      </c>
      <c r="BA24" s="57">
        <v>999</v>
      </c>
      <c r="BB24" s="57"/>
      <c r="BC24" s="57">
        <v>50</v>
      </c>
      <c r="BD24" s="31"/>
      <c r="BE24" s="31"/>
      <c r="BF24" s="57">
        <v>0</v>
      </c>
      <c r="BG24" s="57">
        <v>0</v>
      </c>
      <c r="BH24" s="66">
        <v>4.0000000000000001E-3</v>
      </c>
      <c r="BI24" s="57"/>
      <c r="BJ24" s="57">
        <v>0</v>
      </c>
      <c r="BK24" s="57">
        <v>130</v>
      </c>
      <c r="BL24" s="57" t="s">
        <v>249</v>
      </c>
      <c r="BM24" s="57" t="s">
        <v>251</v>
      </c>
      <c r="BN24" s="57" t="s">
        <v>249</v>
      </c>
      <c r="BO24" s="57" t="s">
        <v>251</v>
      </c>
      <c r="BP24" s="57" t="s">
        <v>251</v>
      </c>
      <c r="BQ24" s="57" t="s">
        <v>251</v>
      </c>
      <c r="BR24" s="57" t="s">
        <v>249</v>
      </c>
      <c r="BS24" s="57" t="s">
        <v>251</v>
      </c>
      <c r="BT24" s="57" t="s">
        <v>251</v>
      </c>
      <c r="BU24" s="31"/>
      <c r="BV24" s="57" t="s">
        <v>251</v>
      </c>
      <c r="BW24" s="57" t="s">
        <v>251</v>
      </c>
      <c r="BX24" s="57" t="s">
        <v>251</v>
      </c>
      <c r="BY24" s="57" t="s">
        <v>251</v>
      </c>
      <c r="BZ24" s="57" t="s">
        <v>249</v>
      </c>
      <c r="CA24" s="57" t="s">
        <v>251</v>
      </c>
    </row>
    <row r="25" spans="1:79" ht="64.5">
      <c r="A25" s="57" t="s">
        <v>298</v>
      </c>
      <c r="B25" s="57" t="s">
        <v>34</v>
      </c>
      <c r="C25" s="57" t="s">
        <v>300</v>
      </c>
      <c r="D25" s="57" t="s">
        <v>258</v>
      </c>
      <c r="E25" s="58">
        <v>2.85</v>
      </c>
      <c r="F25" s="121">
        <v>46599</v>
      </c>
      <c r="G25" s="31"/>
      <c r="H25" s="31"/>
      <c r="I25" s="31"/>
      <c r="J25" s="31"/>
      <c r="K25" s="31"/>
      <c r="L25" s="31"/>
      <c r="M25" s="31"/>
      <c r="N25" s="31"/>
      <c r="O25" s="31"/>
      <c r="P25" s="31"/>
      <c r="Q25" s="31"/>
      <c r="R25" s="31"/>
      <c r="S25" s="31"/>
      <c r="T25" s="31"/>
      <c r="U25" s="59" t="s">
        <v>245</v>
      </c>
      <c r="V25" s="57" t="s">
        <v>21</v>
      </c>
      <c r="W25" s="57">
        <v>60</v>
      </c>
      <c r="X25" s="59" t="s">
        <v>246</v>
      </c>
      <c r="Y25" s="60" t="s">
        <v>247</v>
      </c>
      <c r="Z25" s="60" t="s">
        <v>248</v>
      </c>
      <c r="AA25" s="68">
        <v>5</v>
      </c>
      <c r="AB25" s="68">
        <v>4</v>
      </c>
      <c r="AC25" s="68">
        <v>3</v>
      </c>
      <c r="AD25" s="68">
        <v>2</v>
      </c>
      <c r="AE25" s="68">
        <v>1</v>
      </c>
      <c r="AF25" s="31"/>
      <c r="AG25" s="31"/>
      <c r="AH25" s="31"/>
      <c r="AI25" s="31"/>
      <c r="AJ25" s="31"/>
      <c r="AK25" s="57" t="s">
        <v>249</v>
      </c>
      <c r="AL25" s="63" t="s">
        <v>259</v>
      </c>
      <c r="AM25" s="57">
        <v>0</v>
      </c>
      <c r="AN25" s="57" t="s">
        <v>251</v>
      </c>
      <c r="AO25" s="57" t="s">
        <v>249</v>
      </c>
      <c r="AP25" s="58">
        <v>50000</v>
      </c>
      <c r="AQ25" s="69">
        <v>1500000</v>
      </c>
      <c r="AR25" s="58">
        <v>80</v>
      </c>
      <c r="AS25" s="65">
        <v>3.5</v>
      </c>
      <c r="AT25" s="31"/>
      <c r="AU25" s="57" t="s">
        <v>249</v>
      </c>
      <c r="AV25" s="70">
        <v>1</v>
      </c>
      <c r="AW25" s="57">
        <v>0</v>
      </c>
      <c r="AX25" s="57">
        <v>0</v>
      </c>
      <c r="AY25" s="57"/>
      <c r="AZ25" s="57">
        <v>0</v>
      </c>
      <c r="BA25" s="57">
        <v>0</v>
      </c>
      <c r="BB25" s="57"/>
      <c r="BC25" s="57">
        <v>50</v>
      </c>
      <c r="BD25" s="31"/>
      <c r="BE25" s="31"/>
      <c r="BF25" s="57">
        <v>0</v>
      </c>
      <c r="BG25" s="57">
        <v>0</v>
      </c>
      <c r="BH25" s="66">
        <v>4.0000000000000001E-3</v>
      </c>
      <c r="BI25" s="57"/>
      <c r="BJ25" s="57">
        <v>0</v>
      </c>
      <c r="BK25" s="57">
        <v>130</v>
      </c>
      <c r="BL25" s="57" t="s">
        <v>249</v>
      </c>
      <c r="BM25" s="57" t="s">
        <v>251</v>
      </c>
      <c r="BN25" s="57" t="s">
        <v>249</v>
      </c>
      <c r="BO25" s="57" t="s">
        <v>251</v>
      </c>
      <c r="BP25" s="57" t="s">
        <v>251</v>
      </c>
      <c r="BQ25" s="57" t="s">
        <v>251</v>
      </c>
      <c r="BR25" s="57" t="s">
        <v>249</v>
      </c>
      <c r="BS25" s="57" t="s">
        <v>251</v>
      </c>
      <c r="BT25" s="57" t="s">
        <v>251</v>
      </c>
      <c r="BU25" s="31"/>
      <c r="BV25" s="57" t="s">
        <v>251</v>
      </c>
      <c r="BW25" s="57" t="s">
        <v>251</v>
      </c>
      <c r="BX25" s="57" t="s">
        <v>251</v>
      </c>
      <c r="BY25" s="57" t="s">
        <v>251</v>
      </c>
      <c r="BZ25" s="57" t="s">
        <v>249</v>
      </c>
      <c r="CA25" s="57" t="s">
        <v>251</v>
      </c>
    </row>
    <row r="26" spans="1:79" ht="28.5" customHeight="1">
      <c r="A26" s="57" t="s">
        <v>286</v>
      </c>
      <c r="B26" s="57" t="s">
        <v>34</v>
      </c>
      <c r="C26" s="57" t="s">
        <v>301</v>
      </c>
      <c r="D26" s="57" t="s">
        <v>258</v>
      </c>
      <c r="E26" s="58">
        <v>2.7</v>
      </c>
      <c r="F26" s="121">
        <v>45504</v>
      </c>
      <c r="G26" s="31"/>
      <c r="H26" s="31"/>
      <c r="I26" s="31"/>
      <c r="J26" s="31"/>
      <c r="K26" s="31"/>
      <c r="L26" s="31"/>
      <c r="M26" s="31"/>
      <c r="N26" s="31"/>
      <c r="O26" s="31"/>
      <c r="P26" s="31"/>
      <c r="Q26" s="31"/>
      <c r="R26" s="31"/>
      <c r="S26" s="31"/>
      <c r="T26" s="31"/>
      <c r="U26" s="59" t="s">
        <v>245</v>
      </c>
      <c r="V26" s="57" t="s">
        <v>21</v>
      </c>
      <c r="W26" s="57">
        <v>24</v>
      </c>
      <c r="X26" s="59" t="s">
        <v>246</v>
      </c>
      <c r="Y26" s="60" t="s">
        <v>247</v>
      </c>
      <c r="Z26" s="60" t="s">
        <v>248</v>
      </c>
      <c r="AA26" s="68">
        <v>2</v>
      </c>
      <c r="AB26" s="68">
        <v>1</v>
      </c>
      <c r="AC26" s="31"/>
      <c r="AD26" s="31"/>
      <c r="AE26" s="31"/>
      <c r="AF26" s="31"/>
      <c r="AG26" s="31"/>
      <c r="AH26" s="31"/>
      <c r="AI26" s="31"/>
      <c r="AJ26" s="31"/>
      <c r="AK26" s="31"/>
      <c r="AL26" s="63" t="s">
        <v>264</v>
      </c>
      <c r="AM26" s="57">
        <v>0</v>
      </c>
      <c r="AN26" s="57" t="s">
        <v>251</v>
      </c>
      <c r="AO26" s="57" t="s">
        <v>249</v>
      </c>
      <c r="AP26" s="58">
        <v>25000</v>
      </c>
      <c r="AQ26" s="69">
        <v>1500000</v>
      </c>
      <c r="AR26" s="58">
        <v>80</v>
      </c>
      <c r="AS26" s="65">
        <v>3.8</v>
      </c>
      <c r="AT26" s="31"/>
      <c r="AU26" s="57" t="s">
        <v>251</v>
      </c>
      <c r="AV26" s="31"/>
      <c r="AW26" s="57">
        <v>0</v>
      </c>
      <c r="AX26" s="57">
        <v>0</v>
      </c>
      <c r="AY26" s="57"/>
      <c r="AZ26" s="57">
        <v>0</v>
      </c>
      <c r="BA26" s="57">
        <v>0</v>
      </c>
      <c r="BB26" s="57"/>
      <c r="BC26" s="57">
        <v>50</v>
      </c>
      <c r="BD26" s="31"/>
      <c r="BE26" s="31"/>
      <c r="BF26" s="57">
        <v>0</v>
      </c>
      <c r="BG26" s="57">
        <v>0</v>
      </c>
      <c r="BH26" s="66">
        <v>4.0000000000000001E-3</v>
      </c>
      <c r="BI26" s="57"/>
      <c r="BJ26" s="57">
        <v>0</v>
      </c>
      <c r="BK26" s="57">
        <v>130</v>
      </c>
      <c r="BL26" s="57" t="s">
        <v>249</v>
      </c>
      <c r="BM26" s="57" t="s">
        <v>251</v>
      </c>
      <c r="BN26" s="57" t="s">
        <v>249</v>
      </c>
      <c r="BO26" s="57" t="s">
        <v>249</v>
      </c>
      <c r="BP26" s="57" t="s">
        <v>251</v>
      </c>
      <c r="BQ26" s="57" t="s">
        <v>251</v>
      </c>
      <c r="BR26" s="57" t="s">
        <v>249</v>
      </c>
      <c r="BS26" s="57" t="s">
        <v>251</v>
      </c>
      <c r="BT26" s="57" t="s">
        <v>251</v>
      </c>
      <c r="BU26" s="31"/>
      <c r="BV26" s="57" t="s">
        <v>251</v>
      </c>
      <c r="BW26" s="57" t="s">
        <v>251</v>
      </c>
      <c r="BX26" s="57" t="s">
        <v>251</v>
      </c>
      <c r="BY26" s="57" t="s">
        <v>251</v>
      </c>
      <c r="BZ26" s="57" t="s">
        <v>249</v>
      </c>
      <c r="CA26" s="57" t="s">
        <v>251</v>
      </c>
    </row>
    <row r="27" spans="1:79" ht="26.25">
      <c r="A27" s="57" t="s">
        <v>286</v>
      </c>
      <c r="B27" s="57" t="s">
        <v>34</v>
      </c>
      <c r="C27" s="57" t="s">
        <v>302</v>
      </c>
      <c r="D27" s="57" t="s">
        <v>258</v>
      </c>
      <c r="E27" s="58" t="s">
        <v>303</v>
      </c>
      <c r="F27" s="121">
        <v>45504</v>
      </c>
      <c r="G27" s="31"/>
      <c r="H27" s="31"/>
      <c r="I27" s="31"/>
      <c r="J27" s="31"/>
      <c r="K27" s="31"/>
      <c r="L27" s="31"/>
      <c r="M27" s="31"/>
      <c r="N27" s="31"/>
      <c r="O27" s="31"/>
      <c r="P27" s="31"/>
      <c r="Q27" s="31"/>
      <c r="R27" s="31"/>
      <c r="S27" s="31"/>
      <c r="T27" s="31"/>
      <c r="U27" s="59" t="s">
        <v>245</v>
      </c>
      <c r="V27" s="57" t="s">
        <v>21</v>
      </c>
      <c r="W27" s="57">
        <v>24</v>
      </c>
      <c r="X27" s="59" t="s">
        <v>246</v>
      </c>
      <c r="Y27" s="60" t="s">
        <v>247</v>
      </c>
      <c r="Z27" s="60" t="s">
        <v>248</v>
      </c>
      <c r="AA27" s="68">
        <v>2</v>
      </c>
      <c r="AB27" s="68">
        <v>1</v>
      </c>
      <c r="AC27" s="31"/>
      <c r="AD27" s="31"/>
      <c r="AE27" s="31"/>
      <c r="AF27" s="31"/>
      <c r="AG27" s="31"/>
      <c r="AH27" s="31"/>
      <c r="AI27" s="31"/>
      <c r="AJ27" s="31"/>
      <c r="AK27" s="31"/>
      <c r="AL27" s="63" t="s">
        <v>264</v>
      </c>
      <c r="AM27" s="57">
        <v>0</v>
      </c>
      <c r="AN27" s="57" t="s">
        <v>251</v>
      </c>
      <c r="AO27" s="57" t="s">
        <v>249</v>
      </c>
      <c r="AP27" s="58">
        <v>25000</v>
      </c>
      <c r="AQ27" s="58">
        <v>750000</v>
      </c>
      <c r="AR27" s="58">
        <v>85</v>
      </c>
      <c r="AS27" s="65">
        <v>3.8</v>
      </c>
      <c r="AT27" s="31"/>
      <c r="AU27" s="57" t="s">
        <v>251</v>
      </c>
      <c r="AV27" s="31"/>
      <c r="AW27" s="57">
        <v>0</v>
      </c>
      <c r="AX27" s="57">
        <v>0</v>
      </c>
      <c r="AY27" s="57"/>
      <c r="AZ27" s="57">
        <v>0</v>
      </c>
      <c r="BA27" s="57">
        <v>0</v>
      </c>
      <c r="BB27" s="57"/>
      <c r="BC27" s="57">
        <v>50</v>
      </c>
      <c r="BD27" s="31"/>
      <c r="BE27" s="57"/>
      <c r="BF27" s="57">
        <v>0</v>
      </c>
      <c r="BG27" s="57">
        <v>0</v>
      </c>
      <c r="BH27" s="66">
        <v>4.0000000000000001E-3</v>
      </c>
      <c r="BI27" s="57"/>
      <c r="BJ27" s="57">
        <v>0</v>
      </c>
      <c r="BK27" s="57">
        <v>130</v>
      </c>
      <c r="BL27" s="57" t="s">
        <v>249</v>
      </c>
      <c r="BM27" s="57" t="s">
        <v>251</v>
      </c>
      <c r="BN27" s="57" t="s">
        <v>249</v>
      </c>
      <c r="BO27" s="57" t="s">
        <v>249</v>
      </c>
      <c r="BP27" s="57" t="s">
        <v>251</v>
      </c>
      <c r="BQ27" s="57" t="s">
        <v>251</v>
      </c>
      <c r="BR27" s="57" t="s">
        <v>249</v>
      </c>
      <c r="BS27" s="57" t="s">
        <v>251</v>
      </c>
      <c r="BT27" s="57" t="s">
        <v>251</v>
      </c>
      <c r="BU27" s="31"/>
      <c r="BV27" s="57" t="s">
        <v>251</v>
      </c>
      <c r="BW27" s="57" t="s">
        <v>251</v>
      </c>
      <c r="BX27" s="57" t="s">
        <v>251</v>
      </c>
      <c r="BY27" s="57" t="s">
        <v>251</v>
      </c>
      <c r="BZ27" s="57" t="s">
        <v>249</v>
      </c>
      <c r="CA27" s="57" t="s">
        <v>251</v>
      </c>
    </row>
    <row r="28" spans="1:79" ht="26.25">
      <c r="A28" s="57" t="s">
        <v>286</v>
      </c>
      <c r="B28" s="57" t="s">
        <v>34</v>
      </c>
      <c r="C28" s="57" t="s">
        <v>304</v>
      </c>
      <c r="D28" s="57" t="s">
        <v>258</v>
      </c>
      <c r="E28" s="58">
        <v>2.95</v>
      </c>
      <c r="F28" s="121">
        <v>45504</v>
      </c>
      <c r="G28" s="31"/>
      <c r="H28" s="31"/>
      <c r="I28" s="31"/>
      <c r="J28" s="31"/>
      <c r="K28" s="31"/>
      <c r="L28" s="31"/>
      <c r="M28" s="31"/>
      <c r="N28" s="31"/>
      <c r="O28" s="31"/>
      <c r="P28" s="31"/>
      <c r="Q28" s="31"/>
      <c r="R28" s="31"/>
      <c r="S28" s="31"/>
      <c r="T28" s="31"/>
      <c r="U28" s="59" t="s">
        <v>245</v>
      </c>
      <c r="V28" s="57" t="s">
        <v>21</v>
      </c>
      <c r="W28" s="57">
        <v>24</v>
      </c>
      <c r="X28" s="59" t="s">
        <v>246</v>
      </c>
      <c r="Y28" s="60" t="s">
        <v>247</v>
      </c>
      <c r="Z28" s="60" t="s">
        <v>248</v>
      </c>
      <c r="AA28" s="68">
        <v>2</v>
      </c>
      <c r="AB28" s="68">
        <v>1</v>
      </c>
      <c r="AC28" s="31"/>
      <c r="AD28" s="31"/>
      <c r="AE28" s="31"/>
      <c r="AF28" s="31"/>
      <c r="AG28" s="31"/>
      <c r="AH28" s="31"/>
      <c r="AI28" s="31"/>
      <c r="AJ28" s="31"/>
      <c r="AK28" s="31"/>
      <c r="AL28" s="63" t="s">
        <v>264</v>
      </c>
      <c r="AM28" s="57">
        <v>0</v>
      </c>
      <c r="AN28" s="57" t="s">
        <v>251</v>
      </c>
      <c r="AO28" s="57" t="s">
        <v>249</v>
      </c>
      <c r="AP28" s="58">
        <v>25000</v>
      </c>
      <c r="AQ28" s="58">
        <v>750000</v>
      </c>
      <c r="AR28" s="58">
        <v>90</v>
      </c>
      <c r="AS28" s="65">
        <v>3.8</v>
      </c>
      <c r="AT28" s="31"/>
      <c r="AU28" s="57" t="s">
        <v>251</v>
      </c>
      <c r="AV28" s="31"/>
      <c r="AW28" s="57">
        <v>0</v>
      </c>
      <c r="AX28" s="57">
        <v>0</v>
      </c>
      <c r="AY28" s="57"/>
      <c r="AZ28" s="57">
        <v>0</v>
      </c>
      <c r="BA28" s="57">
        <v>0</v>
      </c>
      <c r="BB28" s="57"/>
      <c r="BC28" s="57">
        <v>50</v>
      </c>
      <c r="BD28" s="31"/>
      <c r="BE28" s="57"/>
      <c r="BF28" s="57">
        <v>0</v>
      </c>
      <c r="BG28" s="57">
        <v>0</v>
      </c>
      <c r="BH28" s="66">
        <v>4.0000000000000001E-3</v>
      </c>
      <c r="BI28" s="57"/>
      <c r="BJ28" s="57">
        <v>0</v>
      </c>
      <c r="BK28" s="57">
        <v>130</v>
      </c>
      <c r="BL28" s="57" t="s">
        <v>249</v>
      </c>
      <c r="BM28" s="57" t="s">
        <v>251</v>
      </c>
      <c r="BN28" s="57" t="s">
        <v>249</v>
      </c>
      <c r="BO28" s="57" t="s">
        <v>249</v>
      </c>
      <c r="BP28" s="57" t="s">
        <v>251</v>
      </c>
      <c r="BQ28" s="57" t="s">
        <v>251</v>
      </c>
      <c r="BR28" s="57" t="s">
        <v>249</v>
      </c>
      <c r="BS28" s="57" t="s">
        <v>251</v>
      </c>
      <c r="BT28" s="57" t="s">
        <v>251</v>
      </c>
      <c r="BU28" s="31"/>
      <c r="BV28" s="57" t="s">
        <v>251</v>
      </c>
      <c r="BW28" s="57" t="s">
        <v>251</v>
      </c>
      <c r="BX28" s="57" t="s">
        <v>251</v>
      </c>
      <c r="BY28" s="57" t="s">
        <v>251</v>
      </c>
      <c r="BZ28" s="57" t="s">
        <v>249</v>
      </c>
      <c r="CA28" s="57" t="s">
        <v>251</v>
      </c>
    </row>
    <row r="29" spans="1:79" ht="26.25">
      <c r="A29" s="57" t="s">
        <v>286</v>
      </c>
      <c r="B29" s="57" t="s">
        <v>34</v>
      </c>
      <c r="C29" s="57" t="s">
        <v>305</v>
      </c>
      <c r="D29" s="57" t="s">
        <v>258</v>
      </c>
      <c r="E29" s="58">
        <v>3.05</v>
      </c>
      <c r="F29" s="121">
        <v>45504</v>
      </c>
      <c r="G29" s="31"/>
      <c r="H29" s="31"/>
      <c r="I29" s="31"/>
      <c r="J29" s="31"/>
      <c r="K29" s="31"/>
      <c r="L29" s="31"/>
      <c r="M29" s="31"/>
      <c r="N29" s="31"/>
      <c r="O29" s="31"/>
      <c r="P29" s="31"/>
      <c r="Q29" s="31"/>
      <c r="R29" s="31"/>
      <c r="S29" s="31"/>
      <c r="T29" s="31"/>
      <c r="U29" s="59" t="s">
        <v>245</v>
      </c>
      <c r="V29" s="57" t="s">
        <v>21</v>
      </c>
      <c r="W29" s="57">
        <v>24</v>
      </c>
      <c r="X29" s="59" t="s">
        <v>246</v>
      </c>
      <c r="Y29" s="60" t="s">
        <v>247</v>
      </c>
      <c r="Z29" s="60" t="s">
        <v>248</v>
      </c>
      <c r="AA29" s="68">
        <v>2</v>
      </c>
      <c r="AB29" s="68">
        <v>1</v>
      </c>
      <c r="AC29" s="31"/>
      <c r="AD29" s="31"/>
      <c r="AE29" s="31"/>
      <c r="AF29" s="31"/>
      <c r="AG29" s="31"/>
      <c r="AH29" s="31"/>
      <c r="AI29" s="31"/>
      <c r="AJ29" s="31"/>
      <c r="AK29" s="31"/>
      <c r="AL29" s="63" t="s">
        <v>264</v>
      </c>
      <c r="AM29" s="57">
        <v>0</v>
      </c>
      <c r="AN29" s="57" t="s">
        <v>251</v>
      </c>
      <c r="AO29" s="57" t="s">
        <v>249</v>
      </c>
      <c r="AP29" s="58">
        <v>25000</v>
      </c>
      <c r="AQ29" s="58">
        <v>500000</v>
      </c>
      <c r="AR29" s="58">
        <v>95</v>
      </c>
      <c r="AS29" s="65">
        <v>3.9</v>
      </c>
      <c r="AT29" s="31"/>
      <c r="AU29" s="57" t="s">
        <v>251</v>
      </c>
      <c r="AV29" s="31"/>
      <c r="AW29" s="57">
        <v>0</v>
      </c>
      <c r="AX29" s="57">
        <v>0</v>
      </c>
      <c r="AY29" s="57"/>
      <c r="AZ29" s="57">
        <v>0</v>
      </c>
      <c r="BA29" s="57">
        <v>0</v>
      </c>
      <c r="BB29" s="57"/>
      <c r="BC29" s="57">
        <v>50</v>
      </c>
      <c r="BD29" s="31"/>
      <c r="BE29" s="57"/>
      <c r="BF29" s="57">
        <v>0</v>
      </c>
      <c r="BG29" s="57">
        <v>0</v>
      </c>
      <c r="BH29" s="66">
        <v>4.0000000000000001E-3</v>
      </c>
      <c r="BI29" s="57"/>
      <c r="BJ29" s="57">
        <v>0</v>
      </c>
      <c r="BK29" s="57">
        <v>130</v>
      </c>
      <c r="BL29" s="57" t="s">
        <v>249</v>
      </c>
      <c r="BM29" s="57" t="s">
        <v>251</v>
      </c>
      <c r="BN29" s="57" t="s">
        <v>249</v>
      </c>
      <c r="BO29" s="57" t="s">
        <v>249</v>
      </c>
      <c r="BP29" s="57" t="s">
        <v>251</v>
      </c>
      <c r="BQ29" s="57" t="s">
        <v>251</v>
      </c>
      <c r="BR29" s="57" t="s">
        <v>249</v>
      </c>
      <c r="BS29" s="57" t="s">
        <v>251</v>
      </c>
      <c r="BT29" s="57" t="s">
        <v>251</v>
      </c>
      <c r="BU29" s="31"/>
      <c r="BV29" s="57" t="s">
        <v>251</v>
      </c>
      <c r="BW29" s="57" t="s">
        <v>251</v>
      </c>
      <c r="BX29" s="57" t="s">
        <v>251</v>
      </c>
      <c r="BY29" s="57" t="s">
        <v>251</v>
      </c>
      <c r="BZ29" s="57" t="s">
        <v>249</v>
      </c>
      <c r="CA29" s="57" t="s">
        <v>251</v>
      </c>
    </row>
    <row r="30" spans="1:79" ht="29.25" customHeight="1">
      <c r="A30" s="57" t="s">
        <v>306</v>
      </c>
      <c r="B30" s="57" t="s">
        <v>307</v>
      </c>
      <c r="C30" s="71" t="s">
        <v>308</v>
      </c>
      <c r="D30" s="57" t="s">
        <v>258</v>
      </c>
      <c r="E30" s="58">
        <v>2.25</v>
      </c>
      <c r="F30" s="121">
        <v>45565</v>
      </c>
      <c r="G30" s="31"/>
      <c r="H30" s="31"/>
      <c r="I30" s="31"/>
      <c r="J30" s="31"/>
      <c r="K30" s="31"/>
      <c r="L30" s="31"/>
      <c r="M30" s="31"/>
      <c r="N30" s="31"/>
      <c r="O30" s="31"/>
      <c r="P30" s="31"/>
      <c r="Q30" s="31"/>
      <c r="R30" s="31"/>
      <c r="S30" s="31"/>
      <c r="T30" s="31"/>
      <c r="U30" s="59" t="s">
        <v>245</v>
      </c>
      <c r="V30" s="57" t="s">
        <v>21</v>
      </c>
      <c r="W30" s="57">
        <v>24</v>
      </c>
      <c r="X30" s="59" t="s">
        <v>246</v>
      </c>
      <c r="Y30" s="60" t="s">
        <v>247</v>
      </c>
      <c r="Z30" s="60" t="s">
        <v>248</v>
      </c>
      <c r="AA30" s="68">
        <v>2</v>
      </c>
      <c r="AB30" s="68">
        <v>1</v>
      </c>
      <c r="AC30" s="31"/>
      <c r="AD30" s="31"/>
      <c r="AE30" s="31"/>
      <c r="AF30" s="31"/>
      <c r="AG30" s="31"/>
      <c r="AH30" s="31"/>
      <c r="AI30" s="31"/>
      <c r="AJ30" s="31"/>
      <c r="AK30" s="31"/>
      <c r="AL30" s="63" t="s">
        <v>309</v>
      </c>
      <c r="AM30" s="57">
        <v>0</v>
      </c>
      <c r="AN30" s="57" t="s">
        <v>251</v>
      </c>
      <c r="AO30" s="57" t="s">
        <v>251</v>
      </c>
      <c r="AP30" s="58">
        <v>50000</v>
      </c>
      <c r="AQ30" s="69">
        <v>1000000</v>
      </c>
      <c r="AR30" s="58">
        <v>75</v>
      </c>
      <c r="AS30" s="65">
        <v>3.7</v>
      </c>
      <c r="AT30" s="31"/>
      <c r="AU30" s="57" t="s">
        <v>249</v>
      </c>
      <c r="AV30" s="70">
        <v>1</v>
      </c>
      <c r="AW30" s="57">
        <v>0</v>
      </c>
      <c r="AX30" s="57">
        <v>0</v>
      </c>
      <c r="AY30" s="57"/>
      <c r="AZ30" s="57">
        <v>0</v>
      </c>
      <c r="BA30" s="57">
        <v>999</v>
      </c>
      <c r="BB30" s="57"/>
      <c r="BC30" s="57">
        <v>50</v>
      </c>
      <c r="BD30" s="31"/>
      <c r="BE30" s="31"/>
      <c r="BF30" s="57">
        <v>0</v>
      </c>
      <c r="BG30" s="57">
        <v>0</v>
      </c>
      <c r="BH30" s="66">
        <v>5.0000000000000001E-3</v>
      </c>
      <c r="BI30" s="57"/>
      <c r="BJ30" s="57">
        <v>0</v>
      </c>
      <c r="BK30" s="57">
        <v>130</v>
      </c>
      <c r="BL30" s="57" t="s">
        <v>251</v>
      </c>
      <c r="BM30" s="57" t="s">
        <v>251</v>
      </c>
      <c r="BN30" s="57" t="s">
        <v>249</v>
      </c>
      <c r="BO30" s="57" t="s">
        <v>251</v>
      </c>
      <c r="BP30" s="57" t="s">
        <v>251</v>
      </c>
      <c r="BQ30" s="57" t="s">
        <v>251</v>
      </c>
      <c r="BR30" s="57" t="s">
        <v>249</v>
      </c>
      <c r="BS30" s="57" t="s">
        <v>251</v>
      </c>
      <c r="BT30" s="57" t="s">
        <v>251</v>
      </c>
      <c r="BU30" s="71" t="s">
        <v>310</v>
      </c>
      <c r="BV30" s="57" t="s">
        <v>251</v>
      </c>
      <c r="BW30" s="57" t="s">
        <v>251</v>
      </c>
      <c r="BX30" s="57" t="s">
        <v>251</v>
      </c>
      <c r="BY30" s="57" t="s">
        <v>251</v>
      </c>
      <c r="BZ30" s="57" t="s">
        <v>249</v>
      </c>
      <c r="CA30" s="57" t="s">
        <v>251</v>
      </c>
    </row>
    <row r="31" spans="1:79" ht="29.25" customHeight="1">
      <c r="A31" s="57" t="s">
        <v>306</v>
      </c>
      <c r="B31" s="57" t="s">
        <v>307</v>
      </c>
      <c r="C31" s="71" t="s">
        <v>311</v>
      </c>
      <c r="D31" s="57" t="s">
        <v>258</v>
      </c>
      <c r="E31" s="58">
        <v>2.89</v>
      </c>
      <c r="F31" s="121">
        <v>45565</v>
      </c>
      <c r="G31" s="31"/>
      <c r="H31" s="31"/>
      <c r="I31" s="31"/>
      <c r="J31" s="31"/>
      <c r="K31" s="31"/>
      <c r="L31" s="31"/>
      <c r="M31" s="31"/>
      <c r="N31" s="31"/>
      <c r="O31" s="31"/>
      <c r="P31" s="31"/>
      <c r="Q31" s="31"/>
      <c r="R31" s="31"/>
      <c r="S31" s="31"/>
      <c r="T31" s="31"/>
      <c r="U31" s="59" t="s">
        <v>245</v>
      </c>
      <c r="V31" s="57" t="s">
        <v>21</v>
      </c>
      <c r="W31" s="57">
        <v>24</v>
      </c>
      <c r="X31" s="59" t="s">
        <v>246</v>
      </c>
      <c r="Y31" s="60" t="s">
        <v>247</v>
      </c>
      <c r="Z31" s="60" t="s">
        <v>248</v>
      </c>
      <c r="AA31" s="68">
        <v>2</v>
      </c>
      <c r="AB31" s="68">
        <v>1</v>
      </c>
      <c r="AC31" s="31"/>
      <c r="AD31" s="31"/>
      <c r="AE31" s="31"/>
      <c r="AF31" s="31"/>
      <c r="AG31" s="31"/>
      <c r="AH31" s="31"/>
      <c r="AI31" s="31"/>
      <c r="AJ31" s="31"/>
      <c r="AK31" s="31"/>
      <c r="AL31" s="63" t="s">
        <v>309</v>
      </c>
      <c r="AM31" s="57">
        <v>0</v>
      </c>
      <c r="AN31" s="57" t="s">
        <v>251</v>
      </c>
      <c r="AO31" s="57" t="s">
        <v>251</v>
      </c>
      <c r="AP31" s="58">
        <v>50000</v>
      </c>
      <c r="AQ31" s="69">
        <v>500000</v>
      </c>
      <c r="AR31" s="58">
        <v>80</v>
      </c>
      <c r="AS31" s="65">
        <v>3.9</v>
      </c>
      <c r="AT31" s="31"/>
      <c r="AU31" s="57" t="s">
        <v>249</v>
      </c>
      <c r="AV31" s="70">
        <v>1</v>
      </c>
      <c r="AW31" s="57">
        <v>0</v>
      </c>
      <c r="AX31" s="57">
        <v>0</v>
      </c>
      <c r="AY31" s="57"/>
      <c r="AZ31" s="57">
        <v>0</v>
      </c>
      <c r="BA31" s="57">
        <v>999</v>
      </c>
      <c r="BB31" s="57"/>
      <c r="BC31" s="57">
        <v>50</v>
      </c>
      <c r="BD31" s="31"/>
      <c r="BE31" s="31"/>
      <c r="BF31" s="57">
        <v>0</v>
      </c>
      <c r="BG31" s="57">
        <v>0</v>
      </c>
      <c r="BH31" s="66">
        <v>5.0000000000000001E-3</v>
      </c>
      <c r="BI31" s="57"/>
      <c r="BJ31" s="57">
        <v>0</v>
      </c>
      <c r="BK31" s="57">
        <v>130</v>
      </c>
      <c r="BL31" s="57" t="s">
        <v>251</v>
      </c>
      <c r="BM31" s="57" t="s">
        <v>251</v>
      </c>
      <c r="BN31" s="57" t="s">
        <v>249</v>
      </c>
      <c r="BO31" s="57" t="s">
        <v>251</v>
      </c>
      <c r="BP31" s="57" t="s">
        <v>251</v>
      </c>
      <c r="BQ31" s="57" t="s">
        <v>251</v>
      </c>
      <c r="BR31" s="57" t="s">
        <v>249</v>
      </c>
      <c r="BS31" s="57" t="s">
        <v>251</v>
      </c>
      <c r="BT31" s="57" t="s">
        <v>251</v>
      </c>
      <c r="BU31" s="71" t="s">
        <v>310</v>
      </c>
      <c r="BV31" s="57" t="s">
        <v>251</v>
      </c>
      <c r="BW31" s="57" t="s">
        <v>251</v>
      </c>
      <c r="BX31" s="57" t="s">
        <v>251</v>
      </c>
      <c r="BY31" s="57" t="s">
        <v>251</v>
      </c>
      <c r="BZ31" s="57" t="s">
        <v>249</v>
      </c>
      <c r="CA31" s="57" t="s">
        <v>251</v>
      </c>
    </row>
    <row r="32" spans="1:79" ht="64.5">
      <c r="A32" s="57" t="s">
        <v>312</v>
      </c>
      <c r="B32" s="57" t="s">
        <v>307</v>
      </c>
      <c r="C32" s="71" t="s">
        <v>313</v>
      </c>
      <c r="D32" s="57" t="s">
        <v>258</v>
      </c>
      <c r="E32" s="58">
        <v>2.4500000000000002</v>
      </c>
      <c r="F32" s="121">
        <v>46660</v>
      </c>
      <c r="G32" s="31"/>
      <c r="H32" s="31"/>
      <c r="I32" s="31"/>
      <c r="J32" s="31"/>
      <c r="K32" s="31"/>
      <c r="L32" s="31"/>
      <c r="M32" s="31"/>
      <c r="N32" s="31"/>
      <c r="O32" s="31"/>
      <c r="P32" s="31"/>
      <c r="Q32" s="31"/>
      <c r="R32" s="31"/>
      <c r="S32" s="31"/>
      <c r="T32" s="31"/>
      <c r="U32" s="59" t="s">
        <v>245</v>
      </c>
      <c r="V32" s="57" t="s">
        <v>21</v>
      </c>
      <c r="W32" s="57">
        <v>60</v>
      </c>
      <c r="X32" s="59" t="s">
        <v>246</v>
      </c>
      <c r="Y32" s="60" t="s">
        <v>247</v>
      </c>
      <c r="Z32" s="60" t="s">
        <v>248</v>
      </c>
      <c r="AA32" s="68">
        <v>5</v>
      </c>
      <c r="AB32" s="68">
        <v>4</v>
      </c>
      <c r="AC32" s="68">
        <v>3</v>
      </c>
      <c r="AD32" s="68">
        <v>2</v>
      </c>
      <c r="AE32" s="68">
        <v>1</v>
      </c>
      <c r="AF32" s="31"/>
      <c r="AG32" s="31"/>
      <c r="AH32" s="31"/>
      <c r="AI32" s="31"/>
      <c r="AJ32" s="31"/>
      <c r="AK32" s="31"/>
      <c r="AL32" s="63" t="s">
        <v>314</v>
      </c>
      <c r="AM32" s="57">
        <v>500</v>
      </c>
      <c r="AN32" s="57" t="s">
        <v>251</v>
      </c>
      <c r="AO32" s="57" t="s">
        <v>249</v>
      </c>
      <c r="AP32" s="58">
        <v>50000</v>
      </c>
      <c r="AQ32" s="69">
        <v>1000000</v>
      </c>
      <c r="AR32" s="58">
        <v>75</v>
      </c>
      <c r="AS32" s="65">
        <v>3.3</v>
      </c>
      <c r="AT32" s="31"/>
      <c r="AU32" s="57" t="s">
        <v>249</v>
      </c>
      <c r="AV32" s="70">
        <v>1</v>
      </c>
      <c r="AW32" s="57">
        <v>0</v>
      </c>
      <c r="AX32" s="57">
        <v>0</v>
      </c>
      <c r="AY32" s="57"/>
      <c r="AZ32" s="57">
        <v>0</v>
      </c>
      <c r="BA32" s="57">
        <v>0</v>
      </c>
      <c r="BB32" s="57"/>
      <c r="BC32" s="57">
        <v>50</v>
      </c>
      <c r="BD32" s="31"/>
      <c r="BE32" s="31"/>
      <c r="BF32" s="57">
        <v>0</v>
      </c>
      <c r="BG32" s="57">
        <v>0</v>
      </c>
      <c r="BH32" s="66">
        <v>5.0000000000000001E-3</v>
      </c>
      <c r="BI32" s="57"/>
      <c r="BJ32" s="57">
        <v>0</v>
      </c>
      <c r="BK32" s="57">
        <v>130</v>
      </c>
      <c r="BL32" s="57" t="s">
        <v>251</v>
      </c>
      <c r="BM32" s="57" t="s">
        <v>251</v>
      </c>
      <c r="BN32" s="57" t="s">
        <v>249</v>
      </c>
      <c r="BO32" s="57" t="s">
        <v>251</v>
      </c>
      <c r="BP32" s="57" t="s">
        <v>251</v>
      </c>
      <c r="BQ32" s="57" t="s">
        <v>251</v>
      </c>
      <c r="BR32" s="57" t="s">
        <v>249</v>
      </c>
      <c r="BS32" s="57" t="s">
        <v>251</v>
      </c>
      <c r="BT32" s="57" t="s">
        <v>251</v>
      </c>
      <c r="BU32" s="71" t="s">
        <v>310</v>
      </c>
      <c r="BV32" s="57" t="s">
        <v>251</v>
      </c>
      <c r="BW32" s="57" t="s">
        <v>251</v>
      </c>
      <c r="BX32" s="57" t="s">
        <v>251</v>
      </c>
      <c r="BY32" s="57" t="s">
        <v>251</v>
      </c>
      <c r="BZ32" s="57" t="s">
        <v>249</v>
      </c>
      <c r="CA32" s="57" t="s">
        <v>251</v>
      </c>
    </row>
    <row r="33" spans="1:80" ht="64.5">
      <c r="A33" s="57" t="s">
        <v>312</v>
      </c>
      <c r="B33" s="57" t="s">
        <v>307</v>
      </c>
      <c r="C33" s="71" t="s">
        <v>315</v>
      </c>
      <c r="D33" s="57" t="s">
        <v>258</v>
      </c>
      <c r="E33" s="58">
        <v>3.09</v>
      </c>
      <c r="F33" s="121">
        <v>46660</v>
      </c>
      <c r="G33" s="31"/>
      <c r="H33" s="31"/>
      <c r="I33" s="31"/>
      <c r="J33" s="31"/>
      <c r="K33" s="31"/>
      <c r="L33" s="31"/>
      <c r="M33" s="31"/>
      <c r="N33" s="31"/>
      <c r="O33" s="31"/>
      <c r="P33" s="31"/>
      <c r="Q33" s="31"/>
      <c r="R33" s="31"/>
      <c r="S33" s="31"/>
      <c r="T33" s="31"/>
      <c r="U33" s="59" t="s">
        <v>245</v>
      </c>
      <c r="V33" s="57" t="s">
        <v>21</v>
      </c>
      <c r="W33" s="57">
        <v>60</v>
      </c>
      <c r="X33" s="59" t="s">
        <v>246</v>
      </c>
      <c r="Y33" s="60" t="s">
        <v>247</v>
      </c>
      <c r="Z33" s="60" t="s">
        <v>248</v>
      </c>
      <c r="AA33" s="68">
        <v>5</v>
      </c>
      <c r="AB33" s="68">
        <v>4</v>
      </c>
      <c r="AC33" s="68">
        <v>3</v>
      </c>
      <c r="AD33" s="68">
        <v>2</v>
      </c>
      <c r="AE33" s="68">
        <v>1</v>
      </c>
      <c r="AF33" s="31"/>
      <c r="AG33" s="31"/>
      <c r="AH33" s="31"/>
      <c r="AI33" s="31"/>
      <c r="AJ33" s="31"/>
      <c r="AK33" s="31"/>
      <c r="AL33" s="63" t="s">
        <v>314</v>
      </c>
      <c r="AM33" s="57">
        <v>0</v>
      </c>
      <c r="AN33" s="57" t="s">
        <v>251</v>
      </c>
      <c r="AO33" s="57" t="s">
        <v>251</v>
      </c>
      <c r="AP33" s="58">
        <v>50000</v>
      </c>
      <c r="AQ33" s="69">
        <v>500000</v>
      </c>
      <c r="AR33" s="58">
        <v>80</v>
      </c>
      <c r="AS33" s="65">
        <v>3.7</v>
      </c>
      <c r="AT33" s="31"/>
      <c r="AU33" s="57" t="s">
        <v>249</v>
      </c>
      <c r="AV33" s="70">
        <v>1</v>
      </c>
      <c r="AW33" s="57">
        <v>0</v>
      </c>
      <c r="AX33" s="57">
        <v>0</v>
      </c>
      <c r="AY33" s="57"/>
      <c r="AZ33" s="57">
        <v>0</v>
      </c>
      <c r="BA33" s="57">
        <v>999</v>
      </c>
      <c r="BB33" s="57"/>
      <c r="BC33" s="57">
        <v>50</v>
      </c>
      <c r="BD33" s="31"/>
      <c r="BE33" s="31"/>
      <c r="BF33" s="57">
        <v>0</v>
      </c>
      <c r="BG33" s="57">
        <v>0</v>
      </c>
      <c r="BH33" s="66">
        <v>5.0000000000000001E-3</v>
      </c>
      <c r="BI33" s="57"/>
      <c r="BJ33" s="57">
        <v>0</v>
      </c>
      <c r="BK33" s="57">
        <v>130</v>
      </c>
      <c r="BL33" s="57" t="s">
        <v>251</v>
      </c>
      <c r="BM33" s="57" t="s">
        <v>251</v>
      </c>
      <c r="BN33" s="57" t="s">
        <v>249</v>
      </c>
      <c r="BO33" s="57" t="s">
        <v>251</v>
      </c>
      <c r="BP33" s="57" t="s">
        <v>251</v>
      </c>
      <c r="BQ33" s="57" t="s">
        <v>251</v>
      </c>
      <c r="BR33" s="57" t="s">
        <v>249</v>
      </c>
      <c r="BS33" s="57" t="s">
        <v>251</v>
      </c>
      <c r="BT33" s="57" t="s">
        <v>251</v>
      </c>
      <c r="BU33" s="71" t="s">
        <v>310</v>
      </c>
      <c r="BV33" s="57" t="s">
        <v>251</v>
      </c>
      <c r="BW33" s="57" t="s">
        <v>251</v>
      </c>
      <c r="BX33" s="57" t="s">
        <v>251</v>
      </c>
      <c r="BY33" s="57" t="s">
        <v>251</v>
      </c>
      <c r="BZ33" s="57" t="s">
        <v>249</v>
      </c>
      <c r="CA33" s="57" t="s">
        <v>251</v>
      </c>
    </row>
    <row r="34" spans="1:80" ht="28.5" customHeight="1">
      <c r="A34" s="57" t="s">
        <v>286</v>
      </c>
      <c r="B34" s="57" t="s">
        <v>34</v>
      </c>
      <c r="C34" s="57" t="s">
        <v>316</v>
      </c>
      <c r="D34" s="57" t="s">
        <v>258</v>
      </c>
      <c r="E34" s="58">
        <v>2.8</v>
      </c>
      <c r="F34" s="121">
        <v>45504</v>
      </c>
      <c r="G34" s="31"/>
      <c r="H34" s="31"/>
      <c r="I34" s="31"/>
      <c r="J34" s="31"/>
      <c r="K34" s="31"/>
      <c r="L34" s="31"/>
      <c r="M34" s="31"/>
      <c r="N34" s="31"/>
      <c r="O34" s="31"/>
      <c r="P34" s="31"/>
      <c r="Q34" s="31"/>
      <c r="R34" s="31"/>
      <c r="S34" s="31"/>
      <c r="T34" s="31"/>
      <c r="U34" s="59" t="s">
        <v>245</v>
      </c>
      <c r="V34" s="57" t="s">
        <v>21</v>
      </c>
      <c r="W34" s="57">
        <v>24</v>
      </c>
      <c r="X34" s="59" t="s">
        <v>246</v>
      </c>
      <c r="Y34" s="60" t="s">
        <v>247</v>
      </c>
      <c r="Z34" s="60" t="s">
        <v>248</v>
      </c>
      <c r="AA34" s="68">
        <v>2</v>
      </c>
      <c r="AB34" s="68">
        <v>1</v>
      </c>
      <c r="AC34" s="31"/>
      <c r="AD34" s="31"/>
      <c r="AE34" s="31"/>
      <c r="AF34" s="31"/>
      <c r="AG34" s="31"/>
      <c r="AH34" s="31"/>
      <c r="AI34" s="31"/>
      <c r="AJ34" s="31"/>
      <c r="AK34" s="31"/>
      <c r="AL34" s="63" t="s">
        <v>264</v>
      </c>
      <c r="AM34" s="57">
        <v>500</v>
      </c>
      <c r="AN34" s="57" t="s">
        <v>251</v>
      </c>
      <c r="AO34" s="57" t="s">
        <v>249</v>
      </c>
      <c r="AP34" s="58">
        <v>50000</v>
      </c>
      <c r="AQ34" s="69">
        <v>450000</v>
      </c>
      <c r="AR34" s="58">
        <v>75</v>
      </c>
      <c r="AS34" s="65">
        <v>3.8</v>
      </c>
      <c r="AT34" s="31"/>
      <c r="AU34" s="57" t="s">
        <v>251</v>
      </c>
      <c r="AV34" s="31"/>
      <c r="AW34" s="57">
        <v>0</v>
      </c>
      <c r="AX34" s="57">
        <v>0</v>
      </c>
      <c r="AY34" s="57"/>
      <c r="AZ34" s="57">
        <v>0</v>
      </c>
      <c r="BA34" s="57">
        <v>0</v>
      </c>
      <c r="BB34" s="57"/>
      <c r="BC34" s="57">
        <v>50</v>
      </c>
      <c r="BD34" s="31"/>
      <c r="BE34" s="31"/>
      <c r="BF34" s="57">
        <v>0</v>
      </c>
      <c r="BG34" s="57">
        <v>0</v>
      </c>
      <c r="BH34" s="66">
        <v>4.0000000000000001E-3</v>
      </c>
      <c r="BI34" s="57"/>
      <c r="BJ34" s="57">
        <v>0</v>
      </c>
      <c r="BK34" s="57">
        <v>130</v>
      </c>
      <c r="BL34" s="57" t="s">
        <v>249</v>
      </c>
      <c r="BM34" s="57" t="s">
        <v>251</v>
      </c>
      <c r="BN34" s="57" t="s">
        <v>249</v>
      </c>
      <c r="BO34" s="57" t="s">
        <v>251</v>
      </c>
      <c r="BP34" s="57" t="s">
        <v>249</v>
      </c>
      <c r="BQ34" s="57" t="s">
        <v>251</v>
      </c>
      <c r="BR34" s="57" t="s">
        <v>249</v>
      </c>
      <c r="BS34" s="57" t="s">
        <v>251</v>
      </c>
      <c r="BT34" s="57" t="s">
        <v>251</v>
      </c>
      <c r="BU34" s="31"/>
      <c r="BV34" s="57" t="s">
        <v>251</v>
      </c>
      <c r="BW34" s="57" t="s">
        <v>251</v>
      </c>
      <c r="BX34" s="57" t="s">
        <v>251</v>
      </c>
      <c r="BY34" s="57" t="s">
        <v>251</v>
      </c>
      <c r="BZ34" s="57" t="s">
        <v>249</v>
      </c>
      <c r="CA34" s="57" t="s">
        <v>251</v>
      </c>
    </row>
    <row r="35" spans="1:80" ht="26.25">
      <c r="A35" s="57" t="s">
        <v>317</v>
      </c>
      <c r="B35" s="57" t="s">
        <v>34</v>
      </c>
      <c r="C35" s="57" t="s">
        <v>318</v>
      </c>
      <c r="D35" s="57" t="s">
        <v>258</v>
      </c>
      <c r="E35" s="58">
        <v>3.55</v>
      </c>
      <c r="F35" s="121">
        <v>45504</v>
      </c>
      <c r="G35" s="31"/>
      <c r="H35" s="31"/>
      <c r="I35" s="31"/>
      <c r="J35" s="31"/>
      <c r="K35" s="31"/>
      <c r="L35" s="31"/>
      <c r="M35" s="31"/>
      <c r="N35" s="31"/>
      <c r="O35" s="31"/>
      <c r="P35" s="31"/>
      <c r="Q35" s="31"/>
      <c r="R35" s="31"/>
      <c r="S35" s="31"/>
      <c r="T35" s="31"/>
      <c r="U35" s="59" t="s">
        <v>245</v>
      </c>
      <c r="V35" s="57" t="s">
        <v>21</v>
      </c>
      <c r="W35" s="57">
        <v>24</v>
      </c>
      <c r="X35" s="59" t="s">
        <v>246</v>
      </c>
      <c r="Y35" s="60" t="s">
        <v>319</v>
      </c>
      <c r="Z35" s="60" t="s">
        <v>26</v>
      </c>
      <c r="AA35" s="68">
        <v>2</v>
      </c>
      <c r="AB35" s="68">
        <v>1</v>
      </c>
      <c r="AC35" s="31"/>
      <c r="AD35" s="31"/>
      <c r="AE35" s="31"/>
      <c r="AF35" s="31"/>
      <c r="AG35" s="31"/>
      <c r="AH35" s="31"/>
      <c r="AI35" s="31"/>
      <c r="AJ35" s="31"/>
      <c r="AK35" s="31"/>
      <c r="AL35" s="63" t="s">
        <v>264</v>
      </c>
      <c r="AM35" s="57">
        <v>1000</v>
      </c>
      <c r="AN35" s="57" t="s">
        <v>251</v>
      </c>
      <c r="AO35" s="57" t="s">
        <v>249</v>
      </c>
      <c r="AP35" s="58">
        <v>50000</v>
      </c>
      <c r="AQ35" s="69">
        <v>450000</v>
      </c>
      <c r="AR35" s="58">
        <v>95</v>
      </c>
      <c r="AS35" s="65">
        <v>4</v>
      </c>
      <c r="AT35" s="31"/>
      <c r="AU35" s="57" t="s">
        <v>251</v>
      </c>
      <c r="AV35" s="31"/>
      <c r="AW35" s="57">
        <v>0</v>
      </c>
      <c r="AX35" s="57">
        <v>0</v>
      </c>
      <c r="AY35" s="57"/>
      <c r="AZ35" s="57">
        <v>0</v>
      </c>
      <c r="BA35" s="57">
        <v>0</v>
      </c>
      <c r="BB35" s="57"/>
      <c r="BC35" s="57">
        <v>50</v>
      </c>
      <c r="BD35" s="31"/>
      <c r="BE35" s="57"/>
      <c r="BF35" s="57">
        <v>0</v>
      </c>
      <c r="BG35" s="57">
        <v>0</v>
      </c>
      <c r="BH35" s="66">
        <v>4.0000000000000001E-3</v>
      </c>
      <c r="BI35" s="57"/>
      <c r="BJ35" s="57">
        <v>0</v>
      </c>
      <c r="BK35" s="57">
        <v>130</v>
      </c>
      <c r="BL35" s="57" t="s">
        <v>249</v>
      </c>
      <c r="BM35" s="57" t="s">
        <v>251</v>
      </c>
      <c r="BN35" s="57" t="s">
        <v>249</v>
      </c>
      <c r="BO35" s="57" t="s">
        <v>251</v>
      </c>
      <c r="BP35" s="57" t="s">
        <v>249</v>
      </c>
      <c r="BQ35" s="57" t="s">
        <v>251</v>
      </c>
      <c r="BR35" s="57" t="s">
        <v>249</v>
      </c>
      <c r="BS35" s="57" t="s">
        <v>251</v>
      </c>
      <c r="BT35" s="57" t="s">
        <v>251</v>
      </c>
      <c r="BU35" s="31"/>
      <c r="BV35" s="57" t="s">
        <v>251</v>
      </c>
      <c r="BW35" s="57" t="s">
        <v>251</v>
      </c>
      <c r="BX35" s="57" t="s">
        <v>251</v>
      </c>
      <c r="BY35" s="57" t="s">
        <v>251</v>
      </c>
      <c r="BZ35" s="57" t="s">
        <v>249</v>
      </c>
      <c r="CA35" s="57" t="s">
        <v>251</v>
      </c>
    </row>
    <row r="36" spans="1:80" ht="28.5" customHeight="1">
      <c r="A36" s="57" t="s">
        <v>320</v>
      </c>
      <c r="B36" s="57" t="s">
        <v>34</v>
      </c>
      <c r="C36" s="57" t="s">
        <v>321</v>
      </c>
      <c r="D36" s="57" t="s">
        <v>119</v>
      </c>
      <c r="E36" s="58" t="s">
        <v>322</v>
      </c>
      <c r="F36" s="121">
        <v>45351</v>
      </c>
      <c r="G36" s="31"/>
      <c r="H36" s="31"/>
      <c r="I36" s="31"/>
      <c r="J36" s="31"/>
      <c r="K36" s="31"/>
      <c r="L36" s="31"/>
      <c r="M36" s="31"/>
      <c r="N36" s="31"/>
      <c r="O36" s="31"/>
      <c r="P36" s="31"/>
      <c r="Q36" s="31"/>
      <c r="R36" s="31"/>
      <c r="S36" s="31"/>
      <c r="T36" s="31"/>
      <c r="U36" s="59" t="s">
        <v>245</v>
      </c>
      <c r="V36" s="57" t="s">
        <v>21</v>
      </c>
      <c r="W36" s="57">
        <v>24</v>
      </c>
      <c r="X36" s="59" t="s">
        <v>246</v>
      </c>
      <c r="Y36" s="60" t="s">
        <v>247</v>
      </c>
      <c r="Z36" s="60" t="s">
        <v>248</v>
      </c>
      <c r="AA36" s="68">
        <v>2</v>
      </c>
      <c r="AB36" s="68">
        <v>1</v>
      </c>
      <c r="AC36" s="31"/>
      <c r="AD36" s="31"/>
      <c r="AE36" s="31"/>
      <c r="AF36" s="31"/>
      <c r="AG36" s="31"/>
      <c r="AH36" s="31"/>
      <c r="AI36" s="31"/>
      <c r="AJ36" s="31"/>
      <c r="AK36" s="31"/>
      <c r="AL36" s="63" t="s">
        <v>323</v>
      </c>
      <c r="AM36" s="57">
        <v>0</v>
      </c>
      <c r="AN36" s="57" t="s">
        <v>251</v>
      </c>
      <c r="AO36" s="57" t="s">
        <v>251</v>
      </c>
      <c r="AP36" s="58">
        <v>1500001</v>
      </c>
      <c r="AQ36" s="58">
        <v>2000000</v>
      </c>
      <c r="AR36" s="58">
        <v>65</v>
      </c>
      <c r="AS36" s="65">
        <v>3.6</v>
      </c>
      <c r="AT36" s="31"/>
      <c r="AU36" s="57" t="s">
        <v>249</v>
      </c>
      <c r="AV36" s="70">
        <v>0.65</v>
      </c>
      <c r="AW36" s="57">
        <v>0</v>
      </c>
      <c r="AX36" s="57">
        <v>0</v>
      </c>
      <c r="AY36" s="57"/>
      <c r="AZ36" s="57">
        <v>0</v>
      </c>
      <c r="BA36" s="57">
        <v>1499</v>
      </c>
      <c r="BB36" s="57"/>
      <c r="BC36" s="57">
        <v>50</v>
      </c>
      <c r="BD36" s="31"/>
      <c r="BE36" s="31"/>
      <c r="BF36" s="57">
        <v>0</v>
      </c>
      <c r="BG36" s="57">
        <v>0</v>
      </c>
      <c r="BH36" s="66">
        <v>4.0000000000000001E-3</v>
      </c>
      <c r="BI36" s="57"/>
      <c r="BJ36" s="57">
        <v>0</v>
      </c>
      <c r="BK36" s="57">
        <v>130</v>
      </c>
      <c r="BL36" s="57" t="s">
        <v>249</v>
      </c>
      <c r="BM36" s="57" t="s">
        <v>251</v>
      </c>
      <c r="BN36" s="57" t="s">
        <v>249</v>
      </c>
      <c r="BO36" s="57" t="s">
        <v>251</v>
      </c>
      <c r="BP36" s="57" t="s">
        <v>251</v>
      </c>
      <c r="BQ36" s="57" t="s">
        <v>251</v>
      </c>
      <c r="BR36" s="57" t="s">
        <v>249</v>
      </c>
      <c r="BS36" s="57" t="s">
        <v>251</v>
      </c>
      <c r="BT36" s="57" t="s">
        <v>251</v>
      </c>
      <c r="BU36" s="31"/>
      <c r="BV36" s="57" t="s">
        <v>251</v>
      </c>
      <c r="BW36" s="57" t="s">
        <v>251</v>
      </c>
      <c r="BX36" s="57" t="s">
        <v>251</v>
      </c>
      <c r="BY36" s="57" t="s">
        <v>251</v>
      </c>
      <c r="BZ36" s="57" t="s">
        <v>249</v>
      </c>
      <c r="CA36" s="57" t="s">
        <v>251</v>
      </c>
    </row>
    <row r="37" spans="1:80" ht="26.25">
      <c r="A37" s="57" t="s">
        <v>320</v>
      </c>
      <c r="B37" s="57" t="s">
        <v>34</v>
      </c>
      <c r="C37" s="57" t="s">
        <v>324</v>
      </c>
      <c r="D37" s="57" t="s">
        <v>119</v>
      </c>
      <c r="E37" s="58" t="s">
        <v>325</v>
      </c>
      <c r="F37" s="121">
        <v>45351</v>
      </c>
      <c r="G37" s="31"/>
      <c r="H37" s="31"/>
      <c r="I37" s="31"/>
      <c r="J37" s="31"/>
      <c r="K37" s="31"/>
      <c r="L37" s="31"/>
      <c r="M37" s="31"/>
      <c r="N37" s="31"/>
      <c r="O37" s="31"/>
      <c r="P37" s="31"/>
      <c r="Q37" s="31"/>
      <c r="R37" s="31"/>
      <c r="S37" s="31"/>
      <c r="T37" s="31"/>
      <c r="U37" s="59" t="s">
        <v>245</v>
      </c>
      <c r="V37" s="57" t="s">
        <v>21</v>
      </c>
      <c r="W37" s="57">
        <v>24</v>
      </c>
      <c r="X37" s="59" t="s">
        <v>246</v>
      </c>
      <c r="Y37" s="60" t="s">
        <v>247</v>
      </c>
      <c r="Z37" s="60" t="s">
        <v>248</v>
      </c>
      <c r="AA37" s="68">
        <v>2</v>
      </c>
      <c r="AB37" s="68">
        <v>1</v>
      </c>
      <c r="AC37" s="31"/>
      <c r="AD37" s="31"/>
      <c r="AE37" s="31"/>
      <c r="AF37" s="31"/>
      <c r="AG37" s="31"/>
      <c r="AH37" s="31"/>
      <c r="AI37" s="31"/>
      <c r="AJ37" s="31"/>
      <c r="AK37" s="31"/>
      <c r="AL37" s="63" t="s">
        <v>323</v>
      </c>
      <c r="AM37" s="57">
        <v>0</v>
      </c>
      <c r="AN37" s="57" t="s">
        <v>251</v>
      </c>
      <c r="AO37" s="57" t="s">
        <v>251</v>
      </c>
      <c r="AP37" s="58">
        <v>1000001</v>
      </c>
      <c r="AQ37" s="58">
        <v>1500000</v>
      </c>
      <c r="AR37" s="58">
        <v>75</v>
      </c>
      <c r="AS37" s="65">
        <v>3.6</v>
      </c>
      <c r="AT37" s="31"/>
      <c r="AU37" s="57" t="s">
        <v>249</v>
      </c>
      <c r="AV37" s="70">
        <v>0.75</v>
      </c>
      <c r="AW37" s="57">
        <v>0</v>
      </c>
      <c r="AX37" s="57">
        <v>0</v>
      </c>
      <c r="AY37" s="57"/>
      <c r="AZ37" s="57">
        <v>0</v>
      </c>
      <c r="BA37" s="57">
        <v>1499</v>
      </c>
      <c r="BB37" s="57"/>
      <c r="BC37" s="57">
        <v>50</v>
      </c>
      <c r="BD37" s="31"/>
      <c r="BE37" s="31"/>
      <c r="BF37" s="57">
        <v>0</v>
      </c>
      <c r="BG37" s="57">
        <v>0</v>
      </c>
      <c r="BH37" s="66">
        <v>4.0000000000000001E-3</v>
      </c>
      <c r="BI37" s="57"/>
      <c r="BJ37" s="57">
        <v>0</v>
      </c>
      <c r="BK37" s="57">
        <v>130</v>
      </c>
      <c r="BL37" s="57" t="s">
        <v>249</v>
      </c>
      <c r="BM37" s="57" t="s">
        <v>251</v>
      </c>
      <c r="BN37" s="57" t="s">
        <v>249</v>
      </c>
      <c r="BO37" s="57" t="s">
        <v>251</v>
      </c>
      <c r="BP37" s="57" t="s">
        <v>251</v>
      </c>
      <c r="BQ37" s="57" t="s">
        <v>251</v>
      </c>
      <c r="BR37" s="57" t="s">
        <v>249</v>
      </c>
      <c r="BS37" s="57" t="s">
        <v>251</v>
      </c>
      <c r="BT37" s="57" t="s">
        <v>251</v>
      </c>
      <c r="BU37" s="31"/>
      <c r="BV37" s="57" t="s">
        <v>251</v>
      </c>
      <c r="BW37" s="57" t="s">
        <v>251</v>
      </c>
      <c r="BX37" s="57" t="s">
        <v>251</v>
      </c>
      <c r="BY37" s="57" t="s">
        <v>251</v>
      </c>
      <c r="BZ37" s="57" t="s">
        <v>249</v>
      </c>
      <c r="CA37" s="57" t="s">
        <v>251</v>
      </c>
    </row>
    <row r="38" spans="1:80" ht="26.25">
      <c r="A38" s="57" t="s">
        <v>326</v>
      </c>
      <c r="B38" s="57" t="s">
        <v>34</v>
      </c>
      <c r="C38" s="57" t="s">
        <v>327</v>
      </c>
      <c r="D38" s="57" t="s">
        <v>119</v>
      </c>
      <c r="E38" s="58" t="s">
        <v>328</v>
      </c>
      <c r="F38" s="121">
        <v>45351</v>
      </c>
      <c r="G38" s="31"/>
      <c r="H38" s="31"/>
      <c r="I38" s="31"/>
      <c r="J38" s="31"/>
      <c r="K38" s="31"/>
      <c r="L38" s="31"/>
      <c r="M38" s="31"/>
      <c r="N38" s="31"/>
      <c r="O38" s="31"/>
      <c r="P38" s="31"/>
      <c r="Q38" s="31"/>
      <c r="R38" s="31"/>
      <c r="S38" s="31"/>
      <c r="T38" s="31"/>
      <c r="U38" s="59" t="s">
        <v>245</v>
      </c>
      <c r="V38" s="57" t="s">
        <v>21</v>
      </c>
      <c r="W38" s="57">
        <v>24</v>
      </c>
      <c r="X38" s="59" t="s">
        <v>246</v>
      </c>
      <c r="Y38" s="60" t="s">
        <v>247</v>
      </c>
      <c r="Z38" s="60" t="s">
        <v>248</v>
      </c>
      <c r="AA38" s="68">
        <v>2</v>
      </c>
      <c r="AB38" s="68">
        <v>1</v>
      </c>
      <c r="AC38" s="31"/>
      <c r="AD38" s="31"/>
      <c r="AE38" s="31"/>
      <c r="AF38" s="31"/>
      <c r="AG38" s="31"/>
      <c r="AH38" s="31"/>
      <c r="AI38" s="31"/>
      <c r="AJ38" s="31"/>
      <c r="AK38" s="31"/>
      <c r="AL38" s="63" t="s">
        <v>323</v>
      </c>
      <c r="AM38" s="57">
        <v>0</v>
      </c>
      <c r="AN38" s="57" t="s">
        <v>251</v>
      </c>
      <c r="AO38" s="57" t="s">
        <v>251</v>
      </c>
      <c r="AP38" s="58">
        <v>500001</v>
      </c>
      <c r="AQ38" s="58">
        <v>1000000</v>
      </c>
      <c r="AR38" s="58">
        <v>80</v>
      </c>
      <c r="AS38" s="65">
        <v>3.7</v>
      </c>
      <c r="AT38" s="31"/>
      <c r="AU38" s="57" t="s">
        <v>249</v>
      </c>
      <c r="AV38" s="70">
        <v>0.8</v>
      </c>
      <c r="AW38" s="57">
        <v>0</v>
      </c>
      <c r="AX38" s="57">
        <v>0</v>
      </c>
      <c r="AY38" s="57"/>
      <c r="AZ38" s="57">
        <v>0</v>
      </c>
      <c r="BA38" s="57">
        <v>1499</v>
      </c>
      <c r="BB38" s="57"/>
      <c r="BC38" s="57">
        <v>50</v>
      </c>
      <c r="BD38" s="31"/>
      <c r="BE38" s="31"/>
      <c r="BF38" s="57">
        <v>0</v>
      </c>
      <c r="BG38" s="57">
        <v>0</v>
      </c>
      <c r="BH38" s="66">
        <v>4.0000000000000001E-3</v>
      </c>
      <c r="BI38" s="57"/>
      <c r="BJ38" s="57">
        <v>0</v>
      </c>
      <c r="BK38" s="57">
        <v>130</v>
      </c>
      <c r="BL38" s="57" t="s">
        <v>249</v>
      </c>
      <c r="BM38" s="57" t="s">
        <v>251</v>
      </c>
      <c r="BN38" s="57" t="s">
        <v>249</v>
      </c>
      <c r="BO38" s="57" t="s">
        <v>251</v>
      </c>
      <c r="BP38" s="57" t="s">
        <v>251</v>
      </c>
      <c r="BQ38" s="57" t="s">
        <v>251</v>
      </c>
      <c r="BR38" s="57" t="s">
        <v>249</v>
      </c>
      <c r="BS38" s="57" t="s">
        <v>251</v>
      </c>
      <c r="BT38" s="57" t="s">
        <v>251</v>
      </c>
      <c r="BU38" s="31"/>
      <c r="BV38" s="57" t="s">
        <v>251</v>
      </c>
      <c r="BW38" s="57" t="s">
        <v>251</v>
      </c>
      <c r="BX38" s="57" t="s">
        <v>251</v>
      </c>
      <c r="BY38" s="57" t="s">
        <v>251</v>
      </c>
      <c r="BZ38" s="57" t="s">
        <v>249</v>
      </c>
      <c r="CA38" s="57" t="s">
        <v>251</v>
      </c>
    </row>
    <row r="39" spans="1:80" ht="26.25">
      <c r="A39" s="57" t="s">
        <v>306</v>
      </c>
      <c r="B39" s="57" t="s">
        <v>34</v>
      </c>
      <c r="C39" s="57" t="s">
        <v>329</v>
      </c>
      <c r="D39" s="57" t="s">
        <v>258</v>
      </c>
      <c r="E39" s="58" t="s">
        <v>330</v>
      </c>
      <c r="F39" s="121">
        <v>45351</v>
      </c>
      <c r="G39" s="31"/>
      <c r="H39" s="31"/>
      <c r="I39" s="31"/>
      <c r="J39" s="31"/>
      <c r="K39" s="31"/>
      <c r="L39" s="31"/>
      <c r="M39" s="31"/>
      <c r="N39" s="31"/>
      <c r="O39" s="31"/>
      <c r="P39" s="31"/>
      <c r="Q39" s="31"/>
      <c r="R39" s="31"/>
      <c r="S39" s="31"/>
      <c r="T39" s="31"/>
      <c r="U39" s="59" t="s">
        <v>245</v>
      </c>
      <c r="V39" s="57" t="s">
        <v>21</v>
      </c>
      <c r="W39" s="57">
        <v>24</v>
      </c>
      <c r="X39" s="59" t="s">
        <v>246</v>
      </c>
      <c r="Y39" s="60" t="s">
        <v>247</v>
      </c>
      <c r="Z39" s="60" t="s">
        <v>248</v>
      </c>
      <c r="AA39" s="68">
        <v>2</v>
      </c>
      <c r="AB39" s="68">
        <v>1</v>
      </c>
      <c r="AC39" s="31"/>
      <c r="AD39" s="31"/>
      <c r="AE39" s="31"/>
      <c r="AF39" s="31"/>
      <c r="AG39" s="31"/>
      <c r="AH39" s="31"/>
      <c r="AI39" s="31"/>
      <c r="AJ39" s="31"/>
      <c r="AK39" s="31"/>
      <c r="AL39" s="63" t="s">
        <v>323</v>
      </c>
      <c r="AM39" s="57">
        <v>0</v>
      </c>
      <c r="AN39" s="57" t="s">
        <v>251</v>
      </c>
      <c r="AO39" s="57" t="s">
        <v>251</v>
      </c>
      <c r="AP39" s="58">
        <v>1500001</v>
      </c>
      <c r="AQ39" s="58">
        <v>2000000</v>
      </c>
      <c r="AR39" s="58">
        <v>65</v>
      </c>
      <c r="AS39" s="65">
        <v>3.7</v>
      </c>
      <c r="AT39" s="31"/>
      <c r="AU39" s="57" t="s">
        <v>249</v>
      </c>
      <c r="AV39" s="70">
        <v>0.65</v>
      </c>
      <c r="AW39" s="57">
        <v>0</v>
      </c>
      <c r="AX39" s="57">
        <v>0</v>
      </c>
      <c r="AY39" s="57"/>
      <c r="AZ39" s="57">
        <v>0</v>
      </c>
      <c r="BA39" s="57">
        <v>1499</v>
      </c>
      <c r="BB39" s="57"/>
      <c r="BC39" s="57">
        <v>50</v>
      </c>
      <c r="BD39" s="31"/>
      <c r="BE39" s="31"/>
      <c r="BF39" s="57">
        <v>0</v>
      </c>
      <c r="BG39" s="57">
        <v>0</v>
      </c>
      <c r="BH39" s="66">
        <v>4.0000000000000001E-3</v>
      </c>
      <c r="BI39" s="57"/>
      <c r="BJ39" s="57">
        <v>0</v>
      </c>
      <c r="BK39" s="57">
        <v>130</v>
      </c>
      <c r="BL39" s="57" t="s">
        <v>249</v>
      </c>
      <c r="BM39" s="57" t="s">
        <v>251</v>
      </c>
      <c r="BN39" s="57" t="s">
        <v>249</v>
      </c>
      <c r="BO39" s="57" t="s">
        <v>251</v>
      </c>
      <c r="BP39" s="57" t="s">
        <v>251</v>
      </c>
      <c r="BQ39" s="57" t="s">
        <v>251</v>
      </c>
      <c r="BR39" s="57" t="s">
        <v>249</v>
      </c>
      <c r="BS39" s="57" t="s">
        <v>251</v>
      </c>
      <c r="BT39" s="57" t="s">
        <v>251</v>
      </c>
      <c r="BU39" s="31"/>
      <c r="BV39" s="57" t="s">
        <v>251</v>
      </c>
      <c r="BW39" s="57" t="s">
        <v>251</v>
      </c>
      <c r="BX39" s="57" t="s">
        <v>251</v>
      </c>
      <c r="BY39" s="57" t="s">
        <v>251</v>
      </c>
      <c r="BZ39" s="57" t="s">
        <v>249</v>
      </c>
      <c r="CA39" s="57" t="s">
        <v>251</v>
      </c>
    </row>
    <row r="40" spans="1:80" ht="26.25">
      <c r="A40" s="57" t="s">
        <v>306</v>
      </c>
      <c r="B40" s="57" t="s">
        <v>34</v>
      </c>
      <c r="C40" s="57" t="s">
        <v>331</v>
      </c>
      <c r="D40" s="57" t="s">
        <v>258</v>
      </c>
      <c r="E40" s="58" t="s">
        <v>332</v>
      </c>
      <c r="F40" s="121">
        <v>45351</v>
      </c>
      <c r="G40" s="31"/>
      <c r="H40" s="31"/>
      <c r="I40" s="31"/>
      <c r="J40" s="31"/>
      <c r="K40" s="31"/>
      <c r="L40" s="31"/>
      <c r="M40" s="31"/>
      <c r="N40" s="31"/>
      <c r="O40" s="31"/>
      <c r="P40" s="31"/>
      <c r="Q40" s="31"/>
      <c r="R40" s="31"/>
      <c r="S40" s="31"/>
      <c r="T40" s="31"/>
      <c r="U40" s="59" t="s">
        <v>245</v>
      </c>
      <c r="V40" s="57" t="s">
        <v>21</v>
      </c>
      <c r="W40" s="57">
        <v>24</v>
      </c>
      <c r="X40" s="59" t="s">
        <v>246</v>
      </c>
      <c r="Y40" s="60" t="s">
        <v>247</v>
      </c>
      <c r="Z40" s="60" t="s">
        <v>248</v>
      </c>
      <c r="AA40" s="68">
        <v>2</v>
      </c>
      <c r="AB40" s="68">
        <v>1</v>
      </c>
      <c r="AC40" s="31"/>
      <c r="AD40" s="31"/>
      <c r="AE40" s="31"/>
      <c r="AF40" s="31"/>
      <c r="AG40" s="31"/>
      <c r="AH40" s="31"/>
      <c r="AI40" s="31"/>
      <c r="AJ40" s="31"/>
      <c r="AK40" s="31"/>
      <c r="AL40" s="63" t="s">
        <v>323</v>
      </c>
      <c r="AM40" s="57">
        <v>0</v>
      </c>
      <c r="AN40" s="57" t="s">
        <v>251</v>
      </c>
      <c r="AO40" s="57" t="s">
        <v>251</v>
      </c>
      <c r="AP40" s="58">
        <v>1000001</v>
      </c>
      <c r="AQ40" s="58">
        <v>1500000</v>
      </c>
      <c r="AR40" s="58">
        <v>75</v>
      </c>
      <c r="AS40" s="65">
        <v>3.7</v>
      </c>
      <c r="AT40" s="31"/>
      <c r="AU40" s="57" t="s">
        <v>249</v>
      </c>
      <c r="AV40" s="70">
        <v>0.75</v>
      </c>
      <c r="AW40" s="57">
        <v>0</v>
      </c>
      <c r="AX40" s="57">
        <v>0</v>
      </c>
      <c r="AY40" s="57"/>
      <c r="AZ40" s="57">
        <v>0</v>
      </c>
      <c r="BA40" s="57">
        <v>1499</v>
      </c>
      <c r="BB40" s="57"/>
      <c r="BC40" s="57">
        <v>50</v>
      </c>
      <c r="BD40" s="31"/>
      <c r="BE40" s="31"/>
      <c r="BF40" s="57">
        <v>0</v>
      </c>
      <c r="BG40" s="57">
        <v>0</v>
      </c>
      <c r="BH40" s="66">
        <v>4.0000000000000001E-3</v>
      </c>
      <c r="BI40" s="57"/>
      <c r="BJ40" s="57">
        <v>0</v>
      </c>
      <c r="BK40" s="57">
        <v>130</v>
      </c>
      <c r="BL40" s="57" t="s">
        <v>249</v>
      </c>
      <c r="BM40" s="57" t="s">
        <v>251</v>
      </c>
      <c r="BN40" s="57" t="s">
        <v>249</v>
      </c>
      <c r="BO40" s="57" t="s">
        <v>251</v>
      </c>
      <c r="BP40" s="57" t="s">
        <v>251</v>
      </c>
      <c r="BQ40" s="57" t="s">
        <v>251</v>
      </c>
      <c r="BR40" s="57" t="s">
        <v>249</v>
      </c>
      <c r="BS40" s="57" t="s">
        <v>251</v>
      </c>
      <c r="BT40" s="57" t="s">
        <v>251</v>
      </c>
      <c r="BU40" s="31"/>
      <c r="BV40" s="57" t="s">
        <v>251</v>
      </c>
      <c r="BW40" s="57" t="s">
        <v>251</v>
      </c>
      <c r="BX40" s="57" t="s">
        <v>251</v>
      </c>
      <c r="BY40" s="57" t="s">
        <v>251</v>
      </c>
      <c r="BZ40" s="57" t="s">
        <v>249</v>
      </c>
      <c r="CA40" s="57" t="s">
        <v>251</v>
      </c>
    </row>
    <row r="41" spans="1:80" ht="26.25">
      <c r="A41" s="57" t="s">
        <v>306</v>
      </c>
      <c r="B41" s="57" t="s">
        <v>34</v>
      </c>
      <c r="C41" s="57" t="s">
        <v>333</v>
      </c>
      <c r="D41" s="57" t="s">
        <v>258</v>
      </c>
      <c r="E41" s="58" t="s">
        <v>334</v>
      </c>
      <c r="F41" s="121">
        <v>45351</v>
      </c>
      <c r="G41" s="31"/>
      <c r="H41" s="31"/>
      <c r="I41" s="31"/>
      <c r="J41" s="31"/>
      <c r="K41" s="31"/>
      <c r="L41" s="31"/>
      <c r="M41" s="31"/>
      <c r="N41" s="31"/>
      <c r="O41" s="31"/>
      <c r="P41" s="31"/>
      <c r="Q41" s="31"/>
      <c r="R41" s="31"/>
      <c r="S41" s="31"/>
      <c r="T41" s="31"/>
      <c r="U41" s="59" t="s">
        <v>245</v>
      </c>
      <c r="V41" s="57" t="s">
        <v>21</v>
      </c>
      <c r="W41" s="57">
        <v>24</v>
      </c>
      <c r="X41" s="59" t="s">
        <v>246</v>
      </c>
      <c r="Y41" s="60" t="s">
        <v>247</v>
      </c>
      <c r="Z41" s="60" t="s">
        <v>248</v>
      </c>
      <c r="AA41" s="68">
        <v>2</v>
      </c>
      <c r="AB41" s="68">
        <v>1</v>
      </c>
      <c r="AC41" s="31"/>
      <c r="AD41" s="31"/>
      <c r="AE41" s="31"/>
      <c r="AF41" s="31"/>
      <c r="AG41" s="31"/>
      <c r="AH41" s="31"/>
      <c r="AI41" s="31"/>
      <c r="AJ41" s="31"/>
      <c r="AK41" s="31"/>
      <c r="AL41" s="63" t="s">
        <v>323</v>
      </c>
      <c r="AM41" s="57">
        <v>0</v>
      </c>
      <c r="AN41" s="57" t="s">
        <v>251</v>
      </c>
      <c r="AO41" s="57" t="s">
        <v>251</v>
      </c>
      <c r="AP41" s="58">
        <v>500001</v>
      </c>
      <c r="AQ41" s="58">
        <v>1000000</v>
      </c>
      <c r="AR41" s="58">
        <v>80</v>
      </c>
      <c r="AS41" s="65">
        <v>3.7</v>
      </c>
      <c r="AT41" s="31"/>
      <c r="AU41" s="57" t="s">
        <v>249</v>
      </c>
      <c r="AV41" s="70">
        <v>0.8</v>
      </c>
      <c r="AW41" s="57">
        <v>0</v>
      </c>
      <c r="AX41" s="57">
        <v>0</v>
      </c>
      <c r="AY41" s="57"/>
      <c r="AZ41" s="57">
        <v>0</v>
      </c>
      <c r="BA41" s="57">
        <v>1499</v>
      </c>
      <c r="BB41" s="57"/>
      <c r="BC41" s="57">
        <v>50</v>
      </c>
      <c r="BD41" s="31"/>
      <c r="BE41" s="31"/>
      <c r="BF41" s="57">
        <v>0</v>
      </c>
      <c r="BG41" s="57">
        <v>0</v>
      </c>
      <c r="BH41" s="66">
        <v>4.0000000000000001E-3</v>
      </c>
      <c r="BI41" s="57"/>
      <c r="BJ41" s="57">
        <v>0</v>
      </c>
      <c r="BK41" s="57">
        <v>130</v>
      </c>
      <c r="BL41" s="57" t="s">
        <v>249</v>
      </c>
      <c r="BM41" s="57" t="s">
        <v>251</v>
      </c>
      <c r="BN41" s="57" t="s">
        <v>249</v>
      </c>
      <c r="BO41" s="57" t="s">
        <v>251</v>
      </c>
      <c r="BP41" s="57" t="s">
        <v>251</v>
      </c>
      <c r="BQ41" s="57" t="s">
        <v>251</v>
      </c>
      <c r="BR41" s="57" t="s">
        <v>249</v>
      </c>
      <c r="BS41" s="57" t="s">
        <v>251</v>
      </c>
      <c r="BT41" s="57" t="s">
        <v>251</v>
      </c>
      <c r="BU41" s="31"/>
      <c r="BV41" s="57" t="s">
        <v>251</v>
      </c>
      <c r="BW41" s="57" t="s">
        <v>251</v>
      </c>
      <c r="BX41" s="57" t="s">
        <v>251</v>
      </c>
      <c r="BY41" s="57" t="s">
        <v>251</v>
      </c>
      <c r="BZ41" s="57" t="s">
        <v>249</v>
      </c>
      <c r="CA41" s="57" t="s">
        <v>251</v>
      </c>
    </row>
    <row r="42" spans="1:80" ht="64.5">
      <c r="A42" s="57" t="s">
        <v>312</v>
      </c>
      <c r="B42" s="57" t="s">
        <v>34</v>
      </c>
      <c r="C42" s="57" t="s">
        <v>335</v>
      </c>
      <c r="D42" s="57" t="s">
        <v>258</v>
      </c>
      <c r="E42" s="58" t="s">
        <v>336</v>
      </c>
      <c r="F42" s="121">
        <v>46446</v>
      </c>
      <c r="G42" s="31"/>
      <c r="H42" s="31"/>
      <c r="I42" s="31"/>
      <c r="J42" s="31"/>
      <c r="K42" s="31"/>
      <c r="L42" s="31"/>
      <c r="M42" s="31"/>
      <c r="N42" s="31"/>
      <c r="O42" s="31"/>
      <c r="P42" s="31"/>
      <c r="Q42" s="31"/>
      <c r="R42" s="31"/>
      <c r="S42" s="31"/>
      <c r="T42" s="31"/>
      <c r="U42" s="59" t="s">
        <v>245</v>
      </c>
      <c r="V42" s="57" t="s">
        <v>21</v>
      </c>
      <c r="W42" s="57">
        <v>60</v>
      </c>
      <c r="X42" s="59" t="s">
        <v>246</v>
      </c>
      <c r="Y42" s="60" t="s">
        <v>247</v>
      </c>
      <c r="Z42" s="60" t="s">
        <v>248</v>
      </c>
      <c r="AA42" s="68">
        <v>5</v>
      </c>
      <c r="AB42" s="68">
        <v>4</v>
      </c>
      <c r="AC42" s="68">
        <v>3</v>
      </c>
      <c r="AD42" s="68">
        <v>2</v>
      </c>
      <c r="AE42" s="68">
        <v>1</v>
      </c>
      <c r="AF42" s="31"/>
      <c r="AG42" s="31"/>
      <c r="AH42" s="31"/>
      <c r="AI42" s="31"/>
      <c r="AJ42" s="31"/>
      <c r="AK42" s="31"/>
      <c r="AL42" s="63" t="s">
        <v>337</v>
      </c>
      <c r="AM42" s="57">
        <v>0</v>
      </c>
      <c r="AN42" s="57" t="s">
        <v>251</v>
      </c>
      <c r="AO42" s="57" t="s">
        <v>251</v>
      </c>
      <c r="AP42" s="58">
        <v>1000001</v>
      </c>
      <c r="AQ42" s="58">
        <v>1500000</v>
      </c>
      <c r="AR42" s="58">
        <v>75</v>
      </c>
      <c r="AS42" s="65">
        <v>3.5</v>
      </c>
      <c r="AT42" s="31"/>
      <c r="AU42" s="57" t="s">
        <v>249</v>
      </c>
      <c r="AV42" s="70">
        <v>0.75</v>
      </c>
      <c r="AW42" s="57">
        <v>0</v>
      </c>
      <c r="AX42" s="57">
        <v>0</v>
      </c>
      <c r="AY42" s="57"/>
      <c r="AZ42" s="57">
        <v>0</v>
      </c>
      <c r="BA42" s="57">
        <v>1499</v>
      </c>
      <c r="BB42" s="57"/>
      <c r="BC42" s="57">
        <v>50</v>
      </c>
      <c r="BD42" s="31"/>
      <c r="BE42" s="31"/>
      <c r="BF42" s="57">
        <v>0</v>
      </c>
      <c r="BG42" s="57">
        <v>0</v>
      </c>
      <c r="BH42" s="66">
        <v>4.0000000000000001E-3</v>
      </c>
      <c r="BI42" s="57"/>
      <c r="BJ42" s="57">
        <v>0</v>
      </c>
      <c r="BK42" s="57">
        <v>130</v>
      </c>
      <c r="BL42" s="57" t="s">
        <v>249</v>
      </c>
      <c r="BM42" s="57" t="s">
        <v>251</v>
      </c>
      <c r="BN42" s="57" t="s">
        <v>249</v>
      </c>
      <c r="BO42" s="57" t="s">
        <v>251</v>
      </c>
      <c r="BP42" s="57" t="s">
        <v>251</v>
      </c>
      <c r="BQ42" s="57" t="s">
        <v>251</v>
      </c>
      <c r="BR42" s="57" t="s">
        <v>249</v>
      </c>
      <c r="BS42" s="57" t="s">
        <v>251</v>
      </c>
      <c r="BT42" s="57" t="s">
        <v>251</v>
      </c>
      <c r="BU42" s="31"/>
      <c r="BV42" s="57" t="s">
        <v>251</v>
      </c>
      <c r="BW42" s="57" t="s">
        <v>251</v>
      </c>
      <c r="BX42" s="57" t="s">
        <v>251</v>
      </c>
      <c r="BY42" s="57" t="s">
        <v>251</v>
      </c>
      <c r="BZ42" s="57" t="s">
        <v>249</v>
      </c>
      <c r="CA42" s="57" t="s">
        <v>251</v>
      </c>
    </row>
    <row r="43" spans="1:80" ht="64.5">
      <c r="A43" s="57" t="s">
        <v>312</v>
      </c>
      <c r="B43" s="57" t="s">
        <v>34</v>
      </c>
      <c r="C43" s="57" t="s">
        <v>338</v>
      </c>
      <c r="D43" s="57" t="s">
        <v>258</v>
      </c>
      <c r="E43" s="58" t="s">
        <v>336</v>
      </c>
      <c r="F43" s="121">
        <v>46446</v>
      </c>
      <c r="G43" s="31"/>
      <c r="H43" s="31"/>
      <c r="I43" s="31"/>
      <c r="J43" s="31"/>
      <c r="K43" s="31"/>
      <c r="L43" s="31"/>
      <c r="M43" s="31"/>
      <c r="N43" s="31"/>
      <c r="O43" s="31"/>
      <c r="P43" s="31"/>
      <c r="Q43" s="31"/>
      <c r="R43" s="31"/>
      <c r="S43" s="31"/>
      <c r="T43" s="31"/>
      <c r="U43" s="59" t="s">
        <v>245</v>
      </c>
      <c r="V43" s="57" t="s">
        <v>21</v>
      </c>
      <c r="W43" s="57">
        <v>60</v>
      </c>
      <c r="X43" s="59" t="s">
        <v>246</v>
      </c>
      <c r="Y43" s="60" t="s">
        <v>247</v>
      </c>
      <c r="Z43" s="60" t="s">
        <v>248</v>
      </c>
      <c r="AA43" s="68">
        <v>5</v>
      </c>
      <c r="AB43" s="68">
        <v>4</v>
      </c>
      <c r="AC43" s="68">
        <v>3</v>
      </c>
      <c r="AD43" s="68">
        <v>2</v>
      </c>
      <c r="AE43" s="68">
        <v>1</v>
      </c>
      <c r="AF43" s="31"/>
      <c r="AG43" s="31"/>
      <c r="AH43" s="31"/>
      <c r="AI43" s="31"/>
      <c r="AJ43" s="31"/>
      <c r="AK43" s="31"/>
      <c r="AL43" s="63" t="s">
        <v>337</v>
      </c>
      <c r="AM43" s="57">
        <v>0</v>
      </c>
      <c r="AN43" s="57" t="s">
        <v>251</v>
      </c>
      <c r="AO43" s="57" t="s">
        <v>251</v>
      </c>
      <c r="AP43" s="58">
        <v>500001</v>
      </c>
      <c r="AQ43" s="58">
        <v>1000000</v>
      </c>
      <c r="AR43" s="58">
        <v>80</v>
      </c>
      <c r="AS43" s="65">
        <v>3.5</v>
      </c>
      <c r="AT43" s="31"/>
      <c r="AU43" s="57" t="s">
        <v>249</v>
      </c>
      <c r="AV43" s="70">
        <v>0.8</v>
      </c>
      <c r="AW43" s="57">
        <v>0</v>
      </c>
      <c r="AX43" s="57">
        <v>0</v>
      </c>
      <c r="AY43" s="57"/>
      <c r="AZ43" s="57">
        <v>0</v>
      </c>
      <c r="BA43" s="57">
        <v>1499</v>
      </c>
      <c r="BB43" s="57"/>
      <c r="BC43" s="57">
        <v>50</v>
      </c>
      <c r="BD43" s="31"/>
      <c r="BE43" s="31"/>
      <c r="BF43" s="57">
        <v>0</v>
      </c>
      <c r="BG43" s="57">
        <v>0</v>
      </c>
      <c r="BH43" s="66">
        <v>4.0000000000000001E-3</v>
      </c>
      <c r="BI43" s="57"/>
      <c r="BJ43" s="57">
        <v>0</v>
      </c>
      <c r="BK43" s="57">
        <v>130</v>
      </c>
      <c r="BL43" s="57" t="s">
        <v>249</v>
      </c>
      <c r="BM43" s="57" t="s">
        <v>251</v>
      </c>
      <c r="BN43" s="57" t="s">
        <v>249</v>
      </c>
      <c r="BO43" s="57" t="s">
        <v>251</v>
      </c>
      <c r="BP43" s="57" t="s">
        <v>251</v>
      </c>
      <c r="BQ43" s="57" t="s">
        <v>251</v>
      </c>
      <c r="BR43" s="57" t="s">
        <v>249</v>
      </c>
      <c r="BS43" s="57" t="s">
        <v>251</v>
      </c>
      <c r="BT43" s="57" t="s">
        <v>251</v>
      </c>
      <c r="BU43" s="31"/>
      <c r="BV43" s="57" t="s">
        <v>251</v>
      </c>
      <c r="BW43" s="57" t="s">
        <v>251</v>
      </c>
      <c r="BX43" s="57" t="s">
        <v>251</v>
      </c>
      <c r="BY43" s="57" t="s">
        <v>251</v>
      </c>
      <c r="BZ43" s="57" t="s">
        <v>249</v>
      </c>
      <c r="CA43" s="57" t="s">
        <v>251</v>
      </c>
    </row>
    <row r="44" spans="1:80" ht="28.5" customHeight="1">
      <c r="A44" s="57" t="s">
        <v>339</v>
      </c>
      <c r="B44" s="57" t="s">
        <v>34</v>
      </c>
      <c r="C44" s="71" t="s">
        <v>340</v>
      </c>
      <c r="D44" s="57" t="s">
        <v>254</v>
      </c>
      <c r="E44" s="58" t="s">
        <v>341</v>
      </c>
      <c r="F44" s="121">
        <v>45473</v>
      </c>
      <c r="G44" s="31"/>
      <c r="H44" s="31"/>
      <c r="I44" s="31"/>
      <c r="J44" s="31"/>
      <c r="K44" s="31"/>
      <c r="L44" s="31"/>
      <c r="M44" s="31"/>
      <c r="N44" s="31"/>
      <c r="O44" s="31"/>
      <c r="P44" s="31"/>
      <c r="Q44" s="31"/>
      <c r="R44" s="31"/>
      <c r="S44" s="31"/>
      <c r="T44" s="31"/>
      <c r="U44" s="59" t="s">
        <v>245</v>
      </c>
      <c r="V44" s="57" t="s">
        <v>21</v>
      </c>
      <c r="W44" s="57">
        <v>24</v>
      </c>
      <c r="X44" s="59" t="s">
        <v>246</v>
      </c>
      <c r="Y44" s="60" t="s">
        <v>247</v>
      </c>
      <c r="Z44" s="60" t="s">
        <v>248</v>
      </c>
      <c r="AA44" s="68">
        <v>1</v>
      </c>
      <c r="AB44" s="68">
        <v>1</v>
      </c>
      <c r="AC44" s="31"/>
      <c r="AD44" s="31"/>
      <c r="AE44" s="31"/>
      <c r="AF44" s="31"/>
      <c r="AG44" s="31"/>
      <c r="AH44" s="31"/>
      <c r="AI44" s="31"/>
      <c r="AJ44" s="31"/>
      <c r="AK44" s="31"/>
      <c r="AL44" s="63" t="s">
        <v>342</v>
      </c>
      <c r="AM44" s="57">
        <v>0</v>
      </c>
      <c r="AN44" s="57" t="s">
        <v>251</v>
      </c>
      <c r="AO44" s="57" t="s">
        <v>251</v>
      </c>
      <c r="AP44" s="58">
        <v>50000</v>
      </c>
      <c r="AQ44" s="58">
        <v>1000000</v>
      </c>
      <c r="AR44" s="58">
        <v>90</v>
      </c>
      <c r="AS44" s="65">
        <v>4.4000000000000004</v>
      </c>
      <c r="AT44" s="31"/>
      <c r="AU44" s="57" t="s">
        <v>249</v>
      </c>
      <c r="AV44" s="70">
        <v>1</v>
      </c>
      <c r="AW44" s="57">
        <v>0</v>
      </c>
      <c r="AX44" s="57">
        <v>0</v>
      </c>
      <c r="AY44" s="57"/>
      <c r="AZ44" s="57">
        <v>0</v>
      </c>
      <c r="BA44" s="57">
        <v>999</v>
      </c>
      <c r="BB44" s="57"/>
      <c r="BC44" s="57">
        <v>50</v>
      </c>
      <c r="BD44" s="31"/>
      <c r="BE44" s="57"/>
      <c r="BF44" s="57">
        <v>0</v>
      </c>
      <c r="BG44" s="57">
        <v>0</v>
      </c>
      <c r="BH44" s="66">
        <v>8.0000000000000002E-3</v>
      </c>
      <c r="BI44" s="57"/>
      <c r="BJ44" s="57">
        <v>0</v>
      </c>
      <c r="BK44" s="57">
        <v>130</v>
      </c>
      <c r="BL44" s="57" t="s">
        <v>249</v>
      </c>
      <c r="BM44" s="57" t="s">
        <v>251</v>
      </c>
      <c r="BN44" s="57" t="s">
        <v>249</v>
      </c>
      <c r="BO44" s="57" t="s">
        <v>251</v>
      </c>
      <c r="BP44" s="57" t="s">
        <v>251</v>
      </c>
      <c r="BQ44" s="57" t="s">
        <v>251</v>
      </c>
      <c r="BR44" s="57" t="s">
        <v>249</v>
      </c>
      <c r="BS44" s="57" t="s">
        <v>249</v>
      </c>
      <c r="BT44" s="57" t="s">
        <v>251</v>
      </c>
      <c r="BU44" s="31"/>
      <c r="BV44" s="57" t="s">
        <v>251</v>
      </c>
      <c r="BW44" s="57" t="s">
        <v>251</v>
      </c>
      <c r="BX44" s="57" t="s">
        <v>251</v>
      </c>
      <c r="BY44" s="57" t="s">
        <v>251</v>
      </c>
      <c r="BZ44" s="57" t="s">
        <v>249</v>
      </c>
      <c r="CA44" s="57" t="s">
        <v>251</v>
      </c>
    </row>
    <row r="45" spans="1:80" ht="25.5">
      <c r="A45" s="57" t="s">
        <v>343</v>
      </c>
      <c r="B45" s="57" t="s">
        <v>34</v>
      </c>
      <c r="C45" s="71" t="s">
        <v>344</v>
      </c>
      <c r="D45" s="57" t="s">
        <v>254</v>
      </c>
      <c r="E45" s="58" t="s">
        <v>345</v>
      </c>
      <c r="F45" s="121">
        <v>45473</v>
      </c>
      <c r="G45" s="31"/>
      <c r="H45" s="31"/>
      <c r="I45" s="31"/>
      <c r="J45" s="31"/>
      <c r="K45" s="31"/>
      <c r="L45" s="31"/>
      <c r="M45" s="31"/>
      <c r="N45" s="31"/>
      <c r="O45" s="31"/>
      <c r="P45" s="31"/>
      <c r="Q45" s="31"/>
      <c r="R45" s="31"/>
      <c r="S45" s="31"/>
      <c r="T45" s="31"/>
      <c r="U45" s="59" t="s">
        <v>245</v>
      </c>
      <c r="V45" s="57" t="s">
        <v>21</v>
      </c>
      <c r="W45" s="57">
        <v>24</v>
      </c>
      <c r="X45" s="59" t="s">
        <v>246</v>
      </c>
      <c r="Y45" s="60" t="s">
        <v>247</v>
      </c>
      <c r="Z45" s="60" t="s">
        <v>248</v>
      </c>
      <c r="AA45" s="68"/>
      <c r="AB45" s="31"/>
      <c r="AC45" s="31"/>
      <c r="AD45" s="31"/>
      <c r="AE45" s="31"/>
      <c r="AF45" s="31"/>
      <c r="AG45" s="31"/>
      <c r="AH45" s="31"/>
      <c r="AI45" s="31"/>
      <c r="AJ45" s="31"/>
      <c r="AK45" s="31"/>
      <c r="AL45" s="63"/>
      <c r="AM45" s="57">
        <v>0</v>
      </c>
      <c r="AN45" s="57" t="s">
        <v>251</v>
      </c>
      <c r="AO45" s="57" t="s">
        <v>251</v>
      </c>
      <c r="AP45" s="58">
        <v>50000</v>
      </c>
      <c r="AQ45" s="58">
        <v>1000000</v>
      </c>
      <c r="AR45" s="58">
        <v>90</v>
      </c>
      <c r="AS45" s="65">
        <v>4.4000000000000004</v>
      </c>
      <c r="AT45" s="31"/>
      <c r="AU45" s="57" t="s">
        <v>249</v>
      </c>
      <c r="AV45" s="70">
        <v>1</v>
      </c>
      <c r="AW45" s="57">
        <v>0</v>
      </c>
      <c r="AX45" s="57">
        <v>0</v>
      </c>
      <c r="AY45" s="57"/>
      <c r="AZ45" s="57">
        <v>0</v>
      </c>
      <c r="BA45" s="57">
        <v>0</v>
      </c>
      <c r="BB45" s="57"/>
      <c r="BC45" s="57">
        <v>50</v>
      </c>
      <c r="BD45" s="31"/>
      <c r="BE45" s="57"/>
      <c r="BF45" s="57">
        <v>0</v>
      </c>
      <c r="BG45" s="57">
        <v>0</v>
      </c>
      <c r="BH45" s="66">
        <v>8.0000000000000002E-3</v>
      </c>
      <c r="BI45" s="57"/>
      <c r="BJ45" s="57">
        <v>0</v>
      </c>
      <c r="BK45" s="57">
        <v>130</v>
      </c>
      <c r="BL45" s="57" t="s">
        <v>249</v>
      </c>
      <c r="BM45" s="57" t="s">
        <v>251</v>
      </c>
      <c r="BN45" s="57" t="s">
        <v>249</v>
      </c>
      <c r="BO45" s="57" t="s">
        <v>251</v>
      </c>
      <c r="BP45" s="57" t="s">
        <v>251</v>
      </c>
      <c r="BQ45" s="57" t="s">
        <v>251</v>
      </c>
      <c r="BR45" s="57" t="s">
        <v>249</v>
      </c>
      <c r="BS45" s="57" t="s">
        <v>249</v>
      </c>
      <c r="BT45" s="57" t="s">
        <v>251</v>
      </c>
      <c r="BU45" s="31"/>
      <c r="BV45" s="57" t="s">
        <v>251</v>
      </c>
      <c r="BW45" s="57" t="s">
        <v>251</v>
      </c>
      <c r="BX45" s="57" t="s">
        <v>251</v>
      </c>
      <c r="BY45" s="57" t="s">
        <v>251</v>
      </c>
      <c r="BZ45" s="57" t="s">
        <v>249</v>
      </c>
      <c r="CA45" s="57" t="s">
        <v>251</v>
      </c>
    </row>
    <row r="46" spans="1:80">
      <c r="A46" s="57" t="s">
        <v>346</v>
      </c>
      <c r="B46" s="57" t="s">
        <v>34</v>
      </c>
      <c r="C46" s="57" t="s">
        <v>347</v>
      </c>
      <c r="D46" s="57" t="s">
        <v>254</v>
      </c>
      <c r="E46" s="58" t="s">
        <v>348</v>
      </c>
      <c r="F46" s="121">
        <v>45473</v>
      </c>
      <c r="G46" s="31"/>
      <c r="H46" s="31"/>
      <c r="I46" s="31"/>
      <c r="J46" s="31"/>
      <c r="K46" s="31"/>
      <c r="L46" s="31"/>
      <c r="M46" s="31"/>
      <c r="N46" s="31"/>
      <c r="O46" s="31"/>
      <c r="P46" s="31"/>
      <c r="Q46" s="31"/>
      <c r="R46" s="31"/>
      <c r="S46" s="31"/>
      <c r="T46" s="31"/>
      <c r="U46" s="59" t="s">
        <v>245</v>
      </c>
      <c r="V46" s="57" t="s">
        <v>21</v>
      </c>
      <c r="W46" s="57">
        <v>24</v>
      </c>
      <c r="X46" s="59" t="s">
        <v>246</v>
      </c>
      <c r="Y46" s="60" t="s">
        <v>247</v>
      </c>
      <c r="Z46" s="60" t="s">
        <v>248</v>
      </c>
      <c r="AA46" s="68">
        <v>1</v>
      </c>
      <c r="AB46" s="68">
        <v>1</v>
      </c>
      <c r="AC46" s="31"/>
      <c r="AD46" s="31"/>
      <c r="AE46" s="31"/>
      <c r="AF46" s="31"/>
      <c r="AG46" s="31"/>
      <c r="AH46" s="31"/>
      <c r="AI46" s="31"/>
      <c r="AJ46" s="31"/>
      <c r="AK46" s="31"/>
      <c r="AL46" s="63" t="s">
        <v>342</v>
      </c>
      <c r="AM46" s="57">
        <v>0</v>
      </c>
      <c r="AN46" s="57" t="s">
        <v>251</v>
      </c>
      <c r="AO46" s="57" t="s">
        <v>251</v>
      </c>
      <c r="AP46" s="58">
        <v>50000</v>
      </c>
      <c r="AQ46" s="58">
        <v>1000000</v>
      </c>
      <c r="AR46" s="58">
        <v>90</v>
      </c>
      <c r="AS46" s="65">
        <v>4.4000000000000004</v>
      </c>
      <c r="AT46" s="31"/>
      <c r="AU46" s="57" t="s">
        <v>249</v>
      </c>
      <c r="AV46" s="70">
        <v>1</v>
      </c>
      <c r="AW46" s="57">
        <v>0</v>
      </c>
      <c r="AX46" s="57">
        <v>0</v>
      </c>
      <c r="AY46" s="57"/>
      <c r="AZ46" s="57">
        <v>0</v>
      </c>
      <c r="BA46" s="57">
        <v>0</v>
      </c>
      <c r="BB46" s="57"/>
      <c r="BC46" s="57">
        <v>50</v>
      </c>
      <c r="BD46" s="31"/>
      <c r="BE46" s="57"/>
      <c r="BF46" s="57">
        <v>0</v>
      </c>
      <c r="BG46" s="57">
        <v>0</v>
      </c>
      <c r="BH46" s="66">
        <v>8.0000000000000002E-3</v>
      </c>
      <c r="BI46" s="57"/>
      <c r="BJ46" s="57">
        <v>0</v>
      </c>
      <c r="BK46" s="57">
        <v>130</v>
      </c>
      <c r="BL46" s="57" t="s">
        <v>249</v>
      </c>
      <c r="BM46" s="57" t="s">
        <v>251</v>
      </c>
      <c r="BN46" s="57" t="s">
        <v>249</v>
      </c>
      <c r="BO46" s="57" t="s">
        <v>251</v>
      </c>
      <c r="BP46" s="57" t="s">
        <v>251</v>
      </c>
      <c r="BQ46" s="57" t="s">
        <v>251</v>
      </c>
      <c r="BR46" s="57" t="s">
        <v>249</v>
      </c>
      <c r="BS46" s="57" t="s">
        <v>249</v>
      </c>
      <c r="BT46" s="57" t="s">
        <v>251</v>
      </c>
      <c r="BU46" s="31"/>
      <c r="BV46" s="57" t="s">
        <v>251</v>
      </c>
      <c r="BW46" s="57" t="s">
        <v>251</v>
      </c>
      <c r="BX46" s="57" t="s">
        <v>251</v>
      </c>
      <c r="BY46" s="57" t="s">
        <v>251</v>
      </c>
      <c r="BZ46" s="57" t="s">
        <v>249</v>
      </c>
      <c r="CA46" s="57" t="s">
        <v>251</v>
      </c>
      <c r="CB46" s="118" t="s">
        <v>249</v>
      </c>
    </row>
    <row r="47" spans="1:80" ht="25.5">
      <c r="A47" s="57" t="s">
        <v>349</v>
      </c>
      <c r="B47" s="57" t="s">
        <v>34</v>
      </c>
      <c r="C47" s="71" t="s">
        <v>350</v>
      </c>
      <c r="D47" s="57" t="s">
        <v>254</v>
      </c>
      <c r="E47" s="58" t="s">
        <v>351</v>
      </c>
      <c r="F47" s="121">
        <v>45473</v>
      </c>
      <c r="G47" s="31"/>
      <c r="H47" s="31"/>
      <c r="I47" s="31"/>
      <c r="J47" s="31"/>
      <c r="K47" s="31"/>
      <c r="L47" s="31"/>
      <c r="M47" s="31"/>
      <c r="N47" s="31"/>
      <c r="O47" s="31"/>
      <c r="P47" s="31"/>
      <c r="Q47" s="31"/>
      <c r="R47" s="31"/>
      <c r="S47" s="31"/>
      <c r="T47" s="31"/>
      <c r="U47" s="59" t="s">
        <v>245</v>
      </c>
      <c r="V47" s="57" t="s">
        <v>21</v>
      </c>
      <c r="W47" s="57">
        <v>24</v>
      </c>
      <c r="X47" s="59" t="s">
        <v>246</v>
      </c>
      <c r="Y47" s="60" t="s">
        <v>247</v>
      </c>
      <c r="Z47" s="60" t="s">
        <v>248</v>
      </c>
      <c r="AA47" s="68">
        <v>1</v>
      </c>
      <c r="AB47" s="68">
        <v>1</v>
      </c>
      <c r="AC47" s="31"/>
      <c r="AD47" s="31"/>
      <c r="AE47" s="31"/>
      <c r="AF47" s="31"/>
      <c r="AG47" s="31"/>
      <c r="AH47" s="31"/>
      <c r="AI47" s="31"/>
      <c r="AJ47" s="31"/>
      <c r="AK47" s="31"/>
      <c r="AL47" s="63" t="s">
        <v>342</v>
      </c>
      <c r="AM47" s="57">
        <v>0</v>
      </c>
      <c r="AN47" s="57" t="s">
        <v>251</v>
      </c>
      <c r="AO47" s="57" t="s">
        <v>251</v>
      </c>
      <c r="AP47" s="58">
        <v>50000</v>
      </c>
      <c r="AQ47" s="58">
        <v>1000000</v>
      </c>
      <c r="AR47" s="58">
        <v>90</v>
      </c>
      <c r="AS47" s="65">
        <v>4.4000000000000004</v>
      </c>
      <c r="AT47" s="31"/>
      <c r="AU47" s="57" t="s">
        <v>249</v>
      </c>
      <c r="AV47" s="70">
        <v>1</v>
      </c>
      <c r="AW47" s="57">
        <v>0</v>
      </c>
      <c r="AX47" s="57">
        <v>0</v>
      </c>
      <c r="AY47" s="57"/>
      <c r="AZ47" s="57">
        <v>0</v>
      </c>
      <c r="BA47" s="57">
        <v>999</v>
      </c>
      <c r="BB47" s="57"/>
      <c r="BC47" s="57">
        <v>50</v>
      </c>
      <c r="BD47" s="31"/>
      <c r="BE47" s="57"/>
      <c r="BF47" s="57">
        <v>0</v>
      </c>
      <c r="BG47" s="57">
        <v>0</v>
      </c>
      <c r="BH47" s="66">
        <v>8.0000000000000002E-3</v>
      </c>
      <c r="BI47" s="57"/>
      <c r="BJ47" s="57">
        <v>0</v>
      </c>
      <c r="BK47" s="57">
        <v>130</v>
      </c>
      <c r="BL47" s="57" t="s">
        <v>249</v>
      </c>
      <c r="BM47" s="57" t="s">
        <v>251</v>
      </c>
      <c r="BN47" s="57" t="s">
        <v>249</v>
      </c>
      <c r="BO47" s="57" t="s">
        <v>251</v>
      </c>
      <c r="BP47" s="57" t="s">
        <v>251</v>
      </c>
      <c r="BQ47" s="57" t="s">
        <v>251</v>
      </c>
      <c r="BR47" s="57" t="s">
        <v>249</v>
      </c>
      <c r="BS47" s="57" t="s">
        <v>249</v>
      </c>
      <c r="BT47" s="57" t="s">
        <v>251</v>
      </c>
      <c r="BU47" s="31"/>
      <c r="BV47" s="57" t="s">
        <v>251</v>
      </c>
      <c r="BW47" s="57" t="s">
        <v>251</v>
      </c>
      <c r="BX47" s="57" t="s">
        <v>251</v>
      </c>
      <c r="BY47" s="57" t="s">
        <v>251</v>
      </c>
      <c r="BZ47" s="57" t="s">
        <v>249</v>
      </c>
      <c r="CA47" s="57" t="s">
        <v>251</v>
      </c>
    </row>
    <row r="48" spans="1:80" ht="25.5">
      <c r="A48" s="57" t="s">
        <v>352</v>
      </c>
      <c r="B48" s="57" t="s">
        <v>34</v>
      </c>
      <c r="C48" s="71" t="s">
        <v>353</v>
      </c>
      <c r="D48" s="57" t="s">
        <v>254</v>
      </c>
      <c r="E48" s="58" t="s">
        <v>345</v>
      </c>
      <c r="F48" s="121">
        <v>45473</v>
      </c>
      <c r="G48" s="31"/>
      <c r="H48" s="31"/>
      <c r="I48" s="31"/>
      <c r="J48" s="31"/>
      <c r="K48" s="31"/>
      <c r="L48" s="31"/>
      <c r="M48" s="31"/>
      <c r="N48" s="31"/>
      <c r="O48" s="31"/>
      <c r="P48" s="31"/>
      <c r="Q48" s="31"/>
      <c r="R48" s="31"/>
      <c r="S48" s="31"/>
      <c r="T48" s="31"/>
      <c r="U48" s="59" t="s">
        <v>245</v>
      </c>
      <c r="V48" s="57" t="s">
        <v>21</v>
      </c>
      <c r="W48" s="57">
        <v>24</v>
      </c>
      <c r="X48" s="59" t="s">
        <v>246</v>
      </c>
      <c r="Y48" s="60" t="s">
        <v>247</v>
      </c>
      <c r="Z48" s="60" t="s">
        <v>248</v>
      </c>
      <c r="AA48" s="68"/>
      <c r="AB48" s="31"/>
      <c r="AC48" s="31"/>
      <c r="AD48" s="31"/>
      <c r="AE48" s="31"/>
      <c r="AF48" s="31"/>
      <c r="AG48" s="31"/>
      <c r="AH48" s="31"/>
      <c r="AI48" s="31"/>
      <c r="AJ48" s="31"/>
      <c r="AK48" s="31"/>
      <c r="AL48" s="63"/>
      <c r="AM48" s="57">
        <v>0</v>
      </c>
      <c r="AN48" s="57" t="s">
        <v>251</v>
      </c>
      <c r="AO48" s="57" t="s">
        <v>251</v>
      </c>
      <c r="AP48" s="58">
        <v>50000</v>
      </c>
      <c r="AQ48" s="58">
        <v>1000000</v>
      </c>
      <c r="AR48" s="58">
        <v>90</v>
      </c>
      <c r="AS48" s="65">
        <v>4.4000000000000004</v>
      </c>
      <c r="AT48" s="31"/>
      <c r="AU48" s="57" t="s">
        <v>249</v>
      </c>
      <c r="AV48" s="70">
        <v>1</v>
      </c>
      <c r="AW48" s="57">
        <v>0</v>
      </c>
      <c r="AX48" s="57">
        <v>0</v>
      </c>
      <c r="AY48" s="57"/>
      <c r="AZ48" s="57">
        <v>0</v>
      </c>
      <c r="BA48" s="57">
        <v>0</v>
      </c>
      <c r="BB48" s="57"/>
      <c r="BC48" s="57">
        <v>50</v>
      </c>
      <c r="BD48" s="31"/>
      <c r="BE48" s="57"/>
      <c r="BF48" s="57">
        <v>0</v>
      </c>
      <c r="BG48" s="57">
        <v>0</v>
      </c>
      <c r="BH48" s="66">
        <v>8.0000000000000002E-3</v>
      </c>
      <c r="BI48" s="57"/>
      <c r="BJ48" s="57">
        <v>0</v>
      </c>
      <c r="BK48" s="57">
        <v>130</v>
      </c>
      <c r="BL48" s="57" t="s">
        <v>249</v>
      </c>
      <c r="BM48" s="57" t="s">
        <v>251</v>
      </c>
      <c r="BN48" s="57" t="s">
        <v>249</v>
      </c>
      <c r="BO48" s="57" t="s">
        <v>251</v>
      </c>
      <c r="BP48" s="57" t="s">
        <v>251</v>
      </c>
      <c r="BQ48" s="57" t="s">
        <v>251</v>
      </c>
      <c r="BR48" s="57" t="s">
        <v>249</v>
      </c>
      <c r="BS48" s="57" t="s">
        <v>249</v>
      </c>
      <c r="BT48" s="57" t="s">
        <v>251</v>
      </c>
      <c r="BU48" s="31"/>
      <c r="BV48" s="57" t="s">
        <v>251</v>
      </c>
      <c r="BW48" s="57" t="s">
        <v>251</v>
      </c>
      <c r="BX48" s="57" t="s">
        <v>251</v>
      </c>
      <c r="BY48" s="57" t="s">
        <v>251</v>
      </c>
      <c r="BZ48" s="57" t="s">
        <v>249</v>
      </c>
      <c r="CA48" s="57" t="s">
        <v>251</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9"/>
  <sheetViews>
    <sheetView showRuler="0" view="pageBreakPreview" topLeftCell="A16" zoomScale="84" zoomScaleNormal="40" zoomScaleSheetLayoutView="70" workbookViewId="0">
      <selection activeCell="B21" sqref="B21:B22"/>
    </sheetView>
  </sheetViews>
  <sheetFormatPr defaultColWidth="12.5703125" defaultRowHeight="15.75"/>
  <cols>
    <col min="1" max="1" width="12.5703125" style="73" customWidth="1"/>
    <col min="2" max="2" width="26.7109375" style="72" customWidth="1"/>
    <col min="3" max="3" width="24.7109375" style="73" customWidth="1"/>
    <col min="4" max="4" width="23.140625" style="122" customWidth="1"/>
    <col min="5" max="5" width="19.140625" style="73" customWidth="1"/>
    <col min="6" max="6" width="20.140625" style="73" customWidth="1"/>
    <col min="7" max="7" width="13.7109375" style="73" customWidth="1"/>
    <col min="8" max="8" width="17.5703125" style="73" customWidth="1"/>
    <col min="9" max="10" width="17.140625" style="73" customWidth="1"/>
    <col min="11" max="11" width="18.85546875" style="73" customWidth="1"/>
    <col min="12" max="12" width="34.5703125" style="73" customWidth="1"/>
    <col min="13" max="256" width="12.5703125" style="73"/>
    <col min="257" max="257" width="12.5703125" style="73" customWidth="1"/>
    <col min="258" max="258" width="25" style="73" customWidth="1"/>
    <col min="259" max="259" width="24.7109375" style="73" customWidth="1"/>
    <col min="260" max="260" width="23.140625" style="73" customWidth="1"/>
    <col min="261" max="261" width="19.140625" style="73" customWidth="1"/>
    <col min="262" max="262" width="20.140625" style="73" customWidth="1"/>
    <col min="263" max="263" width="13.7109375" style="73" customWidth="1"/>
    <col min="264" max="264" width="17.5703125" style="73" customWidth="1"/>
    <col min="265" max="266" width="17.140625" style="73" customWidth="1"/>
    <col min="267" max="267" width="18.85546875" style="73" customWidth="1"/>
    <col min="268" max="268" width="34.5703125" style="73" customWidth="1"/>
    <col min="269" max="512" width="12.5703125" style="73"/>
    <col min="513" max="513" width="12.5703125" style="73" customWidth="1"/>
    <col min="514" max="514" width="25" style="73" customWidth="1"/>
    <col min="515" max="515" width="24.7109375" style="73" customWidth="1"/>
    <col min="516" max="516" width="23.140625" style="73" customWidth="1"/>
    <col min="517" max="517" width="19.140625" style="73" customWidth="1"/>
    <col min="518" max="518" width="20.140625" style="73" customWidth="1"/>
    <col min="519" max="519" width="13.7109375" style="73" customWidth="1"/>
    <col min="520" max="520" width="17.5703125" style="73" customWidth="1"/>
    <col min="521" max="522" width="17.140625" style="73" customWidth="1"/>
    <col min="523" max="523" width="18.85546875" style="73" customWidth="1"/>
    <col min="524" max="524" width="34.5703125" style="73" customWidth="1"/>
    <col min="525" max="768" width="12.5703125" style="73"/>
    <col min="769" max="769" width="12.5703125" style="73" customWidth="1"/>
    <col min="770" max="770" width="25" style="73" customWidth="1"/>
    <col min="771" max="771" width="24.7109375" style="73" customWidth="1"/>
    <col min="772" max="772" width="23.140625" style="73" customWidth="1"/>
    <col min="773" max="773" width="19.140625" style="73" customWidth="1"/>
    <col min="774" max="774" width="20.140625" style="73" customWidth="1"/>
    <col min="775" max="775" width="13.7109375" style="73" customWidth="1"/>
    <col min="776" max="776" width="17.5703125" style="73" customWidth="1"/>
    <col min="777" max="778" width="17.140625" style="73" customWidth="1"/>
    <col min="779" max="779" width="18.85546875" style="73" customWidth="1"/>
    <col min="780" max="780" width="34.5703125" style="73" customWidth="1"/>
    <col min="781" max="1024" width="12.5703125" style="73"/>
    <col min="1025" max="1025" width="12.5703125" style="73" customWidth="1"/>
    <col min="1026" max="1026" width="25" style="73" customWidth="1"/>
    <col min="1027" max="1027" width="24.7109375" style="73" customWidth="1"/>
    <col min="1028" max="1028" width="23.140625" style="73" customWidth="1"/>
    <col min="1029" max="1029" width="19.140625" style="73" customWidth="1"/>
    <col min="1030" max="1030" width="20.140625" style="73" customWidth="1"/>
    <col min="1031" max="1031" width="13.7109375" style="73" customWidth="1"/>
    <col min="1032" max="1032" width="17.5703125" style="73" customWidth="1"/>
    <col min="1033" max="1034" width="17.140625" style="73" customWidth="1"/>
    <col min="1035" max="1035" width="18.85546875" style="73" customWidth="1"/>
    <col min="1036" max="1036" width="34.5703125" style="73" customWidth="1"/>
    <col min="1037" max="1280" width="12.5703125" style="73"/>
    <col min="1281" max="1281" width="12.5703125" style="73" customWidth="1"/>
    <col min="1282" max="1282" width="25" style="73" customWidth="1"/>
    <col min="1283" max="1283" width="24.7109375" style="73" customWidth="1"/>
    <col min="1284" max="1284" width="23.140625" style="73" customWidth="1"/>
    <col min="1285" max="1285" width="19.140625" style="73" customWidth="1"/>
    <col min="1286" max="1286" width="20.140625" style="73" customWidth="1"/>
    <col min="1287" max="1287" width="13.7109375" style="73" customWidth="1"/>
    <col min="1288" max="1288" width="17.5703125" style="73" customWidth="1"/>
    <col min="1289" max="1290" width="17.140625" style="73" customWidth="1"/>
    <col min="1291" max="1291" width="18.85546875" style="73" customWidth="1"/>
    <col min="1292" max="1292" width="34.5703125" style="73" customWidth="1"/>
    <col min="1293" max="1536" width="12.5703125" style="73"/>
    <col min="1537" max="1537" width="12.5703125" style="73" customWidth="1"/>
    <col min="1538" max="1538" width="25" style="73" customWidth="1"/>
    <col min="1539" max="1539" width="24.7109375" style="73" customWidth="1"/>
    <col min="1540" max="1540" width="23.140625" style="73" customWidth="1"/>
    <col min="1541" max="1541" width="19.140625" style="73" customWidth="1"/>
    <col min="1542" max="1542" width="20.140625" style="73" customWidth="1"/>
    <col min="1543" max="1543" width="13.7109375" style="73" customWidth="1"/>
    <col min="1544" max="1544" width="17.5703125" style="73" customWidth="1"/>
    <col min="1545" max="1546" width="17.140625" style="73" customWidth="1"/>
    <col min="1547" max="1547" width="18.85546875" style="73" customWidth="1"/>
    <col min="1548" max="1548" width="34.5703125" style="73" customWidth="1"/>
    <col min="1549" max="1792" width="12.5703125" style="73"/>
    <col min="1793" max="1793" width="12.5703125" style="73" customWidth="1"/>
    <col min="1794" max="1794" width="25" style="73" customWidth="1"/>
    <col min="1795" max="1795" width="24.7109375" style="73" customWidth="1"/>
    <col min="1796" max="1796" width="23.140625" style="73" customWidth="1"/>
    <col min="1797" max="1797" width="19.140625" style="73" customWidth="1"/>
    <col min="1798" max="1798" width="20.140625" style="73" customWidth="1"/>
    <col min="1799" max="1799" width="13.7109375" style="73" customWidth="1"/>
    <col min="1800" max="1800" width="17.5703125" style="73" customWidth="1"/>
    <col min="1801" max="1802" width="17.140625" style="73" customWidth="1"/>
    <col min="1803" max="1803" width="18.85546875" style="73" customWidth="1"/>
    <col min="1804" max="1804" width="34.5703125" style="73" customWidth="1"/>
    <col min="1805" max="2048" width="12.5703125" style="73"/>
    <col min="2049" max="2049" width="12.5703125" style="73" customWidth="1"/>
    <col min="2050" max="2050" width="25" style="73" customWidth="1"/>
    <col min="2051" max="2051" width="24.7109375" style="73" customWidth="1"/>
    <col min="2052" max="2052" width="23.140625" style="73" customWidth="1"/>
    <col min="2053" max="2053" width="19.140625" style="73" customWidth="1"/>
    <col min="2054" max="2054" width="20.140625" style="73" customWidth="1"/>
    <col min="2055" max="2055" width="13.7109375" style="73" customWidth="1"/>
    <col min="2056" max="2056" width="17.5703125" style="73" customWidth="1"/>
    <col min="2057" max="2058" width="17.140625" style="73" customWidth="1"/>
    <col min="2059" max="2059" width="18.85546875" style="73" customWidth="1"/>
    <col min="2060" max="2060" width="34.5703125" style="73" customWidth="1"/>
    <col min="2061" max="2304" width="12.5703125" style="73"/>
    <col min="2305" max="2305" width="12.5703125" style="73" customWidth="1"/>
    <col min="2306" max="2306" width="25" style="73" customWidth="1"/>
    <col min="2307" max="2307" width="24.7109375" style="73" customWidth="1"/>
    <col min="2308" max="2308" width="23.140625" style="73" customWidth="1"/>
    <col min="2309" max="2309" width="19.140625" style="73" customWidth="1"/>
    <col min="2310" max="2310" width="20.140625" style="73" customWidth="1"/>
    <col min="2311" max="2311" width="13.7109375" style="73" customWidth="1"/>
    <col min="2312" max="2312" width="17.5703125" style="73" customWidth="1"/>
    <col min="2313" max="2314" width="17.140625" style="73" customWidth="1"/>
    <col min="2315" max="2315" width="18.85546875" style="73" customWidth="1"/>
    <col min="2316" max="2316" width="34.5703125" style="73" customWidth="1"/>
    <col min="2317" max="2560" width="12.5703125" style="73"/>
    <col min="2561" max="2561" width="12.5703125" style="73" customWidth="1"/>
    <col min="2562" max="2562" width="25" style="73" customWidth="1"/>
    <col min="2563" max="2563" width="24.7109375" style="73" customWidth="1"/>
    <col min="2564" max="2564" width="23.140625" style="73" customWidth="1"/>
    <col min="2565" max="2565" width="19.140625" style="73" customWidth="1"/>
    <col min="2566" max="2566" width="20.140625" style="73" customWidth="1"/>
    <col min="2567" max="2567" width="13.7109375" style="73" customWidth="1"/>
    <col min="2568" max="2568" width="17.5703125" style="73" customWidth="1"/>
    <col min="2569" max="2570" width="17.140625" style="73" customWidth="1"/>
    <col min="2571" max="2571" width="18.85546875" style="73" customWidth="1"/>
    <col min="2572" max="2572" width="34.5703125" style="73" customWidth="1"/>
    <col min="2573" max="2816" width="12.5703125" style="73"/>
    <col min="2817" max="2817" width="12.5703125" style="73" customWidth="1"/>
    <col min="2818" max="2818" width="25" style="73" customWidth="1"/>
    <col min="2819" max="2819" width="24.7109375" style="73" customWidth="1"/>
    <col min="2820" max="2820" width="23.140625" style="73" customWidth="1"/>
    <col min="2821" max="2821" width="19.140625" style="73" customWidth="1"/>
    <col min="2822" max="2822" width="20.140625" style="73" customWidth="1"/>
    <col min="2823" max="2823" width="13.7109375" style="73" customWidth="1"/>
    <col min="2824" max="2824" width="17.5703125" style="73" customWidth="1"/>
    <col min="2825" max="2826" width="17.140625" style="73" customWidth="1"/>
    <col min="2827" max="2827" width="18.85546875" style="73" customWidth="1"/>
    <col min="2828" max="2828" width="34.5703125" style="73" customWidth="1"/>
    <col min="2829" max="3072" width="12.5703125" style="73"/>
    <col min="3073" max="3073" width="12.5703125" style="73" customWidth="1"/>
    <col min="3074" max="3074" width="25" style="73" customWidth="1"/>
    <col min="3075" max="3075" width="24.7109375" style="73" customWidth="1"/>
    <col min="3076" max="3076" width="23.140625" style="73" customWidth="1"/>
    <col min="3077" max="3077" width="19.140625" style="73" customWidth="1"/>
    <col min="3078" max="3078" width="20.140625" style="73" customWidth="1"/>
    <col min="3079" max="3079" width="13.7109375" style="73" customWidth="1"/>
    <col min="3080" max="3080" width="17.5703125" style="73" customWidth="1"/>
    <col min="3081" max="3082" width="17.140625" style="73" customWidth="1"/>
    <col min="3083" max="3083" width="18.85546875" style="73" customWidth="1"/>
    <col min="3084" max="3084" width="34.5703125" style="73" customWidth="1"/>
    <col min="3085" max="3328" width="12.5703125" style="73"/>
    <col min="3329" max="3329" width="12.5703125" style="73" customWidth="1"/>
    <col min="3330" max="3330" width="25" style="73" customWidth="1"/>
    <col min="3331" max="3331" width="24.7109375" style="73" customWidth="1"/>
    <col min="3332" max="3332" width="23.140625" style="73" customWidth="1"/>
    <col min="3333" max="3333" width="19.140625" style="73" customWidth="1"/>
    <col min="3334" max="3334" width="20.140625" style="73" customWidth="1"/>
    <col min="3335" max="3335" width="13.7109375" style="73" customWidth="1"/>
    <col min="3336" max="3336" width="17.5703125" style="73" customWidth="1"/>
    <col min="3337" max="3338" width="17.140625" style="73" customWidth="1"/>
    <col min="3339" max="3339" width="18.85546875" style="73" customWidth="1"/>
    <col min="3340" max="3340" width="34.5703125" style="73" customWidth="1"/>
    <col min="3341" max="3584" width="12.5703125" style="73"/>
    <col min="3585" max="3585" width="12.5703125" style="73" customWidth="1"/>
    <col min="3586" max="3586" width="25" style="73" customWidth="1"/>
    <col min="3587" max="3587" width="24.7109375" style="73" customWidth="1"/>
    <col min="3588" max="3588" width="23.140625" style="73" customWidth="1"/>
    <col min="3589" max="3589" width="19.140625" style="73" customWidth="1"/>
    <col min="3590" max="3590" width="20.140625" style="73" customWidth="1"/>
    <col min="3591" max="3591" width="13.7109375" style="73" customWidth="1"/>
    <col min="3592" max="3592" width="17.5703125" style="73" customWidth="1"/>
    <col min="3593" max="3594" width="17.140625" style="73" customWidth="1"/>
    <col min="3595" max="3595" width="18.85546875" style="73" customWidth="1"/>
    <col min="3596" max="3596" width="34.5703125" style="73" customWidth="1"/>
    <col min="3597" max="3840" width="12.5703125" style="73"/>
    <col min="3841" max="3841" width="12.5703125" style="73" customWidth="1"/>
    <col min="3842" max="3842" width="25" style="73" customWidth="1"/>
    <col min="3843" max="3843" width="24.7109375" style="73" customWidth="1"/>
    <col min="3844" max="3844" width="23.140625" style="73" customWidth="1"/>
    <col min="3845" max="3845" width="19.140625" style="73" customWidth="1"/>
    <col min="3846" max="3846" width="20.140625" style="73" customWidth="1"/>
    <col min="3847" max="3847" width="13.7109375" style="73" customWidth="1"/>
    <col min="3848" max="3848" width="17.5703125" style="73" customWidth="1"/>
    <col min="3849" max="3850" width="17.140625" style="73" customWidth="1"/>
    <col min="3851" max="3851" width="18.85546875" style="73" customWidth="1"/>
    <col min="3852" max="3852" width="34.5703125" style="73" customWidth="1"/>
    <col min="3853" max="4096" width="12.5703125" style="73"/>
    <col min="4097" max="4097" width="12.5703125" style="73" customWidth="1"/>
    <col min="4098" max="4098" width="25" style="73" customWidth="1"/>
    <col min="4099" max="4099" width="24.7109375" style="73" customWidth="1"/>
    <col min="4100" max="4100" width="23.140625" style="73" customWidth="1"/>
    <col min="4101" max="4101" width="19.140625" style="73" customWidth="1"/>
    <col min="4102" max="4102" width="20.140625" style="73" customWidth="1"/>
    <col min="4103" max="4103" width="13.7109375" style="73" customWidth="1"/>
    <col min="4104" max="4104" width="17.5703125" style="73" customWidth="1"/>
    <col min="4105" max="4106" width="17.140625" style="73" customWidth="1"/>
    <col min="4107" max="4107" width="18.85546875" style="73" customWidth="1"/>
    <col min="4108" max="4108" width="34.5703125" style="73" customWidth="1"/>
    <col min="4109" max="4352" width="12.5703125" style="73"/>
    <col min="4353" max="4353" width="12.5703125" style="73" customWidth="1"/>
    <col min="4354" max="4354" width="25" style="73" customWidth="1"/>
    <col min="4355" max="4355" width="24.7109375" style="73" customWidth="1"/>
    <col min="4356" max="4356" width="23.140625" style="73" customWidth="1"/>
    <col min="4357" max="4357" width="19.140625" style="73" customWidth="1"/>
    <col min="4358" max="4358" width="20.140625" style="73" customWidth="1"/>
    <col min="4359" max="4359" width="13.7109375" style="73" customWidth="1"/>
    <col min="4360" max="4360" width="17.5703125" style="73" customWidth="1"/>
    <col min="4361" max="4362" width="17.140625" style="73" customWidth="1"/>
    <col min="4363" max="4363" width="18.85546875" style="73" customWidth="1"/>
    <col min="4364" max="4364" width="34.5703125" style="73" customWidth="1"/>
    <col min="4365" max="4608" width="12.5703125" style="73"/>
    <col min="4609" max="4609" width="12.5703125" style="73" customWidth="1"/>
    <col min="4610" max="4610" width="25" style="73" customWidth="1"/>
    <col min="4611" max="4611" width="24.7109375" style="73" customWidth="1"/>
    <col min="4612" max="4612" width="23.140625" style="73" customWidth="1"/>
    <col min="4613" max="4613" width="19.140625" style="73" customWidth="1"/>
    <col min="4614" max="4614" width="20.140625" style="73" customWidth="1"/>
    <col min="4615" max="4615" width="13.7109375" style="73" customWidth="1"/>
    <col min="4616" max="4616" width="17.5703125" style="73" customWidth="1"/>
    <col min="4617" max="4618" width="17.140625" style="73" customWidth="1"/>
    <col min="4619" max="4619" width="18.85546875" style="73" customWidth="1"/>
    <col min="4620" max="4620" width="34.5703125" style="73" customWidth="1"/>
    <col min="4621" max="4864" width="12.5703125" style="73"/>
    <col min="4865" max="4865" width="12.5703125" style="73" customWidth="1"/>
    <col min="4866" max="4866" width="25" style="73" customWidth="1"/>
    <col min="4867" max="4867" width="24.7109375" style="73" customWidth="1"/>
    <col min="4868" max="4868" width="23.140625" style="73" customWidth="1"/>
    <col min="4869" max="4869" width="19.140625" style="73" customWidth="1"/>
    <col min="4870" max="4870" width="20.140625" style="73" customWidth="1"/>
    <col min="4871" max="4871" width="13.7109375" style="73" customWidth="1"/>
    <col min="4872" max="4872" width="17.5703125" style="73" customWidth="1"/>
    <col min="4873" max="4874" width="17.140625" style="73" customWidth="1"/>
    <col min="4875" max="4875" width="18.85546875" style="73" customWidth="1"/>
    <col min="4876" max="4876" width="34.5703125" style="73" customWidth="1"/>
    <col min="4877" max="5120" width="12.5703125" style="73"/>
    <col min="5121" max="5121" width="12.5703125" style="73" customWidth="1"/>
    <col min="5122" max="5122" width="25" style="73" customWidth="1"/>
    <col min="5123" max="5123" width="24.7109375" style="73" customWidth="1"/>
    <col min="5124" max="5124" width="23.140625" style="73" customWidth="1"/>
    <col min="5125" max="5125" width="19.140625" style="73" customWidth="1"/>
    <col min="5126" max="5126" width="20.140625" style="73" customWidth="1"/>
    <col min="5127" max="5127" width="13.7109375" style="73" customWidth="1"/>
    <col min="5128" max="5128" width="17.5703125" style="73" customWidth="1"/>
    <col min="5129" max="5130" width="17.140625" style="73" customWidth="1"/>
    <col min="5131" max="5131" width="18.85546875" style="73" customWidth="1"/>
    <col min="5132" max="5132" width="34.5703125" style="73" customWidth="1"/>
    <col min="5133" max="5376" width="12.5703125" style="73"/>
    <col min="5377" max="5377" width="12.5703125" style="73" customWidth="1"/>
    <col min="5378" max="5378" width="25" style="73" customWidth="1"/>
    <col min="5379" max="5379" width="24.7109375" style="73" customWidth="1"/>
    <col min="5380" max="5380" width="23.140625" style="73" customWidth="1"/>
    <col min="5381" max="5381" width="19.140625" style="73" customWidth="1"/>
    <col min="5382" max="5382" width="20.140625" style="73" customWidth="1"/>
    <col min="5383" max="5383" width="13.7109375" style="73" customWidth="1"/>
    <col min="5384" max="5384" width="17.5703125" style="73" customWidth="1"/>
    <col min="5385" max="5386" width="17.140625" style="73" customWidth="1"/>
    <col min="5387" max="5387" width="18.85546875" style="73" customWidth="1"/>
    <col min="5388" max="5388" width="34.5703125" style="73" customWidth="1"/>
    <col min="5389" max="5632" width="12.5703125" style="73"/>
    <col min="5633" max="5633" width="12.5703125" style="73" customWidth="1"/>
    <col min="5634" max="5634" width="25" style="73" customWidth="1"/>
    <col min="5635" max="5635" width="24.7109375" style="73" customWidth="1"/>
    <col min="5636" max="5636" width="23.140625" style="73" customWidth="1"/>
    <col min="5637" max="5637" width="19.140625" style="73" customWidth="1"/>
    <col min="5638" max="5638" width="20.140625" style="73" customWidth="1"/>
    <col min="5639" max="5639" width="13.7109375" style="73" customWidth="1"/>
    <col min="5640" max="5640" width="17.5703125" style="73" customWidth="1"/>
    <col min="5641" max="5642" width="17.140625" style="73" customWidth="1"/>
    <col min="5643" max="5643" width="18.85546875" style="73" customWidth="1"/>
    <col min="5644" max="5644" width="34.5703125" style="73" customWidth="1"/>
    <col min="5645" max="5888" width="12.5703125" style="73"/>
    <col min="5889" max="5889" width="12.5703125" style="73" customWidth="1"/>
    <col min="5890" max="5890" width="25" style="73" customWidth="1"/>
    <col min="5891" max="5891" width="24.7109375" style="73" customWidth="1"/>
    <col min="5892" max="5892" width="23.140625" style="73" customWidth="1"/>
    <col min="5893" max="5893" width="19.140625" style="73" customWidth="1"/>
    <col min="5894" max="5894" width="20.140625" style="73" customWidth="1"/>
    <col min="5895" max="5895" width="13.7109375" style="73" customWidth="1"/>
    <col min="5896" max="5896" width="17.5703125" style="73" customWidth="1"/>
    <col min="5897" max="5898" width="17.140625" style="73" customWidth="1"/>
    <col min="5899" max="5899" width="18.85546875" style="73" customWidth="1"/>
    <col min="5900" max="5900" width="34.5703125" style="73" customWidth="1"/>
    <col min="5901" max="6144" width="12.5703125" style="73"/>
    <col min="6145" max="6145" width="12.5703125" style="73" customWidth="1"/>
    <col min="6146" max="6146" width="25" style="73" customWidth="1"/>
    <col min="6147" max="6147" width="24.7109375" style="73" customWidth="1"/>
    <col min="6148" max="6148" width="23.140625" style="73" customWidth="1"/>
    <col min="6149" max="6149" width="19.140625" style="73" customWidth="1"/>
    <col min="6150" max="6150" width="20.140625" style="73" customWidth="1"/>
    <col min="6151" max="6151" width="13.7109375" style="73" customWidth="1"/>
    <col min="6152" max="6152" width="17.5703125" style="73" customWidth="1"/>
    <col min="6153" max="6154" width="17.140625" style="73" customWidth="1"/>
    <col min="6155" max="6155" width="18.85546875" style="73" customWidth="1"/>
    <col min="6156" max="6156" width="34.5703125" style="73" customWidth="1"/>
    <col min="6157" max="6400" width="12.5703125" style="73"/>
    <col min="6401" max="6401" width="12.5703125" style="73" customWidth="1"/>
    <col min="6402" max="6402" width="25" style="73" customWidth="1"/>
    <col min="6403" max="6403" width="24.7109375" style="73" customWidth="1"/>
    <col min="6404" max="6404" width="23.140625" style="73" customWidth="1"/>
    <col min="6405" max="6405" width="19.140625" style="73" customWidth="1"/>
    <col min="6406" max="6406" width="20.140625" style="73" customWidth="1"/>
    <col min="6407" max="6407" width="13.7109375" style="73" customWidth="1"/>
    <col min="6408" max="6408" width="17.5703125" style="73" customWidth="1"/>
    <col min="6409" max="6410" width="17.140625" style="73" customWidth="1"/>
    <col min="6411" max="6411" width="18.85546875" style="73" customWidth="1"/>
    <col min="6412" max="6412" width="34.5703125" style="73" customWidth="1"/>
    <col min="6413" max="6656" width="12.5703125" style="73"/>
    <col min="6657" max="6657" width="12.5703125" style="73" customWidth="1"/>
    <col min="6658" max="6658" width="25" style="73" customWidth="1"/>
    <col min="6659" max="6659" width="24.7109375" style="73" customWidth="1"/>
    <col min="6660" max="6660" width="23.140625" style="73" customWidth="1"/>
    <col min="6661" max="6661" width="19.140625" style="73" customWidth="1"/>
    <col min="6662" max="6662" width="20.140625" style="73" customWidth="1"/>
    <col min="6663" max="6663" width="13.7109375" style="73" customWidth="1"/>
    <col min="6664" max="6664" width="17.5703125" style="73" customWidth="1"/>
    <col min="6665" max="6666" width="17.140625" style="73" customWidth="1"/>
    <col min="6667" max="6667" width="18.85546875" style="73" customWidth="1"/>
    <col min="6668" max="6668" width="34.5703125" style="73" customWidth="1"/>
    <col min="6669" max="6912" width="12.5703125" style="73"/>
    <col min="6913" max="6913" width="12.5703125" style="73" customWidth="1"/>
    <col min="6914" max="6914" width="25" style="73" customWidth="1"/>
    <col min="6915" max="6915" width="24.7109375" style="73" customWidth="1"/>
    <col min="6916" max="6916" width="23.140625" style="73" customWidth="1"/>
    <col min="6917" max="6917" width="19.140625" style="73" customWidth="1"/>
    <col min="6918" max="6918" width="20.140625" style="73" customWidth="1"/>
    <col min="6919" max="6919" width="13.7109375" style="73" customWidth="1"/>
    <col min="6920" max="6920" width="17.5703125" style="73" customWidth="1"/>
    <col min="6921" max="6922" width="17.140625" style="73" customWidth="1"/>
    <col min="6923" max="6923" width="18.85546875" style="73" customWidth="1"/>
    <col min="6924" max="6924" width="34.5703125" style="73" customWidth="1"/>
    <col min="6925" max="7168" width="12.5703125" style="73"/>
    <col min="7169" max="7169" width="12.5703125" style="73" customWidth="1"/>
    <col min="7170" max="7170" width="25" style="73" customWidth="1"/>
    <col min="7171" max="7171" width="24.7109375" style="73" customWidth="1"/>
    <col min="7172" max="7172" width="23.140625" style="73" customWidth="1"/>
    <col min="7173" max="7173" width="19.140625" style="73" customWidth="1"/>
    <col min="7174" max="7174" width="20.140625" style="73" customWidth="1"/>
    <col min="7175" max="7175" width="13.7109375" style="73" customWidth="1"/>
    <col min="7176" max="7176" width="17.5703125" style="73" customWidth="1"/>
    <col min="7177" max="7178" width="17.140625" style="73" customWidth="1"/>
    <col min="7179" max="7179" width="18.85546875" style="73" customWidth="1"/>
    <col min="7180" max="7180" width="34.5703125" style="73" customWidth="1"/>
    <col min="7181" max="7424" width="12.5703125" style="73"/>
    <col min="7425" max="7425" width="12.5703125" style="73" customWidth="1"/>
    <col min="7426" max="7426" width="25" style="73" customWidth="1"/>
    <col min="7427" max="7427" width="24.7109375" style="73" customWidth="1"/>
    <col min="7428" max="7428" width="23.140625" style="73" customWidth="1"/>
    <col min="7429" max="7429" width="19.140625" style="73" customWidth="1"/>
    <col min="7430" max="7430" width="20.140625" style="73" customWidth="1"/>
    <col min="7431" max="7431" width="13.7109375" style="73" customWidth="1"/>
    <col min="7432" max="7432" width="17.5703125" style="73" customWidth="1"/>
    <col min="7433" max="7434" width="17.140625" style="73" customWidth="1"/>
    <col min="7435" max="7435" width="18.85546875" style="73" customWidth="1"/>
    <col min="7436" max="7436" width="34.5703125" style="73" customWidth="1"/>
    <col min="7437" max="7680" width="12.5703125" style="73"/>
    <col min="7681" max="7681" width="12.5703125" style="73" customWidth="1"/>
    <col min="7682" max="7682" width="25" style="73" customWidth="1"/>
    <col min="7683" max="7683" width="24.7109375" style="73" customWidth="1"/>
    <col min="7684" max="7684" width="23.140625" style="73" customWidth="1"/>
    <col min="7685" max="7685" width="19.140625" style="73" customWidth="1"/>
    <col min="7686" max="7686" width="20.140625" style="73" customWidth="1"/>
    <col min="7687" max="7687" width="13.7109375" style="73" customWidth="1"/>
    <col min="7688" max="7688" width="17.5703125" style="73" customWidth="1"/>
    <col min="7689" max="7690" width="17.140625" style="73" customWidth="1"/>
    <col min="7691" max="7691" width="18.85546875" style="73" customWidth="1"/>
    <col min="7692" max="7692" width="34.5703125" style="73" customWidth="1"/>
    <col min="7693" max="7936" width="12.5703125" style="73"/>
    <col min="7937" max="7937" width="12.5703125" style="73" customWidth="1"/>
    <col min="7938" max="7938" width="25" style="73" customWidth="1"/>
    <col min="7939" max="7939" width="24.7109375" style="73" customWidth="1"/>
    <col min="7940" max="7940" width="23.140625" style="73" customWidth="1"/>
    <col min="7941" max="7941" width="19.140625" style="73" customWidth="1"/>
    <col min="7942" max="7942" width="20.140625" style="73" customWidth="1"/>
    <col min="7943" max="7943" width="13.7109375" style="73" customWidth="1"/>
    <col min="7944" max="7944" width="17.5703125" style="73" customWidth="1"/>
    <col min="7945" max="7946" width="17.140625" style="73" customWidth="1"/>
    <col min="7947" max="7947" width="18.85546875" style="73" customWidth="1"/>
    <col min="7948" max="7948" width="34.5703125" style="73" customWidth="1"/>
    <col min="7949" max="8192" width="12.5703125" style="73"/>
    <col min="8193" max="8193" width="12.5703125" style="73" customWidth="1"/>
    <col min="8194" max="8194" width="25" style="73" customWidth="1"/>
    <col min="8195" max="8195" width="24.7109375" style="73" customWidth="1"/>
    <col min="8196" max="8196" width="23.140625" style="73" customWidth="1"/>
    <col min="8197" max="8197" width="19.140625" style="73" customWidth="1"/>
    <col min="8198" max="8198" width="20.140625" style="73" customWidth="1"/>
    <col min="8199" max="8199" width="13.7109375" style="73" customWidth="1"/>
    <col min="8200" max="8200" width="17.5703125" style="73" customWidth="1"/>
    <col min="8201" max="8202" width="17.140625" style="73" customWidth="1"/>
    <col min="8203" max="8203" width="18.85546875" style="73" customWidth="1"/>
    <col min="8204" max="8204" width="34.5703125" style="73" customWidth="1"/>
    <col min="8205" max="8448" width="12.5703125" style="73"/>
    <col min="8449" max="8449" width="12.5703125" style="73" customWidth="1"/>
    <col min="8450" max="8450" width="25" style="73" customWidth="1"/>
    <col min="8451" max="8451" width="24.7109375" style="73" customWidth="1"/>
    <col min="8452" max="8452" width="23.140625" style="73" customWidth="1"/>
    <col min="8453" max="8453" width="19.140625" style="73" customWidth="1"/>
    <col min="8454" max="8454" width="20.140625" style="73" customWidth="1"/>
    <col min="8455" max="8455" width="13.7109375" style="73" customWidth="1"/>
    <col min="8456" max="8456" width="17.5703125" style="73" customWidth="1"/>
    <col min="8457" max="8458" width="17.140625" style="73" customWidth="1"/>
    <col min="8459" max="8459" width="18.85546875" style="73" customWidth="1"/>
    <col min="8460" max="8460" width="34.5703125" style="73" customWidth="1"/>
    <col min="8461" max="8704" width="12.5703125" style="73"/>
    <col min="8705" max="8705" width="12.5703125" style="73" customWidth="1"/>
    <col min="8706" max="8706" width="25" style="73" customWidth="1"/>
    <col min="8707" max="8707" width="24.7109375" style="73" customWidth="1"/>
    <col min="8708" max="8708" width="23.140625" style="73" customWidth="1"/>
    <col min="8709" max="8709" width="19.140625" style="73" customWidth="1"/>
    <col min="8710" max="8710" width="20.140625" style="73" customWidth="1"/>
    <col min="8711" max="8711" width="13.7109375" style="73" customWidth="1"/>
    <col min="8712" max="8712" width="17.5703125" style="73" customWidth="1"/>
    <col min="8713" max="8714" width="17.140625" style="73" customWidth="1"/>
    <col min="8715" max="8715" width="18.85546875" style="73" customWidth="1"/>
    <col min="8716" max="8716" width="34.5703125" style="73" customWidth="1"/>
    <col min="8717" max="8960" width="12.5703125" style="73"/>
    <col min="8961" max="8961" width="12.5703125" style="73" customWidth="1"/>
    <col min="8962" max="8962" width="25" style="73" customWidth="1"/>
    <col min="8963" max="8963" width="24.7109375" style="73" customWidth="1"/>
    <col min="8964" max="8964" width="23.140625" style="73" customWidth="1"/>
    <col min="8965" max="8965" width="19.140625" style="73" customWidth="1"/>
    <col min="8966" max="8966" width="20.140625" style="73" customWidth="1"/>
    <col min="8967" max="8967" width="13.7109375" style="73" customWidth="1"/>
    <col min="8968" max="8968" width="17.5703125" style="73" customWidth="1"/>
    <col min="8969" max="8970" width="17.140625" style="73" customWidth="1"/>
    <col min="8971" max="8971" width="18.85546875" style="73" customWidth="1"/>
    <col min="8972" max="8972" width="34.5703125" style="73" customWidth="1"/>
    <col min="8973" max="9216" width="12.5703125" style="73"/>
    <col min="9217" max="9217" width="12.5703125" style="73" customWidth="1"/>
    <col min="9218" max="9218" width="25" style="73" customWidth="1"/>
    <col min="9219" max="9219" width="24.7109375" style="73" customWidth="1"/>
    <col min="9220" max="9220" width="23.140625" style="73" customWidth="1"/>
    <col min="9221" max="9221" width="19.140625" style="73" customWidth="1"/>
    <col min="9222" max="9222" width="20.140625" style="73" customWidth="1"/>
    <col min="9223" max="9223" width="13.7109375" style="73" customWidth="1"/>
    <col min="9224" max="9224" width="17.5703125" style="73" customWidth="1"/>
    <col min="9225" max="9226" width="17.140625" style="73" customWidth="1"/>
    <col min="9227" max="9227" width="18.85546875" style="73" customWidth="1"/>
    <col min="9228" max="9228" width="34.5703125" style="73" customWidth="1"/>
    <col min="9229" max="9472" width="12.5703125" style="73"/>
    <col min="9473" max="9473" width="12.5703125" style="73" customWidth="1"/>
    <col min="9474" max="9474" width="25" style="73" customWidth="1"/>
    <col min="9475" max="9475" width="24.7109375" style="73" customWidth="1"/>
    <col min="9476" max="9476" width="23.140625" style="73" customWidth="1"/>
    <col min="9477" max="9477" width="19.140625" style="73" customWidth="1"/>
    <col min="9478" max="9478" width="20.140625" style="73" customWidth="1"/>
    <col min="9479" max="9479" width="13.7109375" style="73" customWidth="1"/>
    <col min="9480" max="9480" width="17.5703125" style="73" customWidth="1"/>
    <col min="9481" max="9482" width="17.140625" style="73" customWidth="1"/>
    <col min="9483" max="9483" width="18.85546875" style="73" customWidth="1"/>
    <col min="9484" max="9484" width="34.5703125" style="73" customWidth="1"/>
    <col min="9485" max="9728" width="12.5703125" style="73"/>
    <col min="9729" max="9729" width="12.5703125" style="73" customWidth="1"/>
    <col min="9730" max="9730" width="25" style="73" customWidth="1"/>
    <col min="9731" max="9731" width="24.7109375" style="73" customWidth="1"/>
    <col min="9732" max="9732" width="23.140625" style="73" customWidth="1"/>
    <col min="9733" max="9733" width="19.140625" style="73" customWidth="1"/>
    <col min="9734" max="9734" width="20.140625" style="73" customWidth="1"/>
    <col min="9735" max="9735" width="13.7109375" style="73" customWidth="1"/>
    <col min="9736" max="9736" width="17.5703125" style="73" customWidth="1"/>
    <col min="9737" max="9738" width="17.140625" style="73" customWidth="1"/>
    <col min="9739" max="9739" width="18.85546875" style="73" customWidth="1"/>
    <col min="9740" max="9740" width="34.5703125" style="73" customWidth="1"/>
    <col min="9741" max="9984" width="12.5703125" style="73"/>
    <col min="9985" max="9985" width="12.5703125" style="73" customWidth="1"/>
    <col min="9986" max="9986" width="25" style="73" customWidth="1"/>
    <col min="9987" max="9987" width="24.7109375" style="73" customWidth="1"/>
    <col min="9988" max="9988" width="23.140625" style="73" customWidth="1"/>
    <col min="9989" max="9989" width="19.140625" style="73" customWidth="1"/>
    <col min="9990" max="9990" width="20.140625" style="73" customWidth="1"/>
    <col min="9991" max="9991" width="13.7109375" style="73" customWidth="1"/>
    <col min="9992" max="9992" width="17.5703125" style="73" customWidth="1"/>
    <col min="9993" max="9994" width="17.140625" style="73" customWidth="1"/>
    <col min="9995" max="9995" width="18.85546875" style="73" customWidth="1"/>
    <col min="9996" max="9996" width="34.5703125" style="73" customWidth="1"/>
    <col min="9997" max="10240" width="12.5703125" style="73"/>
    <col min="10241" max="10241" width="12.5703125" style="73" customWidth="1"/>
    <col min="10242" max="10242" width="25" style="73" customWidth="1"/>
    <col min="10243" max="10243" width="24.7109375" style="73" customWidth="1"/>
    <col min="10244" max="10244" width="23.140625" style="73" customWidth="1"/>
    <col min="10245" max="10245" width="19.140625" style="73" customWidth="1"/>
    <col min="10246" max="10246" width="20.140625" style="73" customWidth="1"/>
    <col min="10247" max="10247" width="13.7109375" style="73" customWidth="1"/>
    <col min="10248" max="10248" width="17.5703125" style="73" customWidth="1"/>
    <col min="10249" max="10250" width="17.140625" style="73" customWidth="1"/>
    <col min="10251" max="10251" width="18.85546875" style="73" customWidth="1"/>
    <col min="10252" max="10252" width="34.5703125" style="73" customWidth="1"/>
    <col min="10253" max="10496" width="12.5703125" style="73"/>
    <col min="10497" max="10497" width="12.5703125" style="73" customWidth="1"/>
    <col min="10498" max="10498" width="25" style="73" customWidth="1"/>
    <col min="10499" max="10499" width="24.7109375" style="73" customWidth="1"/>
    <col min="10500" max="10500" width="23.140625" style="73" customWidth="1"/>
    <col min="10501" max="10501" width="19.140625" style="73" customWidth="1"/>
    <col min="10502" max="10502" width="20.140625" style="73" customWidth="1"/>
    <col min="10503" max="10503" width="13.7109375" style="73" customWidth="1"/>
    <col min="10504" max="10504" width="17.5703125" style="73" customWidth="1"/>
    <col min="10505" max="10506" width="17.140625" style="73" customWidth="1"/>
    <col min="10507" max="10507" width="18.85546875" style="73" customWidth="1"/>
    <col min="10508" max="10508" width="34.5703125" style="73" customWidth="1"/>
    <col min="10509" max="10752" width="12.5703125" style="73"/>
    <col min="10753" max="10753" width="12.5703125" style="73" customWidth="1"/>
    <col min="10754" max="10754" width="25" style="73" customWidth="1"/>
    <col min="10755" max="10755" width="24.7109375" style="73" customWidth="1"/>
    <col min="10756" max="10756" width="23.140625" style="73" customWidth="1"/>
    <col min="10757" max="10757" width="19.140625" style="73" customWidth="1"/>
    <col min="10758" max="10758" width="20.140625" style="73" customWidth="1"/>
    <col min="10759" max="10759" width="13.7109375" style="73" customWidth="1"/>
    <col min="10760" max="10760" width="17.5703125" style="73" customWidth="1"/>
    <col min="10761" max="10762" width="17.140625" style="73" customWidth="1"/>
    <col min="10763" max="10763" width="18.85546875" style="73" customWidth="1"/>
    <col min="10764" max="10764" width="34.5703125" style="73" customWidth="1"/>
    <col min="10765" max="11008" width="12.5703125" style="73"/>
    <col min="11009" max="11009" width="12.5703125" style="73" customWidth="1"/>
    <col min="11010" max="11010" width="25" style="73" customWidth="1"/>
    <col min="11011" max="11011" width="24.7109375" style="73" customWidth="1"/>
    <col min="11012" max="11012" width="23.140625" style="73" customWidth="1"/>
    <col min="11013" max="11013" width="19.140625" style="73" customWidth="1"/>
    <col min="11014" max="11014" width="20.140625" style="73" customWidth="1"/>
    <col min="11015" max="11015" width="13.7109375" style="73" customWidth="1"/>
    <col min="11016" max="11016" width="17.5703125" style="73" customWidth="1"/>
    <col min="11017" max="11018" width="17.140625" style="73" customWidth="1"/>
    <col min="11019" max="11019" width="18.85546875" style="73" customWidth="1"/>
    <col min="11020" max="11020" width="34.5703125" style="73" customWidth="1"/>
    <col min="11021" max="11264" width="12.5703125" style="73"/>
    <col min="11265" max="11265" width="12.5703125" style="73" customWidth="1"/>
    <col min="11266" max="11266" width="25" style="73" customWidth="1"/>
    <col min="11267" max="11267" width="24.7109375" style="73" customWidth="1"/>
    <col min="11268" max="11268" width="23.140625" style="73" customWidth="1"/>
    <col min="11269" max="11269" width="19.140625" style="73" customWidth="1"/>
    <col min="11270" max="11270" width="20.140625" style="73" customWidth="1"/>
    <col min="11271" max="11271" width="13.7109375" style="73" customWidth="1"/>
    <col min="11272" max="11272" width="17.5703125" style="73" customWidth="1"/>
    <col min="11273" max="11274" width="17.140625" style="73" customWidth="1"/>
    <col min="11275" max="11275" width="18.85546875" style="73" customWidth="1"/>
    <col min="11276" max="11276" width="34.5703125" style="73" customWidth="1"/>
    <col min="11277" max="11520" width="12.5703125" style="73"/>
    <col min="11521" max="11521" width="12.5703125" style="73" customWidth="1"/>
    <col min="11522" max="11522" width="25" style="73" customWidth="1"/>
    <col min="11523" max="11523" width="24.7109375" style="73" customWidth="1"/>
    <col min="11524" max="11524" width="23.140625" style="73" customWidth="1"/>
    <col min="11525" max="11525" width="19.140625" style="73" customWidth="1"/>
    <col min="11526" max="11526" width="20.140625" style="73" customWidth="1"/>
    <col min="11527" max="11527" width="13.7109375" style="73" customWidth="1"/>
    <col min="11528" max="11528" width="17.5703125" style="73" customWidth="1"/>
    <col min="11529" max="11530" width="17.140625" style="73" customWidth="1"/>
    <col min="11531" max="11531" width="18.85546875" style="73" customWidth="1"/>
    <col min="11532" max="11532" width="34.5703125" style="73" customWidth="1"/>
    <col min="11533" max="11776" width="12.5703125" style="73"/>
    <col min="11777" max="11777" width="12.5703125" style="73" customWidth="1"/>
    <col min="11778" max="11778" width="25" style="73" customWidth="1"/>
    <col min="11779" max="11779" width="24.7109375" style="73" customWidth="1"/>
    <col min="11780" max="11780" width="23.140625" style="73" customWidth="1"/>
    <col min="11781" max="11781" width="19.140625" style="73" customWidth="1"/>
    <col min="11782" max="11782" width="20.140625" style="73" customWidth="1"/>
    <col min="11783" max="11783" width="13.7109375" style="73" customWidth="1"/>
    <col min="11784" max="11784" width="17.5703125" style="73" customWidth="1"/>
    <col min="11785" max="11786" width="17.140625" style="73" customWidth="1"/>
    <col min="11787" max="11787" width="18.85546875" style="73" customWidth="1"/>
    <col min="11788" max="11788" width="34.5703125" style="73" customWidth="1"/>
    <col min="11789" max="12032" width="12.5703125" style="73"/>
    <col min="12033" max="12033" width="12.5703125" style="73" customWidth="1"/>
    <col min="12034" max="12034" width="25" style="73" customWidth="1"/>
    <col min="12035" max="12035" width="24.7109375" style="73" customWidth="1"/>
    <col min="12036" max="12036" width="23.140625" style="73" customWidth="1"/>
    <col min="12037" max="12037" width="19.140625" style="73" customWidth="1"/>
    <col min="12038" max="12038" width="20.140625" style="73" customWidth="1"/>
    <col min="12039" max="12039" width="13.7109375" style="73" customWidth="1"/>
    <col min="12040" max="12040" width="17.5703125" style="73" customWidth="1"/>
    <col min="12041" max="12042" width="17.140625" style="73" customWidth="1"/>
    <col min="12043" max="12043" width="18.85546875" style="73" customWidth="1"/>
    <col min="12044" max="12044" width="34.5703125" style="73" customWidth="1"/>
    <col min="12045" max="12288" width="12.5703125" style="73"/>
    <col min="12289" max="12289" width="12.5703125" style="73" customWidth="1"/>
    <col min="12290" max="12290" width="25" style="73" customWidth="1"/>
    <col min="12291" max="12291" width="24.7109375" style="73" customWidth="1"/>
    <col min="12292" max="12292" width="23.140625" style="73" customWidth="1"/>
    <col min="12293" max="12293" width="19.140625" style="73" customWidth="1"/>
    <col min="12294" max="12294" width="20.140625" style="73" customWidth="1"/>
    <col min="12295" max="12295" width="13.7109375" style="73" customWidth="1"/>
    <col min="12296" max="12296" width="17.5703125" style="73" customWidth="1"/>
    <col min="12297" max="12298" width="17.140625" style="73" customWidth="1"/>
    <col min="12299" max="12299" width="18.85546875" style="73" customWidth="1"/>
    <col min="12300" max="12300" width="34.5703125" style="73" customWidth="1"/>
    <col min="12301" max="12544" width="12.5703125" style="73"/>
    <col min="12545" max="12545" width="12.5703125" style="73" customWidth="1"/>
    <col min="12546" max="12546" width="25" style="73" customWidth="1"/>
    <col min="12547" max="12547" width="24.7109375" style="73" customWidth="1"/>
    <col min="12548" max="12548" width="23.140625" style="73" customWidth="1"/>
    <col min="12549" max="12549" width="19.140625" style="73" customWidth="1"/>
    <col min="12550" max="12550" width="20.140625" style="73" customWidth="1"/>
    <col min="12551" max="12551" width="13.7109375" style="73" customWidth="1"/>
    <col min="12552" max="12552" width="17.5703125" style="73" customWidth="1"/>
    <col min="12553" max="12554" width="17.140625" style="73" customWidth="1"/>
    <col min="12555" max="12555" width="18.85546875" style="73" customWidth="1"/>
    <col min="12556" max="12556" width="34.5703125" style="73" customWidth="1"/>
    <col min="12557" max="12800" width="12.5703125" style="73"/>
    <col min="12801" max="12801" width="12.5703125" style="73" customWidth="1"/>
    <col min="12802" max="12802" width="25" style="73" customWidth="1"/>
    <col min="12803" max="12803" width="24.7109375" style="73" customWidth="1"/>
    <col min="12804" max="12804" width="23.140625" style="73" customWidth="1"/>
    <col min="12805" max="12805" width="19.140625" style="73" customWidth="1"/>
    <col min="12806" max="12806" width="20.140625" style="73" customWidth="1"/>
    <col min="12807" max="12807" width="13.7109375" style="73" customWidth="1"/>
    <col min="12808" max="12808" width="17.5703125" style="73" customWidth="1"/>
    <col min="12809" max="12810" width="17.140625" style="73" customWidth="1"/>
    <col min="12811" max="12811" width="18.85546875" style="73" customWidth="1"/>
    <col min="12812" max="12812" width="34.5703125" style="73" customWidth="1"/>
    <col min="12813" max="13056" width="12.5703125" style="73"/>
    <col min="13057" max="13057" width="12.5703125" style="73" customWidth="1"/>
    <col min="13058" max="13058" width="25" style="73" customWidth="1"/>
    <col min="13059" max="13059" width="24.7109375" style="73" customWidth="1"/>
    <col min="13060" max="13060" width="23.140625" style="73" customWidth="1"/>
    <col min="13061" max="13061" width="19.140625" style="73" customWidth="1"/>
    <col min="13062" max="13062" width="20.140625" style="73" customWidth="1"/>
    <col min="13063" max="13063" width="13.7109375" style="73" customWidth="1"/>
    <col min="13064" max="13064" width="17.5703125" style="73" customWidth="1"/>
    <col min="13065" max="13066" width="17.140625" style="73" customWidth="1"/>
    <col min="13067" max="13067" width="18.85546875" style="73" customWidth="1"/>
    <col min="13068" max="13068" width="34.5703125" style="73" customWidth="1"/>
    <col min="13069" max="13312" width="12.5703125" style="73"/>
    <col min="13313" max="13313" width="12.5703125" style="73" customWidth="1"/>
    <col min="13314" max="13314" width="25" style="73" customWidth="1"/>
    <col min="13315" max="13315" width="24.7109375" style="73" customWidth="1"/>
    <col min="13316" max="13316" width="23.140625" style="73" customWidth="1"/>
    <col min="13317" max="13317" width="19.140625" style="73" customWidth="1"/>
    <col min="13318" max="13318" width="20.140625" style="73" customWidth="1"/>
    <col min="13319" max="13319" width="13.7109375" style="73" customWidth="1"/>
    <col min="13320" max="13320" width="17.5703125" style="73" customWidth="1"/>
    <col min="13321" max="13322" width="17.140625" style="73" customWidth="1"/>
    <col min="13323" max="13323" width="18.85546875" style="73" customWidth="1"/>
    <col min="13324" max="13324" width="34.5703125" style="73" customWidth="1"/>
    <col min="13325" max="13568" width="12.5703125" style="73"/>
    <col min="13569" max="13569" width="12.5703125" style="73" customWidth="1"/>
    <col min="13570" max="13570" width="25" style="73" customWidth="1"/>
    <col min="13571" max="13571" width="24.7109375" style="73" customWidth="1"/>
    <col min="13572" max="13572" width="23.140625" style="73" customWidth="1"/>
    <col min="13573" max="13573" width="19.140625" style="73" customWidth="1"/>
    <col min="13574" max="13574" width="20.140625" style="73" customWidth="1"/>
    <col min="13575" max="13575" width="13.7109375" style="73" customWidth="1"/>
    <col min="13576" max="13576" width="17.5703125" style="73" customWidth="1"/>
    <col min="13577" max="13578" width="17.140625" style="73" customWidth="1"/>
    <col min="13579" max="13579" width="18.85546875" style="73" customWidth="1"/>
    <col min="13580" max="13580" width="34.5703125" style="73" customWidth="1"/>
    <col min="13581" max="13824" width="12.5703125" style="73"/>
    <col min="13825" max="13825" width="12.5703125" style="73" customWidth="1"/>
    <col min="13826" max="13826" width="25" style="73" customWidth="1"/>
    <col min="13827" max="13827" width="24.7109375" style="73" customWidth="1"/>
    <col min="13828" max="13828" width="23.140625" style="73" customWidth="1"/>
    <col min="13829" max="13829" width="19.140625" style="73" customWidth="1"/>
    <col min="13830" max="13830" width="20.140625" style="73" customWidth="1"/>
    <col min="13831" max="13831" width="13.7109375" style="73" customWidth="1"/>
    <col min="13832" max="13832" width="17.5703125" style="73" customWidth="1"/>
    <col min="13833" max="13834" width="17.140625" style="73" customWidth="1"/>
    <col min="13835" max="13835" width="18.85546875" style="73" customWidth="1"/>
    <col min="13836" max="13836" width="34.5703125" style="73" customWidth="1"/>
    <col min="13837" max="14080" width="12.5703125" style="73"/>
    <col min="14081" max="14081" width="12.5703125" style="73" customWidth="1"/>
    <col min="14082" max="14082" width="25" style="73" customWidth="1"/>
    <col min="14083" max="14083" width="24.7109375" style="73" customWidth="1"/>
    <col min="14084" max="14084" width="23.140625" style="73" customWidth="1"/>
    <col min="14085" max="14085" width="19.140625" style="73" customWidth="1"/>
    <col min="14086" max="14086" width="20.140625" style="73" customWidth="1"/>
    <col min="14087" max="14087" width="13.7109375" style="73" customWidth="1"/>
    <col min="14088" max="14088" width="17.5703125" style="73" customWidth="1"/>
    <col min="14089" max="14090" width="17.140625" style="73" customWidth="1"/>
    <col min="14091" max="14091" width="18.85546875" style="73" customWidth="1"/>
    <col min="14092" max="14092" width="34.5703125" style="73" customWidth="1"/>
    <col min="14093" max="14336" width="12.5703125" style="73"/>
    <col min="14337" max="14337" width="12.5703125" style="73" customWidth="1"/>
    <col min="14338" max="14338" width="25" style="73" customWidth="1"/>
    <col min="14339" max="14339" width="24.7109375" style="73" customWidth="1"/>
    <col min="14340" max="14340" width="23.140625" style="73" customWidth="1"/>
    <col min="14341" max="14341" width="19.140625" style="73" customWidth="1"/>
    <col min="14342" max="14342" width="20.140625" style="73" customWidth="1"/>
    <col min="14343" max="14343" width="13.7109375" style="73" customWidth="1"/>
    <col min="14344" max="14344" width="17.5703125" style="73" customWidth="1"/>
    <col min="14345" max="14346" width="17.140625" style="73" customWidth="1"/>
    <col min="14347" max="14347" width="18.85546875" style="73" customWidth="1"/>
    <col min="14348" max="14348" width="34.5703125" style="73" customWidth="1"/>
    <col min="14349" max="14592" width="12.5703125" style="73"/>
    <col min="14593" max="14593" width="12.5703125" style="73" customWidth="1"/>
    <col min="14594" max="14594" width="25" style="73" customWidth="1"/>
    <col min="14595" max="14595" width="24.7109375" style="73" customWidth="1"/>
    <col min="14596" max="14596" width="23.140625" style="73" customWidth="1"/>
    <col min="14597" max="14597" width="19.140625" style="73" customWidth="1"/>
    <col min="14598" max="14598" width="20.140625" style="73" customWidth="1"/>
    <col min="14599" max="14599" width="13.7109375" style="73" customWidth="1"/>
    <col min="14600" max="14600" width="17.5703125" style="73" customWidth="1"/>
    <col min="14601" max="14602" width="17.140625" style="73" customWidth="1"/>
    <col min="14603" max="14603" width="18.85546875" style="73" customWidth="1"/>
    <col min="14604" max="14604" width="34.5703125" style="73" customWidth="1"/>
    <col min="14605" max="14848" width="12.5703125" style="73"/>
    <col min="14849" max="14849" width="12.5703125" style="73" customWidth="1"/>
    <col min="14850" max="14850" width="25" style="73" customWidth="1"/>
    <col min="14851" max="14851" width="24.7109375" style="73" customWidth="1"/>
    <col min="14852" max="14852" width="23.140625" style="73" customWidth="1"/>
    <col min="14853" max="14853" width="19.140625" style="73" customWidth="1"/>
    <col min="14854" max="14854" width="20.140625" style="73" customWidth="1"/>
    <col min="14855" max="14855" width="13.7109375" style="73" customWidth="1"/>
    <col min="14856" max="14856" width="17.5703125" style="73" customWidth="1"/>
    <col min="14857" max="14858" width="17.140625" style="73" customWidth="1"/>
    <col min="14859" max="14859" width="18.85546875" style="73" customWidth="1"/>
    <col min="14860" max="14860" width="34.5703125" style="73" customWidth="1"/>
    <col min="14861" max="15104" width="12.5703125" style="73"/>
    <col min="15105" max="15105" width="12.5703125" style="73" customWidth="1"/>
    <col min="15106" max="15106" width="25" style="73" customWidth="1"/>
    <col min="15107" max="15107" width="24.7109375" style="73" customWidth="1"/>
    <col min="15108" max="15108" width="23.140625" style="73" customWidth="1"/>
    <col min="15109" max="15109" width="19.140625" style="73" customWidth="1"/>
    <col min="15110" max="15110" width="20.140625" style="73" customWidth="1"/>
    <col min="15111" max="15111" width="13.7109375" style="73" customWidth="1"/>
    <col min="15112" max="15112" width="17.5703125" style="73" customWidth="1"/>
    <col min="15113" max="15114" width="17.140625" style="73" customWidth="1"/>
    <col min="15115" max="15115" width="18.85546875" style="73" customWidth="1"/>
    <col min="15116" max="15116" width="34.5703125" style="73" customWidth="1"/>
    <col min="15117" max="15360" width="12.5703125" style="73"/>
    <col min="15361" max="15361" width="12.5703125" style="73" customWidth="1"/>
    <col min="15362" max="15362" width="25" style="73" customWidth="1"/>
    <col min="15363" max="15363" width="24.7109375" style="73" customWidth="1"/>
    <col min="15364" max="15364" width="23.140625" style="73" customWidth="1"/>
    <col min="15365" max="15365" width="19.140625" style="73" customWidth="1"/>
    <col min="15366" max="15366" width="20.140625" style="73" customWidth="1"/>
    <col min="15367" max="15367" width="13.7109375" style="73" customWidth="1"/>
    <col min="15368" max="15368" width="17.5703125" style="73" customWidth="1"/>
    <col min="15369" max="15370" width="17.140625" style="73" customWidth="1"/>
    <col min="15371" max="15371" width="18.85546875" style="73" customWidth="1"/>
    <col min="15372" max="15372" width="34.5703125" style="73" customWidth="1"/>
    <col min="15373" max="15616" width="12.5703125" style="73"/>
    <col min="15617" max="15617" width="12.5703125" style="73" customWidth="1"/>
    <col min="15618" max="15618" width="25" style="73" customWidth="1"/>
    <col min="15619" max="15619" width="24.7109375" style="73" customWidth="1"/>
    <col min="15620" max="15620" width="23.140625" style="73" customWidth="1"/>
    <col min="15621" max="15621" width="19.140625" style="73" customWidth="1"/>
    <col min="15622" max="15622" width="20.140625" style="73" customWidth="1"/>
    <col min="15623" max="15623" width="13.7109375" style="73" customWidth="1"/>
    <col min="15624" max="15624" width="17.5703125" style="73" customWidth="1"/>
    <col min="15625" max="15626" width="17.140625" style="73" customWidth="1"/>
    <col min="15627" max="15627" width="18.85546875" style="73" customWidth="1"/>
    <col min="15628" max="15628" width="34.5703125" style="73" customWidth="1"/>
    <col min="15629" max="15872" width="12.5703125" style="73"/>
    <col min="15873" max="15873" width="12.5703125" style="73" customWidth="1"/>
    <col min="15874" max="15874" width="25" style="73" customWidth="1"/>
    <col min="15875" max="15875" width="24.7109375" style="73" customWidth="1"/>
    <col min="15876" max="15876" width="23.140625" style="73" customWidth="1"/>
    <col min="15877" max="15877" width="19.140625" style="73" customWidth="1"/>
    <col min="15878" max="15878" width="20.140625" style="73" customWidth="1"/>
    <col min="15879" max="15879" width="13.7109375" style="73" customWidth="1"/>
    <col min="15880" max="15880" width="17.5703125" style="73" customWidth="1"/>
    <col min="15881" max="15882" width="17.140625" style="73" customWidth="1"/>
    <col min="15883" max="15883" width="18.85546875" style="73" customWidth="1"/>
    <col min="15884" max="15884" width="34.5703125" style="73" customWidth="1"/>
    <col min="15885" max="16128" width="12.5703125" style="73"/>
    <col min="16129" max="16129" width="12.5703125" style="73" customWidth="1"/>
    <col min="16130" max="16130" width="25" style="73" customWidth="1"/>
    <col min="16131" max="16131" width="24.7109375" style="73" customWidth="1"/>
    <col min="16132" max="16132" width="23.140625" style="73" customWidth="1"/>
    <col min="16133" max="16133" width="19.140625" style="73" customWidth="1"/>
    <col min="16134" max="16134" width="20.140625" style="73" customWidth="1"/>
    <col min="16135" max="16135" width="13.7109375" style="73" customWidth="1"/>
    <col min="16136" max="16136" width="17.5703125" style="73" customWidth="1"/>
    <col min="16137" max="16138" width="17.140625" style="73" customWidth="1"/>
    <col min="16139" max="16139" width="18.85546875" style="73" customWidth="1"/>
    <col min="16140" max="16140" width="34.5703125" style="73" customWidth="1"/>
    <col min="16141" max="16384" width="12.5703125" style="73"/>
  </cols>
  <sheetData>
    <row r="1" spans="2:12" ht="23.1" customHeight="1"/>
    <row r="2" spans="2:12" ht="9" customHeight="1"/>
    <row r="3" spans="2:12" ht="44.1" customHeight="1">
      <c r="B3" s="74" t="s">
        <v>354</v>
      </c>
    </row>
    <row r="6" spans="2:12" ht="23.25">
      <c r="B6" s="75"/>
    </row>
    <row r="7" spans="2:12" ht="23.25">
      <c r="B7" s="75" t="s">
        <v>355</v>
      </c>
    </row>
    <row r="8" spans="2:12" ht="12.75" customHeight="1"/>
    <row r="9" spans="2:12" ht="7.5" customHeight="1">
      <c r="B9" s="76"/>
      <c r="C9" s="77"/>
      <c r="D9" s="123"/>
      <c r="E9" s="77"/>
      <c r="F9" s="77"/>
      <c r="G9" s="77"/>
      <c r="H9" s="77"/>
      <c r="I9" s="77"/>
      <c r="J9" s="77"/>
      <c r="K9" s="77"/>
      <c r="L9" s="77"/>
    </row>
    <row r="10" spans="2:12" ht="77.25" customHeight="1">
      <c r="B10" s="78" t="s">
        <v>356</v>
      </c>
      <c r="C10" s="79" t="s">
        <v>357</v>
      </c>
      <c r="D10" s="124" t="s">
        <v>358</v>
      </c>
      <c r="E10" s="80" t="s">
        <v>359</v>
      </c>
      <c r="F10" s="80" t="s">
        <v>360</v>
      </c>
      <c r="G10" s="80" t="s">
        <v>361</v>
      </c>
      <c r="H10" s="80" t="s">
        <v>362</v>
      </c>
      <c r="I10" s="80" t="s">
        <v>363</v>
      </c>
      <c r="J10" s="80" t="s">
        <v>364</v>
      </c>
      <c r="K10" s="80" t="s">
        <v>365</v>
      </c>
      <c r="L10" s="81" t="s">
        <v>19</v>
      </c>
    </row>
    <row r="11" spans="2:12" ht="23.1" customHeight="1">
      <c r="B11" s="82" t="s">
        <v>366</v>
      </c>
      <c r="C11" s="83"/>
      <c r="D11" s="125"/>
      <c r="E11" s="83"/>
      <c r="F11" s="83"/>
      <c r="G11" s="83"/>
      <c r="H11" s="83"/>
      <c r="I11" s="83"/>
      <c r="J11" s="83"/>
      <c r="K11" s="83"/>
      <c r="L11" s="83"/>
    </row>
    <row r="12" spans="2:12" ht="21" customHeight="1">
      <c r="B12" s="242" t="str">
        <f>VLOOKUP(B15,Guide,2,FALSE)</f>
        <v>2 Year Discounted Rate - Repayment</v>
      </c>
      <c r="C12" s="243" t="str">
        <f>VLOOKUP(B15,Guide,3,FALSE)</f>
        <v>1.30%</v>
      </c>
      <c r="D12" s="245">
        <f>VLOOKUP(B15,Guide,4,FALSE)</f>
        <v>45504</v>
      </c>
      <c r="E12" s="247" t="str">
        <f>VLOOKUP(B15,Guide,5,FALSE)</f>
        <v>1% of amount repaid</v>
      </c>
      <c r="F12" s="249">
        <f>VLOOKUP(B15,Guide,6,FALSE)</f>
        <v>3.5</v>
      </c>
      <c r="G12" s="251">
        <f>VLOOKUP(B15,Guide,7,FALSE)</f>
        <v>80</v>
      </c>
      <c r="H12" s="257">
        <f>VLOOKUP(B15,Guide,8,FALSE)</f>
        <v>0</v>
      </c>
      <c r="I12" s="259">
        <f>VLOOKUP(B15,Guide,9,FALSE)</f>
        <v>999</v>
      </c>
      <c r="J12" s="253">
        <f>VLOOKUP(B15,Guide,10,FALSE)</f>
        <v>30000</v>
      </c>
      <c r="K12" s="255">
        <f>VLOOKUP(B15,Guide,11,FALSE)</f>
        <v>1500000</v>
      </c>
      <c r="L12" s="263" t="str">
        <f>VLOOKUP(B15,Guide,12,FALSE)</f>
        <v>Increased Overpayments Permitted (10% per annum)</v>
      </c>
    </row>
    <row r="13" spans="2:12" ht="15.75" customHeight="1">
      <c r="B13" s="242"/>
      <c r="C13" s="243"/>
      <c r="D13" s="245"/>
      <c r="E13" s="247"/>
      <c r="F13" s="249"/>
      <c r="G13" s="251"/>
      <c r="H13" s="257"/>
      <c r="I13" s="259"/>
      <c r="J13" s="253"/>
      <c r="K13" s="255"/>
      <c r="L13" s="263"/>
    </row>
    <row r="14" spans="2:12" ht="21.75" customHeight="1">
      <c r="B14" s="242"/>
      <c r="C14" s="243"/>
      <c r="D14" s="245"/>
      <c r="E14" s="247"/>
      <c r="F14" s="249"/>
      <c r="G14" s="251"/>
      <c r="H14" s="257"/>
      <c r="I14" s="259"/>
      <c r="J14" s="253"/>
      <c r="K14" s="255"/>
      <c r="L14" s="263"/>
    </row>
    <row r="15" spans="2:12" ht="36" customHeight="1">
      <c r="B15" s="261" t="s">
        <v>367</v>
      </c>
      <c r="C15" s="243"/>
      <c r="D15" s="245"/>
      <c r="E15" s="247"/>
      <c r="F15" s="249"/>
      <c r="G15" s="251"/>
      <c r="H15" s="257"/>
      <c r="I15" s="259"/>
      <c r="J15" s="253"/>
      <c r="K15" s="255"/>
      <c r="L15" s="263"/>
    </row>
    <row r="16" spans="2:12" ht="48.75" customHeight="1" thickBot="1">
      <c r="B16" s="262"/>
      <c r="C16" s="244"/>
      <c r="D16" s="246"/>
      <c r="E16" s="248"/>
      <c r="F16" s="250"/>
      <c r="G16" s="252"/>
      <c r="H16" s="258"/>
      <c r="I16" s="260"/>
      <c r="J16" s="254"/>
      <c r="K16" s="256"/>
      <c r="L16" s="264"/>
    </row>
    <row r="17" spans="2:15" ht="23.1" customHeight="1">
      <c r="B17" s="82" t="s">
        <v>368</v>
      </c>
      <c r="C17" s="83"/>
      <c r="D17" s="125"/>
      <c r="E17" s="83"/>
      <c r="F17" s="83"/>
      <c r="G17" s="83"/>
      <c r="H17" s="83"/>
      <c r="I17" s="83"/>
      <c r="J17" s="83"/>
      <c r="K17" s="83"/>
      <c r="L17" s="83"/>
    </row>
    <row r="18" spans="2:15" ht="31.5" customHeight="1">
      <c r="B18" s="242" t="str">
        <f>VLOOKUP(B21,Guide,2,FALSE)</f>
        <v>Standard Variable Rate  - Repayment</v>
      </c>
      <c r="C18" s="243" t="str">
        <f>VLOOKUP(B21,Guide,3,FALSE)</f>
        <v>3.96%</v>
      </c>
      <c r="D18" s="245" t="str">
        <f>VLOOKUP(B21,Guide,4,FALSE)</f>
        <v/>
      </c>
      <c r="E18" s="247" t="str">
        <f>VLOOKUP(B21,Guide,5,FALSE)</f>
        <v/>
      </c>
      <c r="F18" s="249">
        <f>VLOOKUP(B21,Guide,6,FALSE)</f>
        <v>4.0999999999999996</v>
      </c>
      <c r="G18" s="251">
        <f>VLOOKUP(B21,Guide,7,FALSE)</f>
        <v>80</v>
      </c>
      <c r="H18" s="257">
        <f>VLOOKUP(B21,Guide,8,FALSE)</f>
        <v>0</v>
      </c>
      <c r="I18" s="259">
        <f>VLOOKUP(B21,Guide,9,FALSE)</f>
        <v>999</v>
      </c>
      <c r="J18" s="253">
        <f>VLOOKUP(B21,Guide,10,FALSE)</f>
        <v>10000</v>
      </c>
      <c r="K18" s="255">
        <f>VLOOKUP(B21,Guide,11,FALSE)</f>
        <v>1500000</v>
      </c>
      <c r="L18" s="263" t="str">
        <f>VLOOKUP(B21,Guide,12,FALSE)</f>
        <v>N/A</v>
      </c>
    </row>
    <row r="19" spans="2:15" ht="10.5" customHeight="1">
      <c r="B19" s="242"/>
      <c r="C19" s="243"/>
      <c r="D19" s="245"/>
      <c r="E19" s="247"/>
      <c r="F19" s="249"/>
      <c r="G19" s="251"/>
      <c r="H19" s="257"/>
      <c r="I19" s="259"/>
      <c r="J19" s="253"/>
      <c r="K19" s="255"/>
      <c r="L19" s="263"/>
    </row>
    <row r="20" spans="2:15" ht="16.5" customHeight="1">
      <c r="B20" s="242"/>
      <c r="C20" s="243"/>
      <c r="D20" s="245"/>
      <c r="E20" s="247"/>
      <c r="F20" s="249"/>
      <c r="G20" s="251"/>
      <c r="H20" s="257"/>
      <c r="I20" s="259"/>
      <c r="J20" s="253"/>
      <c r="K20" s="255"/>
      <c r="L20" s="263"/>
    </row>
    <row r="21" spans="2:15" ht="50.45" customHeight="1">
      <c r="B21" s="261" t="s">
        <v>369</v>
      </c>
      <c r="C21" s="243"/>
      <c r="D21" s="245"/>
      <c r="E21" s="247"/>
      <c r="F21" s="249"/>
      <c r="G21" s="251"/>
      <c r="H21" s="257"/>
      <c r="I21" s="259"/>
      <c r="J21" s="253"/>
      <c r="K21" s="255"/>
      <c r="L21" s="263"/>
    </row>
    <row r="22" spans="2:15" ht="57.6" customHeight="1" thickBot="1">
      <c r="B22" s="262"/>
      <c r="C22" s="244"/>
      <c r="D22" s="246"/>
      <c r="E22" s="248"/>
      <c r="F22" s="250"/>
      <c r="G22" s="252"/>
      <c r="H22" s="258"/>
      <c r="I22" s="260"/>
      <c r="J22" s="254"/>
      <c r="K22" s="256"/>
      <c r="L22" s="264"/>
    </row>
    <row r="23" spans="2:15" ht="18.75">
      <c r="B23" s="82" t="s">
        <v>370</v>
      </c>
      <c r="C23" s="83"/>
      <c r="D23" s="125"/>
      <c r="E23" s="83"/>
      <c r="F23" s="83"/>
      <c r="G23" s="83"/>
      <c r="H23" s="83"/>
      <c r="I23" s="83"/>
      <c r="J23" s="83"/>
      <c r="K23" s="83"/>
      <c r="L23" s="83"/>
    </row>
    <row r="24" spans="2:15" ht="33" customHeight="1">
      <c r="B24" s="242" t="str">
        <f>VLOOKUP(B27,Guide,2,FALSE)</f>
        <v>2 Year Discounted Rate - Repayment</v>
      </c>
      <c r="C24" s="243" t="str">
        <f>VLOOKUP(B27,Guide,3,FALSE)</f>
        <v>1.5%</v>
      </c>
      <c r="D24" s="245">
        <f>VLOOKUP(B27,Guide,4,FALSE)</f>
        <v>45504</v>
      </c>
      <c r="E24" s="247" t="str">
        <f>VLOOKUP(B27,Guide,5,FALSE)</f>
        <v>1% of amount repaid</v>
      </c>
      <c r="F24" s="249">
        <f>VLOOKUP(B27,Guide,6,FALSE)</f>
        <v>3.7</v>
      </c>
      <c r="G24" s="251">
        <f>VLOOKUP(B27,Guide,7,FALSE)</f>
        <v>85</v>
      </c>
      <c r="H24" s="257">
        <f>VLOOKUP(B27,Guide,8,FALSE)</f>
        <v>0</v>
      </c>
      <c r="I24" s="259">
        <f>VLOOKUP(B27,Guide,9,FALSE)</f>
        <v>999</v>
      </c>
      <c r="J24" s="253">
        <f>VLOOKUP(B27,Guide,10,FALSE)</f>
        <v>30000</v>
      </c>
      <c r="K24" s="255">
        <f>VLOOKUP(B27,Guide,11,FALSE)</f>
        <v>750000</v>
      </c>
      <c r="L24" s="263" t="str">
        <f>VLOOKUP(B27,Guide,12,FALSE)</f>
        <v>Increased Overpayments Permitted (10% per annum)</v>
      </c>
    </row>
    <row r="25" spans="2:15" ht="15.75" customHeight="1">
      <c r="B25" s="242"/>
      <c r="C25" s="243"/>
      <c r="D25" s="245"/>
      <c r="E25" s="247"/>
      <c r="F25" s="249"/>
      <c r="G25" s="251"/>
      <c r="H25" s="257"/>
      <c r="I25" s="259"/>
      <c r="J25" s="253"/>
      <c r="K25" s="255"/>
      <c r="L25" s="263"/>
      <c r="O25" s="73" t="s">
        <v>32</v>
      </c>
    </row>
    <row r="26" spans="2:15" ht="21" customHeight="1">
      <c r="B26" s="242"/>
      <c r="C26" s="243"/>
      <c r="D26" s="245"/>
      <c r="E26" s="247"/>
      <c r="F26" s="249"/>
      <c r="G26" s="251"/>
      <c r="H26" s="257"/>
      <c r="I26" s="259"/>
      <c r="J26" s="253"/>
      <c r="K26" s="255"/>
      <c r="L26" s="263"/>
    </row>
    <row r="27" spans="2:15" ht="36" customHeight="1">
      <c r="B27" s="261" t="s">
        <v>371</v>
      </c>
      <c r="C27" s="243"/>
      <c r="D27" s="245"/>
      <c r="E27" s="247"/>
      <c r="F27" s="249"/>
      <c r="G27" s="251"/>
      <c r="H27" s="257"/>
      <c r="I27" s="259"/>
      <c r="J27" s="253"/>
      <c r="K27" s="255"/>
      <c r="L27" s="263"/>
    </row>
    <row r="28" spans="2:15" ht="41.25" customHeight="1" thickBot="1">
      <c r="B28" s="262"/>
      <c r="C28" s="244"/>
      <c r="D28" s="246"/>
      <c r="E28" s="248"/>
      <c r="F28" s="250"/>
      <c r="G28" s="252"/>
      <c r="H28" s="258"/>
      <c r="I28" s="260"/>
      <c r="J28" s="254"/>
      <c r="K28" s="256"/>
      <c r="L28" s="264"/>
    </row>
    <row r="29" spans="2:15" ht="18.75">
      <c r="B29" s="82" t="s">
        <v>372</v>
      </c>
      <c r="C29" s="83"/>
      <c r="D29" s="125"/>
      <c r="E29" s="83"/>
      <c r="F29" s="83"/>
      <c r="G29" s="83"/>
      <c r="H29" s="83"/>
      <c r="I29" s="83"/>
      <c r="J29" s="83"/>
      <c r="K29" s="83"/>
      <c r="L29" s="83"/>
    </row>
    <row r="30" spans="2:15" ht="15.75" customHeight="1">
      <c r="B30" s="242" t="str">
        <f>VLOOKUP(B33,Guide,2,FALSE)</f>
        <v>5 Year Fixed Rate  - Repayment</v>
      </c>
      <c r="C30" s="243" t="str">
        <f>VLOOKUP(B33,Guide,3,FALSE)</f>
        <v>2.75%</v>
      </c>
      <c r="D30" s="245">
        <f>VLOOKUP(B33,Guide,4,FALSE)</f>
        <v>46599</v>
      </c>
      <c r="E30" s="247" t="str">
        <f>VLOOKUP(B33,Guide,5,FALSE)</f>
        <v>5%, 4%, 3%, 2%, 1% of amount repaid</v>
      </c>
      <c r="F30" s="249">
        <f>VLOOKUP(B33,Guide,6,FALSE)</f>
        <v>3.6</v>
      </c>
      <c r="G30" s="251">
        <f>VLOOKUP(B33,Guide,7,FALSE)</f>
        <v>85</v>
      </c>
      <c r="H30" s="257">
        <f>VLOOKUP(B33,Guide,8,FALSE)</f>
        <v>0</v>
      </c>
      <c r="I30" s="259">
        <f>VLOOKUP(B33,Guide,9,FALSE)</f>
        <v>0</v>
      </c>
      <c r="J30" s="253">
        <f>VLOOKUP(B33,Guide,10,FALSE)</f>
        <v>50000</v>
      </c>
      <c r="K30" s="255">
        <f>VLOOKUP(B33,Guide,11,FALSE)</f>
        <v>750000</v>
      </c>
      <c r="L30" s="263" t="str">
        <f>VLOOKUP(B33,Guide,12,FALSE)</f>
        <v>£500 Cashback 
Free Standard Valuation up to £500,000
Increased Overpayments Permitted (10% per annum)</v>
      </c>
    </row>
    <row r="31" spans="2:15" ht="27" customHeight="1">
      <c r="B31" s="242"/>
      <c r="C31" s="243"/>
      <c r="D31" s="245"/>
      <c r="E31" s="247"/>
      <c r="F31" s="249"/>
      <c r="G31" s="251"/>
      <c r="H31" s="257"/>
      <c r="I31" s="259"/>
      <c r="J31" s="253"/>
      <c r="K31" s="255"/>
      <c r="L31" s="263"/>
    </row>
    <row r="32" spans="2:15" ht="46.5" customHeight="1">
      <c r="B32" s="242"/>
      <c r="C32" s="243"/>
      <c r="D32" s="245"/>
      <c r="E32" s="247"/>
      <c r="F32" s="249"/>
      <c r="G32" s="251"/>
      <c r="H32" s="257"/>
      <c r="I32" s="259"/>
      <c r="J32" s="253"/>
      <c r="K32" s="255"/>
      <c r="L32" s="263"/>
    </row>
    <row r="33" spans="2:12" ht="40.5" customHeight="1">
      <c r="B33" s="261" t="s">
        <v>373</v>
      </c>
      <c r="C33" s="243"/>
      <c r="D33" s="245"/>
      <c r="E33" s="247"/>
      <c r="F33" s="249"/>
      <c r="G33" s="251"/>
      <c r="H33" s="257"/>
      <c r="I33" s="259"/>
      <c r="J33" s="253"/>
      <c r="K33" s="255"/>
      <c r="L33" s="263"/>
    </row>
    <row r="34" spans="2:12" ht="40.5" customHeight="1" thickBot="1">
      <c r="B34" s="262"/>
      <c r="C34" s="244"/>
      <c r="D34" s="246"/>
      <c r="E34" s="248"/>
      <c r="F34" s="250"/>
      <c r="G34" s="252"/>
      <c r="H34" s="258"/>
      <c r="I34" s="260"/>
      <c r="J34" s="254"/>
      <c r="K34" s="256"/>
      <c r="L34" s="264"/>
    </row>
    <row r="35" spans="2:12" ht="15.75" customHeight="1">
      <c r="B35" s="84" t="s">
        <v>374</v>
      </c>
      <c r="C35" s="85"/>
      <c r="D35" s="126"/>
      <c r="E35" s="85"/>
      <c r="F35" s="85"/>
      <c r="G35" s="85"/>
      <c r="H35" s="85"/>
      <c r="I35" s="85"/>
      <c r="J35" s="85"/>
      <c r="K35" s="85"/>
      <c r="L35" s="85"/>
    </row>
    <row r="36" spans="2:12" ht="21.75" customHeight="1">
      <c r="B36" s="265" t="s">
        <v>375</v>
      </c>
      <c r="C36" s="265"/>
      <c r="D36" s="265"/>
      <c r="E36" s="265"/>
      <c r="F36" s="265"/>
      <c r="G36" s="265"/>
      <c r="H36" s="265"/>
      <c r="I36" s="265"/>
      <c r="J36" s="265"/>
      <c r="K36" s="265"/>
      <c r="L36" s="265"/>
    </row>
    <row r="37" spans="2:12" ht="21.75" customHeight="1">
      <c r="B37" s="266" t="s">
        <v>376</v>
      </c>
      <c r="C37" s="266"/>
      <c r="D37" s="266"/>
      <c r="E37" s="266"/>
      <c r="F37" s="266"/>
      <c r="G37" s="266"/>
      <c r="H37" s="266"/>
      <c r="I37" s="266"/>
      <c r="J37" s="266"/>
      <c r="K37" s="266"/>
      <c r="L37" s="266"/>
    </row>
    <row r="38" spans="2:12" ht="15.75" customHeight="1">
      <c r="B38" s="86"/>
      <c r="C38" s="87"/>
      <c r="D38" s="127"/>
      <c r="E38" s="87"/>
      <c r="F38" s="87"/>
      <c r="G38" s="87"/>
      <c r="H38" s="87"/>
      <c r="I38" s="87"/>
      <c r="J38" s="87"/>
      <c r="K38" s="87"/>
      <c r="L38" s="87"/>
    </row>
    <row r="39" spans="2:12" ht="7.5" customHeight="1">
      <c r="B39" s="76"/>
      <c r="C39" s="77"/>
      <c r="D39" s="123"/>
      <c r="E39" s="77"/>
      <c r="F39" s="77"/>
      <c r="G39" s="77"/>
      <c r="H39" s="77"/>
      <c r="I39" s="77"/>
      <c r="J39" s="77"/>
      <c r="K39" s="77"/>
      <c r="L39" s="77"/>
    </row>
    <row r="40" spans="2:12" ht="77.25" customHeight="1">
      <c r="B40" s="78" t="s">
        <v>356</v>
      </c>
      <c r="C40" s="79" t="s">
        <v>357</v>
      </c>
      <c r="D40" s="124" t="s">
        <v>358</v>
      </c>
      <c r="E40" s="80" t="s">
        <v>359</v>
      </c>
      <c r="F40" s="80" t="s">
        <v>377</v>
      </c>
      <c r="G40" s="80" t="s">
        <v>378</v>
      </c>
      <c r="H40" s="80" t="s">
        <v>362</v>
      </c>
      <c r="I40" s="80" t="s">
        <v>363</v>
      </c>
      <c r="J40" s="80" t="s">
        <v>364</v>
      </c>
      <c r="K40" s="80" t="s">
        <v>365</v>
      </c>
      <c r="L40" s="81" t="s">
        <v>19</v>
      </c>
    </row>
    <row r="41" spans="2:12" ht="23.1" customHeight="1">
      <c r="B41" s="82" t="s">
        <v>379</v>
      </c>
      <c r="C41" s="83"/>
      <c r="D41" s="125"/>
      <c r="E41" s="83"/>
      <c r="F41" s="83"/>
      <c r="G41" s="83"/>
      <c r="H41" s="83"/>
      <c r="I41" s="83"/>
      <c r="J41" s="83"/>
      <c r="K41" s="83"/>
      <c r="L41" s="83"/>
    </row>
    <row r="42" spans="2:12" ht="21" customHeight="1">
      <c r="B42" s="242" t="str">
        <f>VLOOKUP(B45,Guide,2,FALSE)</f>
        <v>2 Year Discounted Rate - Repayment</v>
      </c>
      <c r="C42" s="243" t="str">
        <f>VLOOKUP(B45,Guide,3,FALSE)</f>
        <v>1.8%</v>
      </c>
      <c r="D42" s="245">
        <f>VLOOKUP(B45,Guide,4,FALSE)</f>
        <v>45504</v>
      </c>
      <c r="E42" s="247" t="str">
        <f>VLOOKUP(B45,Guide,5,FALSE)</f>
        <v>1% of amount repaid</v>
      </c>
      <c r="F42" s="249">
        <f>VLOOKUP(B45,Guide,6,FALSE)</f>
        <v>3.7</v>
      </c>
      <c r="G42" s="251">
        <f>VLOOKUP(B45,Guide,7,FALSE)</f>
        <v>90</v>
      </c>
      <c r="H42" s="257">
        <f>VLOOKUP(B45,Guide,8,FALSE)</f>
        <v>0</v>
      </c>
      <c r="I42" s="259">
        <f>VLOOKUP(B45,Guide,9,FALSE)</f>
        <v>999</v>
      </c>
      <c r="J42" s="253">
        <f>VLOOKUP(B45,Guide,10,FALSE)</f>
        <v>30000</v>
      </c>
      <c r="K42" s="255">
        <f>VLOOKUP(B45,Guide,11,FALSE)</f>
        <v>750000</v>
      </c>
      <c r="L42" s="263" t="str">
        <f>VLOOKUP(B45,Guide,12,FALSE)</f>
        <v>Increased Overpayments Permitted (10% per annum)</v>
      </c>
    </row>
    <row r="43" spans="2:12" ht="15.75" customHeight="1">
      <c r="B43" s="242"/>
      <c r="C43" s="243"/>
      <c r="D43" s="245"/>
      <c r="E43" s="247"/>
      <c r="F43" s="249"/>
      <c r="G43" s="251"/>
      <c r="H43" s="257"/>
      <c r="I43" s="259"/>
      <c r="J43" s="253"/>
      <c r="K43" s="255"/>
      <c r="L43" s="263"/>
    </row>
    <row r="44" spans="2:12" ht="21.75" customHeight="1">
      <c r="B44" s="242"/>
      <c r="C44" s="243"/>
      <c r="D44" s="245"/>
      <c r="E44" s="247"/>
      <c r="F44" s="249"/>
      <c r="G44" s="251"/>
      <c r="H44" s="257"/>
      <c r="I44" s="259"/>
      <c r="J44" s="253"/>
      <c r="K44" s="255"/>
      <c r="L44" s="263"/>
    </row>
    <row r="45" spans="2:12" ht="36" customHeight="1">
      <c r="B45" s="261" t="s">
        <v>380</v>
      </c>
      <c r="C45" s="243"/>
      <c r="D45" s="245"/>
      <c r="E45" s="247"/>
      <c r="F45" s="249"/>
      <c r="G45" s="251"/>
      <c r="H45" s="257"/>
      <c r="I45" s="259"/>
      <c r="J45" s="253"/>
      <c r="K45" s="255"/>
      <c r="L45" s="263"/>
    </row>
    <row r="46" spans="2:12" ht="48.75" customHeight="1" thickBot="1">
      <c r="B46" s="262"/>
      <c r="C46" s="244"/>
      <c r="D46" s="246"/>
      <c r="E46" s="248"/>
      <c r="F46" s="250"/>
      <c r="G46" s="252"/>
      <c r="H46" s="258"/>
      <c r="I46" s="260"/>
      <c r="J46" s="254"/>
      <c r="K46" s="256"/>
      <c r="L46" s="264"/>
    </row>
    <row r="47" spans="2:12" ht="21" customHeight="1">
      <c r="B47" s="242" t="str">
        <f>VLOOKUP(B50,Guide,2,FALSE)</f>
        <v>2 Year Fixed Rate  - Repayment</v>
      </c>
      <c r="C47" s="243" t="str">
        <f>VLOOKUP(B50,Guide,3,FALSE)</f>
        <v>2.3%</v>
      </c>
      <c r="D47" s="245">
        <f>VLOOKUP(B50,Guide,4,FALSE)</f>
        <v>45504</v>
      </c>
      <c r="E47" s="247" t="str">
        <f>VLOOKUP(B50,Guide,5,FALSE)</f>
        <v>2%, 1% of amount repaid</v>
      </c>
      <c r="F47" s="249">
        <f>VLOOKUP(B50,Guide,6,FALSE)</f>
        <v>3.8</v>
      </c>
      <c r="G47" s="251">
        <f>VLOOKUP(B50,Guide,7,FALSE)</f>
        <v>90</v>
      </c>
      <c r="H47" s="257">
        <f>VLOOKUP(B50,Guide,8,FALSE)</f>
        <v>0</v>
      </c>
      <c r="I47" s="259">
        <f>VLOOKUP(B50,Guide,9,FALSE)</f>
        <v>999</v>
      </c>
      <c r="J47" s="253">
        <f>VLOOKUP(B50,Guide,10,FALSE)</f>
        <v>30000</v>
      </c>
      <c r="K47" s="255">
        <f>VLOOKUP(B50,Guide,11,FALSE)</f>
        <v>750000</v>
      </c>
      <c r="L47" s="263" t="str">
        <f>VLOOKUP(B50,Guide,12,FALSE)</f>
        <v>Increased Overpayments Permitted (10% per annum)</v>
      </c>
    </row>
    <row r="48" spans="2:12" ht="15.75" customHeight="1">
      <c r="B48" s="242"/>
      <c r="C48" s="243"/>
      <c r="D48" s="245"/>
      <c r="E48" s="247"/>
      <c r="F48" s="249"/>
      <c r="G48" s="251"/>
      <c r="H48" s="257"/>
      <c r="I48" s="259"/>
      <c r="J48" s="253"/>
      <c r="K48" s="255"/>
      <c r="L48" s="263"/>
    </row>
    <row r="49" spans="2:12" ht="21.75" customHeight="1">
      <c r="B49" s="242"/>
      <c r="C49" s="243"/>
      <c r="D49" s="245"/>
      <c r="E49" s="247"/>
      <c r="F49" s="249"/>
      <c r="G49" s="251"/>
      <c r="H49" s="257"/>
      <c r="I49" s="259"/>
      <c r="J49" s="253"/>
      <c r="K49" s="255"/>
      <c r="L49" s="263"/>
    </row>
    <row r="50" spans="2:12" ht="36" customHeight="1">
      <c r="B50" s="261" t="s">
        <v>381</v>
      </c>
      <c r="C50" s="243"/>
      <c r="D50" s="245"/>
      <c r="E50" s="247"/>
      <c r="F50" s="249"/>
      <c r="G50" s="251"/>
      <c r="H50" s="257"/>
      <c r="I50" s="259"/>
      <c r="J50" s="253"/>
      <c r="K50" s="255"/>
      <c r="L50" s="263"/>
    </row>
    <row r="51" spans="2:12" ht="48.75" customHeight="1" thickBot="1">
      <c r="B51" s="262"/>
      <c r="C51" s="244"/>
      <c r="D51" s="246"/>
      <c r="E51" s="248"/>
      <c r="F51" s="250"/>
      <c r="G51" s="252"/>
      <c r="H51" s="258"/>
      <c r="I51" s="260"/>
      <c r="J51" s="254"/>
      <c r="K51" s="256"/>
      <c r="L51" s="264"/>
    </row>
    <row r="52" spans="2:12" ht="23.1" customHeight="1">
      <c r="B52" s="82" t="s">
        <v>382</v>
      </c>
      <c r="C52" s="83"/>
      <c r="D52" s="125"/>
      <c r="E52" s="83"/>
      <c r="F52" s="83"/>
      <c r="G52" s="83"/>
      <c r="H52" s="83"/>
      <c r="I52" s="83"/>
      <c r="J52" s="83"/>
      <c r="K52" s="83"/>
      <c r="L52" s="83"/>
    </row>
    <row r="53" spans="2:12" ht="21" customHeight="1">
      <c r="B53" s="242" t="str">
        <f>VLOOKUP(B56,Guide,2,FALSE)</f>
        <v>5 Year Fixed Rate  - Repayment</v>
      </c>
      <c r="C53" s="243" t="str">
        <f>VLOOKUP(B56,Guide,3,FALSE)</f>
        <v>2.75%</v>
      </c>
      <c r="D53" s="245">
        <f>VLOOKUP(B56,Guide,4,FALSE)</f>
        <v>46599</v>
      </c>
      <c r="E53" s="247" t="str">
        <f>VLOOKUP(B56,Guide,5,FALSE)</f>
        <v>5%, 4%, 3%, 2%, 1% of amount repaid</v>
      </c>
      <c r="F53" s="249">
        <f>VLOOKUP(B56,Guide,6,FALSE)</f>
        <v>3.6</v>
      </c>
      <c r="G53" s="251">
        <f>VLOOKUP(B56,Guide,7,FALSE)</f>
        <v>90</v>
      </c>
      <c r="H53" s="257">
        <f>VLOOKUP(B56,Guide,8,FALSE)</f>
        <v>0</v>
      </c>
      <c r="I53" s="259">
        <f>VLOOKUP(B56,Guide,9,FALSE)</f>
        <v>999</v>
      </c>
      <c r="J53" s="253">
        <f>VLOOKUP(B56,Guide,10,FALSE)</f>
        <v>30000</v>
      </c>
      <c r="K53" s="255">
        <f>VLOOKUP(B56,Guide,11,FALSE)</f>
        <v>750000</v>
      </c>
      <c r="L53" s="263" t="str">
        <f>VLOOKUP(B56,Guide,12,FALSE)</f>
        <v>Increased Overpayments Permitted (10% per annum)</v>
      </c>
    </row>
    <row r="54" spans="2:12" ht="15.75" customHeight="1">
      <c r="B54" s="242"/>
      <c r="C54" s="243"/>
      <c r="D54" s="245"/>
      <c r="E54" s="247"/>
      <c r="F54" s="249"/>
      <c r="G54" s="251"/>
      <c r="H54" s="257"/>
      <c r="I54" s="259"/>
      <c r="J54" s="253"/>
      <c r="K54" s="255"/>
      <c r="L54" s="263"/>
    </row>
    <row r="55" spans="2:12" ht="21.75" customHeight="1">
      <c r="B55" s="242"/>
      <c r="C55" s="243"/>
      <c r="D55" s="245"/>
      <c r="E55" s="247"/>
      <c r="F55" s="249"/>
      <c r="G55" s="251"/>
      <c r="H55" s="257"/>
      <c r="I55" s="259"/>
      <c r="J55" s="253"/>
      <c r="K55" s="255"/>
      <c r="L55" s="263"/>
    </row>
    <row r="56" spans="2:12" ht="36" customHeight="1">
      <c r="B56" s="261" t="s">
        <v>383</v>
      </c>
      <c r="C56" s="243"/>
      <c r="D56" s="245"/>
      <c r="E56" s="247"/>
      <c r="F56" s="249"/>
      <c r="G56" s="251"/>
      <c r="H56" s="257"/>
      <c r="I56" s="259"/>
      <c r="J56" s="253"/>
      <c r="K56" s="255"/>
      <c r="L56" s="263"/>
    </row>
    <row r="57" spans="2:12" ht="48.75" customHeight="1">
      <c r="B57" s="262"/>
      <c r="C57" s="244"/>
      <c r="D57" s="246"/>
      <c r="E57" s="248"/>
      <c r="F57" s="250"/>
      <c r="G57" s="252"/>
      <c r="H57" s="258"/>
      <c r="I57" s="260"/>
      <c r="J57" s="254"/>
      <c r="K57" s="256"/>
      <c r="L57" s="264"/>
    </row>
    <row r="58" spans="2:12" ht="23.1" customHeight="1">
      <c r="B58" s="82" t="s">
        <v>384</v>
      </c>
      <c r="C58" s="83"/>
      <c r="D58" s="125"/>
      <c r="E58" s="83"/>
      <c r="F58" s="83"/>
      <c r="G58" s="83"/>
      <c r="H58" s="83"/>
      <c r="I58" s="83"/>
      <c r="J58" s="83"/>
      <c r="K58" s="83"/>
      <c r="L58" s="83"/>
    </row>
    <row r="59" spans="2:12" ht="21" customHeight="1">
      <c r="B59" s="242" t="str">
        <f>VLOOKUP(B62,Guide,2,FALSE)</f>
        <v>2 Year Discounted Rate - Repayment</v>
      </c>
      <c r="C59" s="243" t="str">
        <f>VLOOKUP(B62,Guide,3,FALSE)</f>
        <v>2.35%</v>
      </c>
      <c r="D59" s="245">
        <f>VLOOKUP(B62,Guide,4,FALSE)</f>
        <v>45504</v>
      </c>
      <c r="E59" s="247" t="str">
        <f>VLOOKUP(B62,Guide,5,FALSE)</f>
        <v>1% of amount repaid</v>
      </c>
      <c r="F59" s="249">
        <f>VLOOKUP(B62,Guide,6,FALSE)</f>
        <v>3.8</v>
      </c>
      <c r="G59" s="251">
        <f>VLOOKUP(B62,Guide,7,FALSE)</f>
        <v>95</v>
      </c>
      <c r="H59" s="257">
        <f>VLOOKUP(B62,Guide,8,FALSE)</f>
        <v>0</v>
      </c>
      <c r="I59" s="259">
        <f>VLOOKUP(B62,Guide,9,FALSE)</f>
        <v>999</v>
      </c>
      <c r="J59" s="253">
        <f>VLOOKUP(B62,Guide,10,FALSE)</f>
        <v>30000</v>
      </c>
      <c r="K59" s="255">
        <f>VLOOKUP(B62,Guide,11,FALSE)</f>
        <v>500000</v>
      </c>
      <c r="L59" s="263" t="str">
        <f>VLOOKUP(B62,Guide,12,FALSE)</f>
        <v>Increased Overpayments Permitted (10% per annum)</v>
      </c>
    </row>
    <row r="60" spans="2:12" ht="15.75" customHeight="1">
      <c r="B60" s="242"/>
      <c r="C60" s="243"/>
      <c r="D60" s="245"/>
      <c r="E60" s="247"/>
      <c r="F60" s="249"/>
      <c r="G60" s="251"/>
      <c r="H60" s="257"/>
      <c r="I60" s="259"/>
      <c r="J60" s="253"/>
      <c r="K60" s="255"/>
      <c r="L60" s="263"/>
    </row>
    <row r="61" spans="2:12" ht="21.75" customHeight="1">
      <c r="B61" s="242"/>
      <c r="C61" s="243"/>
      <c r="D61" s="245"/>
      <c r="E61" s="247"/>
      <c r="F61" s="249"/>
      <c r="G61" s="251"/>
      <c r="H61" s="257"/>
      <c r="I61" s="259"/>
      <c r="J61" s="253"/>
      <c r="K61" s="255"/>
      <c r="L61" s="263"/>
    </row>
    <row r="62" spans="2:12" ht="39.950000000000003" customHeight="1">
      <c r="B62" s="261" t="s">
        <v>385</v>
      </c>
      <c r="C62" s="243"/>
      <c r="D62" s="245"/>
      <c r="E62" s="247"/>
      <c r="F62" s="249"/>
      <c r="G62" s="251"/>
      <c r="H62" s="257"/>
      <c r="I62" s="259"/>
      <c r="J62" s="253"/>
      <c r="K62" s="255"/>
      <c r="L62" s="263"/>
    </row>
    <row r="63" spans="2:12" ht="30.6" customHeight="1" thickBot="1">
      <c r="B63" s="262"/>
      <c r="C63" s="244"/>
      <c r="D63" s="246"/>
      <c r="E63" s="248"/>
      <c r="F63" s="250"/>
      <c r="G63" s="252"/>
      <c r="H63" s="258"/>
      <c r="I63" s="260"/>
      <c r="J63" s="254"/>
      <c r="K63" s="256"/>
      <c r="L63" s="264"/>
    </row>
    <row r="64" spans="2:12" ht="21" customHeight="1">
      <c r="B64" s="242" t="str">
        <f>VLOOKUP(B67,Guide,2,FALSE)</f>
        <v>2 Year Fixed Rate  - Repayment</v>
      </c>
      <c r="C64" s="243" t="str">
        <f>VLOOKUP(B67,Guide,3,FALSE)</f>
        <v>2.45%</v>
      </c>
      <c r="D64" s="245">
        <f>VLOOKUP(B67,Guide,4,FALSE)</f>
        <v>45504</v>
      </c>
      <c r="E64" s="247" t="str">
        <f>VLOOKUP(B67,Guide,5,FALSE)</f>
        <v>2%, 1% of amount repaid</v>
      </c>
      <c r="F64" s="249">
        <f>VLOOKUP(B67,Guide,6,FALSE)</f>
        <v>3.8</v>
      </c>
      <c r="G64" s="251">
        <f>VLOOKUP(B67,Guide,7,FALSE)</f>
        <v>95</v>
      </c>
      <c r="H64" s="257">
        <f>VLOOKUP(B67,Guide,8,FALSE)</f>
        <v>0</v>
      </c>
      <c r="I64" s="259">
        <f>VLOOKUP(B67,Guide,9,FALSE)</f>
        <v>999</v>
      </c>
      <c r="J64" s="253">
        <f>VLOOKUP(B67,Guide,10,FALSE)</f>
        <v>30000</v>
      </c>
      <c r="K64" s="255">
        <f>VLOOKUP(B67,Guide,11,FALSE)</f>
        <v>500000</v>
      </c>
      <c r="L64" s="263" t="str">
        <f>VLOOKUP(B67,Guide,12,FALSE)</f>
        <v>Increased Overpayments Permitted (10% per annum)</v>
      </c>
    </row>
    <row r="65" spans="2:12" ht="15.75" customHeight="1">
      <c r="B65" s="242"/>
      <c r="C65" s="243"/>
      <c r="D65" s="245"/>
      <c r="E65" s="247"/>
      <c r="F65" s="249"/>
      <c r="G65" s="251"/>
      <c r="H65" s="257"/>
      <c r="I65" s="259"/>
      <c r="J65" s="253"/>
      <c r="K65" s="255"/>
      <c r="L65" s="263"/>
    </row>
    <row r="66" spans="2:12" ht="15.75" customHeight="1">
      <c r="B66" s="242"/>
      <c r="C66" s="243"/>
      <c r="D66" s="245"/>
      <c r="E66" s="247"/>
      <c r="F66" s="249"/>
      <c r="G66" s="251"/>
      <c r="H66" s="257"/>
      <c r="I66" s="259"/>
      <c r="J66" s="253"/>
      <c r="K66" s="255"/>
      <c r="L66" s="263"/>
    </row>
    <row r="67" spans="2:12" ht="39" customHeight="1">
      <c r="B67" s="261" t="s">
        <v>386</v>
      </c>
      <c r="C67" s="243"/>
      <c r="D67" s="245"/>
      <c r="E67" s="247"/>
      <c r="F67" s="249"/>
      <c r="G67" s="251"/>
      <c r="H67" s="257"/>
      <c r="I67" s="259"/>
      <c r="J67" s="253"/>
      <c r="K67" s="255"/>
      <c r="L67" s="263"/>
    </row>
    <row r="68" spans="2:12" ht="48.75" customHeight="1" thickBot="1">
      <c r="B68" s="262"/>
      <c r="C68" s="244"/>
      <c r="D68" s="246"/>
      <c r="E68" s="248"/>
      <c r="F68" s="250"/>
      <c r="G68" s="252"/>
      <c r="H68" s="258"/>
      <c r="I68" s="260"/>
      <c r="J68" s="254"/>
      <c r="K68" s="256"/>
      <c r="L68" s="264"/>
    </row>
    <row r="69" spans="2:12" ht="21" customHeight="1">
      <c r="B69" s="242" t="str">
        <f>VLOOKUP(B72,Guide,2,FALSE)</f>
        <v>2 Year Fixed Rate  - Repayment</v>
      </c>
      <c r="C69" s="243" t="str">
        <f>VLOOKUP(B72,Guide,3,FALSE)</f>
        <v>2.79%</v>
      </c>
      <c r="D69" s="245">
        <f>VLOOKUP(B72,Guide,4,FALSE)</f>
        <v>45504</v>
      </c>
      <c r="E69" s="247" t="str">
        <f>VLOOKUP(B72,Guide,5,FALSE)</f>
        <v>2%, 1% of amount repaid</v>
      </c>
      <c r="F69" s="249">
        <f>VLOOKUP(B72,Guide,6,FALSE)</f>
        <v>3.8</v>
      </c>
      <c r="G69" s="251">
        <f>VLOOKUP(B72,Guide,7,FALSE)</f>
        <v>95</v>
      </c>
      <c r="H69" s="257">
        <f>VLOOKUP(B72,Guide,8,FALSE)</f>
        <v>0</v>
      </c>
      <c r="I69" s="259">
        <f>VLOOKUP(B72,Guide,9,FALSE)</f>
        <v>0</v>
      </c>
      <c r="J69" s="253">
        <f>VLOOKUP(B72,Guide,10,FALSE)</f>
        <v>50000</v>
      </c>
      <c r="K69" s="255">
        <f>VLOOKUP(B72,Guide,11,FALSE)</f>
        <v>500000</v>
      </c>
      <c r="L69" s="263" t="str">
        <f>VLOOKUP(B72,Guide,12,FALSE)</f>
        <v>£500 Cashback 
Free Standard Valuation up to £500,000
Increased Overpayments Permitted (10% per annum)</v>
      </c>
    </row>
    <row r="70" spans="2:12" ht="15.75" customHeight="1">
      <c r="B70" s="242"/>
      <c r="C70" s="243"/>
      <c r="D70" s="245"/>
      <c r="E70" s="247"/>
      <c r="F70" s="249"/>
      <c r="G70" s="251"/>
      <c r="H70" s="257"/>
      <c r="I70" s="259"/>
      <c r="J70" s="253"/>
      <c r="K70" s="255"/>
      <c r="L70" s="263"/>
    </row>
    <row r="71" spans="2:12" ht="15.75" customHeight="1">
      <c r="B71" s="242"/>
      <c r="C71" s="243"/>
      <c r="D71" s="245"/>
      <c r="E71" s="247"/>
      <c r="F71" s="249"/>
      <c r="G71" s="251"/>
      <c r="H71" s="257"/>
      <c r="I71" s="259"/>
      <c r="J71" s="253"/>
      <c r="K71" s="255"/>
      <c r="L71" s="263"/>
    </row>
    <row r="72" spans="2:12" ht="39" customHeight="1">
      <c r="B72" s="261" t="s">
        <v>387</v>
      </c>
      <c r="C72" s="243"/>
      <c r="D72" s="245"/>
      <c r="E72" s="247"/>
      <c r="F72" s="249"/>
      <c r="G72" s="251"/>
      <c r="H72" s="257"/>
      <c r="I72" s="259"/>
      <c r="J72" s="253"/>
      <c r="K72" s="255"/>
      <c r="L72" s="263"/>
    </row>
    <row r="73" spans="2:12" ht="48.75" customHeight="1" thickBot="1">
      <c r="B73" s="262"/>
      <c r="C73" s="244"/>
      <c r="D73" s="246"/>
      <c r="E73" s="248"/>
      <c r="F73" s="250"/>
      <c r="G73" s="252"/>
      <c r="H73" s="258"/>
      <c r="I73" s="260"/>
      <c r="J73" s="254"/>
      <c r="K73" s="256"/>
      <c r="L73" s="264"/>
    </row>
    <row r="74" spans="2:12" ht="23.1" customHeight="1">
      <c r="B74" s="82" t="s">
        <v>388</v>
      </c>
      <c r="C74" s="83"/>
      <c r="D74" s="125"/>
      <c r="E74" s="83"/>
      <c r="F74" s="83"/>
      <c r="G74" s="83"/>
      <c r="H74" s="83"/>
      <c r="I74" s="83"/>
      <c r="J74" s="83"/>
      <c r="K74" s="83"/>
      <c r="L74" s="83"/>
    </row>
    <row r="75" spans="2:12" ht="21" customHeight="1">
      <c r="B75" s="242" t="str">
        <f>VLOOKUP(B78,Guide,2,FALSE)</f>
        <v>5 Year Fixed Rate  - Repayment</v>
      </c>
      <c r="C75" s="243" t="str">
        <f>VLOOKUP(B78,Guide,3,FALSE)</f>
        <v>2.85%</v>
      </c>
      <c r="D75" s="245">
        <f>VLOOKUP(B78,Guide,4,FALSE)</f>
        <v>46599</v>
      </c>
      <c r="E75" s="247" t="str">
        <f>VLOOKUP(B78,Guide,5,FALSE)</f>
        <v>5%, 4%, 3%, 2%, 1% of amount repaid</v>
      </c>
      <c r="F75" s="249">
        <f>VLOOKUP(B78,Guide,6,FALSE)</f>
        <v>3.7</v>
      </c>
      <c r="G75" s="251">
        <f>VLOOKUP(B78,Guide,7,FALSE)</f>
        <v>95</v>
      </c>
      <c r="H75" s="257">
        <f>VLOOKUP(B78,Guide,8,FALSE)</f>
        <v>0</v>
      </c>
      <c r="I75" s="259">
        <f>VLOOKUP(B78,Guide,9,FALSE)</f>
        <v>999</v>
      </c>
      <c r="J75" s="253">
        <f>VLOOKUP(B78,Guide,10,FALSE)</f>
        <v>30000</v>
      </c>
      <c r="K75" s="255">
        <f>VLOOKUP(B78,Guide,11,FALSE)</f>
        <v>500000</v>
      </c>
      <c r="L75" s="263" t="str">
        <f>VLOOKUP(B78,Guide,12,FALSE)</f>
        <v>Increased Overpayments Permitted (10% per annum)</v>
      </c>
    </row>
    <row r="76" spans="2:12" ht="15.75" customHeight="1">
      <c r="B76" s="242"/>
      <c r="C76" s="243"/>
      <c r="D76" s="245"/>
      <c r="E76" s="247"/>
      <c r="F76" s="249"/>
      <c r="G76" s="251"/>
      <c r="H76" s="257"/>
      <c r="I76" s="259"/>
      <c r="J76" s="253"/>
      <c r="K76" s="255"/>
      <c r="L76" s="263"/>
    </row>
    <row r="77" spans="2:12" ht="21.75" customHeight="1">
      <c r="B77" s="242"/>
      <c r="C77" s="243"/>
      <c r="D77" s="245"/>
      <c r="E77" s="247"/>
      <c r="F77" s="249"/>
      <c r="G77" s="251"/>
      <c r="H77" s="257"/>
      <c r="I77" s="259"/>
      <c r="J77" s="253"/>
      <c r="K77" s="255"/>
      <c r="L77" s="263"/>
    </row>
    <row r="78" spans="2:12" ht="36" customHeight="1">
      <c r="B78" s="261" t="s">
        <v>389</v>
      </c>
      <c r="C78" s="243"/>
      <c r="D78" s="245"/>
      <c r="E78" s="247"/>
      <c r="F78" s="249"/>
      <c r="G78" s="251"/>
      <c r="H78" s="257"/>
      <c r="I78" s="259"/>
      <c r="J78" s="253"/>
      <c r="K78" s="255"/>
      <c r="L78" s="263"/>
    </row>
    <row r="79" spans="2:12" ht="48.75" customHeight="1" thickBot="1">
      <c r="B79" s="262"/>
      <c r="C79" s="244"/>
      <c r="D79" s="246"/>
      <c r="E79" s="248"/>
      <c r="F79" s="250"/>
      <c r="G79" s="252"/>
      <c r="H79" s="258"/>
      <c r="I79" s="260"/>
      <c r="J79" s="254"/>
      <c r="K79" s="256"/>
      <c r="L79" s="264"/>
    </row>
    <row r="80" spans="2:12" ht="21" customHeight="1">
      <c r="B80" s="242" t="str">
        <f>VLOOKUP(B83,Guide,2,FALSE)</f>
        <v>5 Year Fixed Rate  - Repayment</v>
      </c>
      <c r="C80" s="243" t="str">
        <f>VLOOKUP(B83,Guide,3,FALSE)</f>
        <v>3.05%</v>
      </c>
      <c r="D80" s="245">
        <f>VLOOKUP(B83,Guide,4,FALSE)</f>
        <v>46599</v>
      </c>
      <c r="E80" s="247" t="str">
        <f>VLOOKUP(B83,Guide,5,FALSE)</f>
        <v>5%, 4%, 3%, 2%, 1% of amount repaid</v>
      </c>
      <c r="F80" s="249">
        <f>VLOOKUP(B83,Guide,6,FALSE)</f>
        <v>3.7</v>
      </c>
      <c r="G80" s="251">
        <f>VLOOKUP(B83,Guide,7,FALSE)</f>
        <v>95</v>
      </c>
      <c r="H80" s="257">
        <f>VLOOKUP(B83,Guide,8,FALSE)</f>
        <v>0</v>
      </c>
      <c r="I80" s="259">
        <f>VLOOKUP(B83,Guide,9,FALSE)</f>
        <v>0</v>
      </c>
      <c r="J80" s="253">
        <f>VLOOKUP(B83,Guide,10,FALSE)</f>
        <v>50000</v>
      </c>
      <c r="K80" s="255">
        <f>VLOOKUP(B83,Guide,11,FALSE)</f>
        <v>500000</v>
      </c>
      <c r="L80" s="263" t="str">
        <f>VLOOKUP(B83,Guide,12,FALSE)</f>
        <v>£500 Cashback 
Free Standard Valuation up to £500,000
Increased Overpayments Permitted (10% per annum)</v>
      </c>
    </row>
    <row r="81" spans="2:12" ht="15.75" customHeight="1">
      <c r="B81" s="242"/>
      <c r="C81" s="243"/>
      <c r="D81" s="245"/>
      <c r="E81" s="247"/>
      <c r="F81" s="249"/>
      <c r="G81" s="251"/>
      <c r="H81" s="257"/>
      <c r="I81" s="259"/>
      <c r="J81" s="253"/>
      <c r="K81" s="255"/>
      <c r="L81" s="263"/>
    </row>
    <row r="82" spans="2:12" ht="15.75" customHeight="1">
      <c r="B82" s="242"/>
      <c r="C82" s="243"/>
      <c r="D82" s="245"/>
      <c r="E82" s="247"/>
      <c r="F82" s="249"/>
      <c r="G82" s="251"/>
      <c r="H82" s="257"/>
      <c r="I82" s="259"/>
      <c r="J82" s="253"/>
      <c r="K82" s="255"/>
      <c r="L82" s="263"/>
    </row>
    <row r="83" spans="2:12" ht="39" customHeight="1">
      <c r="B83" s="261" t="s">
        <v>390</v>
      </c>
      <c r="C83" s="243"/>
      <c r="D83" s="245"/>
      <c r="E83" s="247"/>
      <c r="F83" s="249"/>
      <c r="G83" s="251"/>
      <c r="H83" s="257"/>
      <c r="I83" s="259"/>
      <c r="J83" s="253"/>
      <c r="K83" s="255"/>
      <c r="L83" s="263"/>
    </row>
    <row r="84" spans="2:12" ht="48.6" customHeight="1" thickBot="1">
      <c r="B84" s="262"/>
      <c r="C84" s="244"/>
      <c r="D84" s="246"/>
      <c r="E84" s="248"/>
      <c r="F84" s="250"/>
      <c r="G84" s="252"/>
      <c r="H84" s="258"/>
      <c r="I84" s="260"/>
      <c r="J84" s="254"/>
      <c r="K84" s="256"/>
      <c r="L84" s="264"/>
    </row>
    <row r="85" spans="2:12" ht="29.25">
      <c r="B85" s="75" t="s">
        <v>391</v>
      </c>
      <c r="C85" s="88"/>
      <c r="D85" s="128"/>
    </row>
    <row r="86" spans="2:12" ht="10.5" customHeight="1">
      <c r="B86" s="75"/>
      <c r="C86" s="88"/>
      <c r="D86" s="128"/>
    </row>
    <row r="87" spans="2:12" ht="72">
      <c r="B87" s="78" t="s">
        <v>356</v>
      </c>
      <c r="C87" s="79" t="s">
        <v>357</v>
      </c>
      <c r="D87" s="124" t="s">
        <v>358</v>
      </c>
      <c r="E87" s="80" t="s">
        <v>359</v>
      </c>
      <c r="F87" s="80" t="s">
        <v>377</v>
      </c>
      <c r="G87" s="80" t="s">
        <v>378</v>
      </c>
      <c r="H87" s="80" t="s">
        <v>362</v>
      </c>
      <c r="I87" s="80" t="s">
        <v>363</v>
      </c>
      <c r="J87" s="80" t="s">
        <v>364</v>
      </c>
      <c r="K87" s="80" t="s">
        <v>365</v>
      </c>
      <c r="L87" s="81" t="s">
        <v>19</v>
      </c>
    </row>
    <row r="88" spans="2:12" ht="23.1" customHeight="1">
      <c r="B88" s="82" t="s">
        <v>388</v>
      </c>
      <c r="C88" s="83"/>
      <c r="D88" s="125"/>
      <c r="E88" s="83"/>
      <c r="F88" s="83"/>
      <c r="G88" s="83"/>
      <c r="H88" s="83"/>
      <c r="I88" s="83"/>
      <c r="J88" s="83"/>
      <c r="K88" s="83"/>
      <c r="L88" s="83"/>
    </row>
    <row r="89" spans="2:12" ht="21" customHeight="1">
      <c r="B89" s="242" t="str">
        <f>VLOOKUP(B92,Guide,2,FALSE)</f>
        <v xml:space="preserve">5 Year Fixed Rate - North East Exclusive Repayment </v>
      </c>
      <c r="C89" s="243" t="str">
        <f>VLOOKUP(B92,Guide,3,FALSE)</f>
        <v>3.05%</v>
      </c>
      <c r="D89" s="245">
        <f>VLOOKUP(B92,Guide,4,FALSE)</f>
        <v>46599</v>
      </c>
      <c r="E89" s="247" t="str">
        <f>VLOOKUP(B92,Guide,5,FALSE)</f>
        <v>5%, 4%, 3%, 2%, 1% of amount repaid</v>
      </c>
      <c r="F89" s="249">
        <f>VLOOKUP(B92,Guide,6,FALSE)</f>
        <v>3.7</v>
      </c>
      <c r="G89" s="251">
        <f>VLOOKUP(B92,Guide,7,FALSE)</f>
        <v>95</v>
      </c>
      <c r="H89" s="257">
        <f>VLOOKUP(B92,Guide,8,FALSE)</f>
        <v>0</v>
      </c>
      <c r="I89" s="259">
        <f>VLOOKUP(B92,Guide,9,FALSE)</f>
        <v>0</v>
      </c>
      <c r="J89" s="253">
        <f>VLOOKUP(B92,Guide,10,FALSE)</f>
        <v>50000</v>
      </c>
      <c r="K89" s="255">
        <f>VLOOKUP(B92,Guide,11,FALSE)</f>
        <v>500000</v>
      </c>
      <c r="L89" s="263" t="str">
        <f>VLOOKUP(B92,Guide,12,FALSE)</f>
        <v>£1000 Cashback 
Free Standard Valuation up to £500,000
Increased Overpayments Permitted (10% per annum)</v>
      </c>
    </row>
    <row r="90" spans="2:12" ht="15.75" customHeight="1">
      <c r="B90" s="242"/>
      <c r="C90" s="243"/>
      <c r="D90" s="245"/>
      <c r="E90" s="247"/>
      <c r="F90" s="249"/>
      <c r="G90" s="251"/>
      <c r="H90" s="257"/>
      <c r="I90" s="259"/>
      <c r="J90" s="253"/>
      <c r="K90" s="255"/>
      <c r="L90" s="263"/>
    </row>
    <row r="91" spans="2:12" ht="15.75" customHeight="1">
      <c r="B91" s="242"/>
      <c r="C91" s="243"/>
      <c r="D91" s="245"/>
      <c r="E91" s="247"/>
      <c r="F91" s="249"/>
      <c r="G91" s="251"/>
      <c r="H91" s="257"/>
      <c r="I91" s="259"/>
      <c r="J91" s="253"/>
      <c r="K91" s="255"/>
      <c r="L91" s="263"/>
    </row>
    <row r="92" spans="2:12" ht="39" customHeight="1">
      <c r="B92" s="261" t="s">
        <v>392</v>
      </c>
      <c r="C92" s="243"/>
      <c r="D92" s="245"/>
      <c r="E92" s="247"/>
      <c r="F92" s="249"/>
      <c r="G92" s="251"/>
      <c r="H92" s="257"/>
      <c r="I92" s="259"/>
      <c r="J92" s="253"/>
      <c r="K92" s="255"/>
      <c r="L92" s="263"/>
    </row>
    <row r="93" spans="2:12" ht="48.75" customHeight="1" thickBot="1">
      <c r="B93" s="262"/>
      <c r="C93" s="244"/>
      <c r="D93" s="246"/>
      <c r="E93" s="248"/>
      <c r="F93" s="250"/>
      <c r="G93" s="252"/>
      <c r="H93" s="258"/>
      <c r="I93" s="260"/>
      <c r="J93" s="254"/>
      <c r="K93" s="256"/>
      <c r="L93" s="264"/>
    </row>
    <row r="94" spans="2:12">
      <c r="B94" s="279" t="s">
        <v>393</v>
      </c>
      <c r="C94" s="279"/>
      <c r="D94" s="279"/>
      <c r="E94" s="279"/>
      <c r="F94" s="279"/>
      <c r="G94" s="279"/>
      <c r="H94" s="279"/>
      <c r="I94" s="279"/>
      <c r="J94" s="279"/>
      <c r="K94" s="279"/>
      <c r="L94" s="279"/>
    </row>
    <row r="95" spans="2:12" ht="37.5" customHeight="1">
      <c r="B95" s="279"/>
      <c r="C95" s="279"/>
      <c r="D95" s="279"/>
      <c r="E95" s="279"/>
      <c r="F95" s="279"/>
      <c r="G95" s="279"/>
      <c r="H95" s="279"/>
      <c r="I95" s="279"/>
      <c r="J95" s="279"/>
      <c r="K95" s="279"/>
      <c r="L95" s="279"/>
    </row>
    <row r="96" spans="2:12" ht="18" customHeight="1">
      <c r="B96" s="84" t="s">
        <v>374</v>
      </c>
      <c r="C96" s="85"/>
      <c r="D96" s="126"/>
      <c r="E96" s="85"/>
      <c r="F96" s="85"/>
      <c r="G96" s="85"/>
      <c r="H96" s="85"/>
      <c r="I96" s="85"/>
      <c r="J96" s="85"/>
      <c r="K96" s="85"/>
      <c r="L96" s="85"/>
    </row>
    <row r="97" spans="2:12" ht="18.75">
      <c r="B97" s="265" t="s">
        <v>375</v>
      </c>
      <c r="C97" s="265"/>
      <c r="D97" s="265"/>
      <c r="E97" s="265"/>
      <c r="F97" s="265"/>
      <c r="G97" s="265"/>
      <c r="H97" s="265"/>
      <c r="I97" s="265"/>
      <c r="J97" s="265"/>
      <c r="K97" s="265"/>
      <c r="L97" s="265"/>
    </row>
    <row r="98" spans="2:12" ht="29.25">
      <c r="B98" s="75" t="s">
        <v>394</v>
      </c>
      <c r="C98" s="88"/>
      <c r="D98" s="128"/>
    </row>
    <row r="99" spans="2:12" ht="10.5" customHeight="1">
      <c r="B99" s="75"/>
      <c r="C99" s="88"/>
      <c r="D99" s="128"/>
    </row>
    <row r="100" spans="2:12" ht="72">
      <c r="B100" s="78" t="s">
        <v>356</v>
      </c>
      <c r="C100" s="79" t="s">
        <v>357</v>
      </c>
      <c r="D100" s="124" t="s">
        <v>358</v>
      </c>
      <c r="E100" s="80" t="s">
        <v>359</v>
      </c>
      <c r="F100" s="80" t="s">
        <v>377</v>
      </c>
      <c r="G100" s="80" t="s">
        <v>378</v>
      </c>
      <c r="H100" s="80" t="s">
        <v>362</v>
      </c>
      <c r="I100" s="80" t="s">
        <v>363</v>
      </c>
      <c r="J100" s="80" t="s">
        <v>364</v>
      </c>
      <c r="K100" s="80" t="s">
        <v>365</v>
      </c>
      <c r="L100" s="81" t="s">
        <v>19</v>
      </c>
    </row>
    <row r="101" spans="2:12" ht="23.1" customHeight="1">
      <c r="B101" s="82" t="s">
        <v>388</v>
      </c>
      <c r="C101" s="83"/>
      <c r="D101" s="125"/>
      <c r="E101" s="83"/>
      <c r="F101" s="83"/>
      <c r="G101" s="83"/>
      <c r="H101" s="83"/>
      <c r="I101" s="83"/>
      <c r="J101" s="83"/>
      <c r="K101" s="83"/>
      <c r="L101" s="83"/>
    </row>
    <row r="102" spans="2:12" ht="21" customHeight="1">
      <c r="B102" s="242" t="str">
        <f>VLOOKUP(B105,Guide,2,FALSE)</f>
        <v xml:space="preserve">2 Year Fixed Rate - Lifetime ISA Exclusive Repayment </v>
      </c>
      <c r="C102" s="243" t="str">
        <f>VLOOKUP(B105,Guide,3,FALSE)</f>
        <v>2.79%</v>
      </c>
      <c r="D102" s="245">
        <f>VLOOKUP(B105,Guide,4,FALSE)</f>
        <v>45504</v>
      </c>
      <c r="E102" s="247" t="str">
        <f>VLOOKUP(B105,Guide,5,FALSE)</f>
        <v>2%, 1% of amount repaid</v>
      </c>
      <c r="F102" s="249">
        <f>VLOOKUP(B105,Guide,6,FALSE)</f>
        <v>3.8</v>
      </c>
      <c r="G102" s="251">
        <f>VLOOKUP(B105,Guide,7,FALSE)</f>
        <v>95</v>
      </c>
      <c r="H102" s="257">
        <f>VLOOKUP(B105,Guide,8,FALSE)</f>
        <v>0</v>
      </c>
      <c r="I102" s="259">
        <f>VLOOKUP(B105,Guide,9,FALSE)</f>
        <v>0</v>
      </c>
      <c r="J102" s="253">
        <f>VLOOKUP(B105,Guide,10,FALSE)</f>
        <v>50000</v>
      </c>
      <c r="K102" s="255">
        <f>VLOOKUP(B105,Guide,11,FALSE)</f>
        <v>500000</v>
      </c>
      <c r="L102" s="263" t="str">
        <f>VLOOKUP(B105,Guide,12,FALSE)</f>
        <v>£1000 Cashback 
Free Standard Valuation up to £500,000
Increased Overpayments Permitted (10% per annum)</v>
      </c>
    </row>
    <row r="103" spans="2:12" ht="15.75" customHeight="1">
      <c r="B103" s="242"/>
      <c r="C103" s="243"/>
      <c r="D103" s="245"/>
      <c r="E103" s="247"/>
      <c r="F103" s="249"/>
      <c r="G103" s="251"/>
      <c r="H103" s="257"/>
      <c r="I103" s="259"/>
      <c r="J103" s="253"/>
      <c r="K103" s="255"/>
      <c r="L103" s="263"/>
    </row>
    <row r="104" spans="2:12" ht="23.1" customHeight="1">
      <c r="B104" s="242"/>
      <c r="C104" s="243"/>
      <c r="D104" s="245"/>
      <c r="E104" s="247"/>
      <c r="F104" s="249"/>
      <c r="G104" s="251"/>
      <c r="H104" s="257"/>
      <c r="I104" s="259"/>
      <c r="J104" s="253"/>
      <c r="K104" s="255"/>
      <c r="L104" s="263"/>
    </row>
    <row r="105" spans="2:12" ht="39" customHeight="1">
      <c r="B105" s="261" t="s">
        <v>395</v>
      </c>
      <c r="C105" s="243"/>
      <c r="D105" s="245"/>
      <c r="E105" s="247"/>
      <c r="F105" s="249"/>
      <c r="G105" s="251"/>
      <c r="H105" s="257"/>
      <c r="I105" s="259"/>
      <c r="J105" s="253"/>
      <c r="K105" s="255"/>
      <c r="L105" s="263"/>
    </row>
    <row r="106" spans="2:12" ht="52.5" customHeight="1" thickBot="1">
      <c r="B106" s="262"/>
      <c r="C106" s="244"/>
      <c r="D106" s="246"/>
      <c r="E106" s="248"/>
      <c r="F106" s="250"/>
      <c r="G106" s="252"/>
      <c r="H106" s="258"/>
      <c r="I106" s="260"/>
      <c r="J106" s="254"/>
      <c r="K106" s="256"/>
      <c r="L106" s="264"/>
    </row>
    <row r="107" spans="2:12" ht="21" customHeight="1">
      <c r="B107" s="242" t="str">
        <f>VLOOKUP(B110,Guide,2,FALSE)</f>
        <v xml:space="preserve">5 Year Fixed Rate - Lifetime ISA Exclusive Repayment </v>
      </c>
      <c r="C107" s="243" t="str">
        <f>VLOOKUP(B110,Guide,3,FALSE)</f>
        <v>3.05%</v>
      </c>
      <c r="D107" s="245">
        <f>VLOOKUP(B110,Guide,4,FALSE)</f>
        <v>46599</v>
      </c>
      <c r="E107" s="247" t="str">
        <f>VLOOKUP(B110,Guide,5,FALSE)</f>
        <v>5%, 4%, 3%, 2%, 1% of amount repaid</v>
      </c>
      <c r="F107" s="249">
        <f>VLOOKUP(B110,Guide,6,FALSE)</f>
        <v>3.7</v>
      </c>
      <c r="G107" s="251">
        <f>VLOOKUP(B110,Guide,7,FALSE)</f>
        <v>95</v>
      </c>
      <c r="H107" s="257">
        <f>VLOOKUP(B110,Guide,8,FALSE)</f>
        <v>0</v>
      </c>
      <c r="I107" s="259">
        <f>VLOOKUP(B110,Guide,9,FALSE)</f>
        <v>0</v>
      </c>
      <c r="J107" s="253">
        <f>VLOOKUP(B110,Guide,10,FALSE)</f>
        <v>50000</v>
      </c>
      <c r="K107" s="255">
        <f>VLOOKUP(B110,Guide,11,FALSE)</f>
        <v>500000</v>
      </c>
      <c r="L107" s="263" t="str">
        <f>VLOOKUP(B110,Guide,12,FALSE)</f>
        <v>£1000 Cashback 
Free Standard Valuation up to £500,000
Increased Overpayments Permitted (10% per annum)</v>
      </c>
    </row>
    <row r="108" spans="2:12" ht="15.75" customHeight="1">
      <c r="B108" s="242"/>
      <c r="C108" s="243"/>
      <c r="D108" s="245"/>
      <c r="E108" s="247"/>
      <c r="F108" s="249"/>
      <c r="G108" s="251"/>
      <c r="H108" s="257"/>
      <c r="I108" s="259"/>
      <c r="J108" s="253"/>
      <c r="K108" s="255"/>
      <c r="L108" s="263"/>
    </row>
    <row r="109" spans="2:12" ht="15.75" customHeight="1">
      <c r="B109" s="242"/>
      <c r="C109" s="243"/>
      <c r="D109" s="245"/>
      <c r="E109" s="247"/>
      <c r="F109" s="249"/>
      <c r="G109" s="251"/>
      <c r="H109" s="257"/>
      <c r="I109" s="259"/>
      <c r="J109" s="253"/>
      <c r="K109" s="255"/>
      <c r="L109" s="263"/>
    </row>
    <row r="110" spans="2:12" ht="39" customHeight="1">
      <c r="B110" s="261" t="s">
        <v>396</v>
      </c>
      <c r="C110" s="243"/>
      <c r="D110" s="245"/>
      <c r="E110" s="247"/>
      <c r="F110" s="249"/>
      <c r="G110" s="251"/>
      <c r="H110" s="257"/>
      <c r="I110" s="259"/>
      <c r="J110" s="253"/>
      <c r="K110" s="255"/>
      <c r="L110" s="263"/>
    </row>
    <row r="111" spans="2:12" ht="48.75" customHeight="1" thickBot="1">
      <c r="B111" s="262"/>
      <c r="C111" s="244"/>
      <c r="D111" s="246"/>
      <c r="E111" s="248"/>
      <c r="F111" s="250"/>
      <c r="G111" s="252"/>
      <c r="H111" s="258"/>
      <c r="I111" s="260"/>
      <c r="J111" s="254"/>
      <c r="K111" s="256"/>
      <c r="L111" s="264"/>
    </row>
    <row r="112" spans="2:12">
      <c r="B112" s="279" t="s">
        <v>397</v>
      </c>
      <c r="C112" s="279"/>
      <c r="D112" s="279"/>
      <c r="E112" s="279"/>
      <c r="F112" s="279"/>
      <c r="G112" s="279"/>
      <c r="H112" s="279"/>
      <c r="I112" s="279"/>
      <c r="J112" s="279"/>
      <c r="K112" s="279"/>
      <c r="L112" s="279"/>
    </row>
    <row r="113" spans="2:12" ht="37.5" customHeight="1">
      <c r="B113" s="279"/>
      <c r="C113" s="279"/>
      <c r="D113" s="279"/>
      <c r="E113" s="279"/>
      <c r="F113" s="279"/>
      <c r="G113" s="279"/>
      <c r="H113" s="279"/>
      <c r="I113" s="279"/>
      <c r="J113" s="279"/>
      <c r="K113" s="279"/>
      <c r="L113" s="279"/>
    </row>
    <row r="114" spans="2:12" ht="18" customHeight="1">
      <c r="B114" s="84" t="s">
        <v>374</v>
      </c>
      <c r="C114" s="85"/>
      <c r="D114" s="126"/>
      <c r="E114" s="85"/>
      <c r="F114" s="85"/>
      <c r="G114" s="85"/>
      <c r="H114" s="85"/>
      <c r="I114" s="85"/>
      <c r="J114" s="85"/>
      <c r="K114" s="85"/>
      <c r="L114" s="85"/>
    </row>
    <row r="115" spans="2:12" ht="15.75" customHeight="1">
      <c r="B115" s="265" t="s">
        <v>375</v>
      </c>
      <c r="C115" s="265"/>
      <c r="D115" s="265"/>
      <c r="E115" s="265"/>
      <c r="F115" s="265"/>
      <c r="G115" s="265"/>
      <c r="H115" s="265"/>
      <c r="I115" s="265"/>
      <c r="J115" s="265"/>
      <c r="K115" s="265"/>
      <c r="L115" s="265"/>
    </row>
    <row r="116" spans="2:12" ht="29.25">
      <c r="B116" s="75" t="s">
        <v>398</v>
      </c>
      <c r="C116" s="88"/>
      <c r="D116" s="128"/>
    </row>
    <row r="117" spans="2:12" ht="15.75" customHeight="1"/>
    <row r="118" spans="2:12" ht="72">
      <c r="B118" s="78" t="s">
        <v>356</v>
      </c>
      <c r="C118" s="79" t="s">
        <v>357</v>
      </c>
      <c r="D118" s="124" t="s">
        <v>358</v>
      </c>
      <c r="E118" s="80" t="s">
        <v>359</v>
      </c>
      <c r="F118" s="80" t="s">
        <v>377</v>
      </c>
      <c r="G118" s="80" t="s">
        <v>378</v>
      </c>
      <c r="H118" s="80" t="s">
        <v>362</v>
      </c>
      <c r="I118" s="80" t="s">
        <v>363</v>
      </c>
      <c r="J118" s="80" t="s">
        <v>364</v>
      </c>
      <c r="K118" s="80" t="s">
        <v>365</v>
      </c>
      <c r="L118" s="81" t="s">
        <v>19</v>
      </c>
    </row>
    <row r="119" spans="2:12" ht="15.75" customHeight="1">
      <c r="B119" s="82" t="s">
        <v>399</v>
      </c>
      <c r="C119" s="83"/>
      <c r="D119" s="125"/>
      <c r="E119" s="83"/>
      <c r="F119" s="83"/>
      <c r="G119" s="83"/>
      <c r="H119" s="83"/>
      <c r="I119" s="83"/>
      <c r="J119" s="90"/>
      <c r="K119" s="83"/>
      <c r="L119" s="90"/>
    </row>
    <row r="120" spans="2:12" ht="15.75" customHeight="1">
      <c r="B120" s="242" t="str">
        <f>VLOOKUP(B123,Guide,2,FALSE)</f>
        <v xml:space="preserve">2 Year Fxed Rate - Repayment </v>
      </c>
      <c r="C120" s="243" t="str">
        <f>VLOOKUP(B123,Guide,3,FALSE)</f>
        <v>2.35%</v>
      </c>
      <c r="D120" s="245">
        <f>VLOOKUP(B123,Guide,4,FALSE)</f>
        <v>45473</v>
      </c>
      <c r="E120" s="247" t="str">
        <f>VLOOKUP(B123,Guide,5,FALSE)</f>
        <v>2%, 1% of amount repaid</v>
      </c>
      <c r="F120" s="249">
        <f>VLOOKUP(B123,Guide,6,FALSE)</f>
        <v>3.7</v>
      </c>
      <c r="G120" s="251">
        <f>VLOOKUP(B123,Guide,7,FALSE)</f>
        <v>75</v>
      </c>
      <c r="H120" s="257">
        <f>VLOOKUP(B123,Guide,8,FALSE)</f>
        <v>0</v>
      </c>
      <c r="I120" s="259">
        <f>VLOOKUP(B123,Guide,9,FALSE)</f>
        <v>0</v>
      </c>
      <c r="J120" s="253">
        <f>VLOOKUP(B123,Guide,10,FALSE)</f>
        <v>50000</v>
      </c>
      <c r="K120" s="255">
        <f>VLOOKUP(B123,Guide,11,FALSE)</f>
        <v>237500</v>
      </c>
      <c r="L120" s="263" t="str">
        <f>VLOOKUP(B123,Guide,12,FALSE)</f>
        <v>Free Standard Valuation up to £500,000
Increased Overpayments Permitted (10% per annum)</v>
      </c>
    </row>
    <row r="121" spans="2:12" ht="15.6" customHeight="1">
      <c r="B121" s="242"/>
      <c r="C121" s="243"/>
      <c r="D121" s="245"/>
      <c r="E121" s="247"/>
      <c r="F121" s="249"/>
      <c r="G121" s="251"/>
      <c r="H121" s="257"/>
      <c r="I121" s="259"/>
      <c r="J121" s="253"/>
      <c r="K121" s="255"/>
      <c r="L121" s="263"/>
    </row>
    <row r="122" spans="2:12" ht="18.95" customHeight="1">
      <c r="B122" s="242"/>
      <c r="C122" s="243"/>
      <c r="D122" s="245"/>
      <c r="E122" s="247"/>
      <c r="F122" s="249"/>
      <c r="G122" s="251"/>
      <c r="H122" s="257"/>
      <c r="I122" s="259"/>
      <c r="J122" s="253"/>
      <c r="K122" s="255"/>
      <c r="L122" s="263"/>
    </row>
    <row r="123" spans="2:12" ht="35.1" customHeight="1">
      <c r="B123" s="261" t="s">
        <v>400</v>
      </c>
      <c r="C123" s="243"/>
      <c r="D123" s="245"/>
      <c r="E123" s="247"/>
      <c r="F123" s="249"/>
      <c r="G123" s="251"/>
      <c r="H123" s="257"/>
      <c r="I123" s="259"/>
      <c r="J123" s="253"/>
      <c r="K123" s="255"/>
      <c r="L123" s="263"/>
    </row>
    <row r="124" spans="2:12" ht="32.450000000000003" customHeight="1" thickBot="1">
      <c r="B124" s="262"/>
      <c r="C124" s="244"/>
      <c r="D124" s="246"/>
      <c r="E124" s="248"/>
      <c r="F124" s="250"/>
      <c r="G124" s="252"/>
      <c r="H124" s="258"/>
      <c r="I124" s="260"/>
      <c r="J124" s="254"/>
      <c r="K124" s="256"/>
      <c r="L124" s="264"/>
    </row>
    <row r="125" spans="2:12" ht="15.75" customHeight="1">
      <c r="B125" s="82" t="s">
        <v>401</v>
      </c>
      <c r="C125" s="91"/>
      <c r="D125" s="129"/>
      <c r="E125" s="91"/>
      <c r="F125" s="91"/>
      <c r="G125" s="91"/>
      <c r="H125" s="91"/>
      <c r="I125" s="91"/>
      <c r="J125" s="91"/>
      <c r="K125" s="91"/>
      <c r="L125" s="90"/>
    </row>
    <row r="126" spans="2:12" ht="15.75" customHeight="1">
      <c r="B126" s="242" t="str">
        <f>VLOOKUP(B129,Guide,2,FALSE)</f>
        <v xml:space="preserve">5 Year Fxed Rate - Repayment </v>
      </c>
      <c r="C126" s="243" t="str">
        <f>VLOOKUP(B129,Guide,3,FALSE)</f>
        <v>2.45%</v>
      </c>
      <c r="D126" s="245">
        <f>VLOOKUP(B129,Guide,4,FALSE)</f>
        <v>46568</v>
      </c>
      <c r="E126" s="247" t="str">
        <f>VLOOKUP(B129,Guide,5,FALSE)</f>
        <v>5%, 4%, 3%, 2%, 1% of amount repaid</v>
      </c>
      <c r="F126" s="249">
        <f>VLOOKUP(B129,Guide,6,FALSE)</f>
        <v>3.4</v>
      </c>
      <c r="G126" s="251">
        <f>VLOOKUP(B129,Guide,7,FALSE)</f>
        <v>75</v>
      </c>
      <c r="H126" s="257">
        <f>VLOOKUP(B129,Guide,8,FALSE)</f>
        <v>0</v>
      </c>
      <c r="I126" s="259">
        <f>VLOOKUP(B129,Guide,9,FALSE)</f>
        <v>0</v>
      </c>
      <c r="J126" s="253">
        <f>VLOOKUP(B129,Guide,10,FALSE)</f>
        <v>50000</v>
      </c>
      <c r="K126" s="255">
        <f>VLOOKUP(B129,Guide,11,FALSE)</f>
        <v>237500</v>
      </c>
      <c r="L126" s="263" t="str">
        <f>VLOOKUP(B129,Guide,12,FALSE)</f>
        <v>Free Standard Valuation up to £500,000
Increased Overpayments Permitted (10% per annum)</v>
      </c>
    </row>
    <row r="127" spans="2:12" ht="15.75" customHeight="1">
      <c r="B127" s="242"/>
      <c r="C127" s="243"/>
      <c r="D127" s="245"/>
      <c r="E127" s="247"/>
      <c r="F127" s="249"/>
      <c r="G127" s="251"/>
      <c r="H127" s="257"/>
      <c r="I127" s="259"/>
      <c r="J127" s="253"/>
      <c r="K127" s="255"/>
      <c r="L127" s="263"/>
    </row>
    <row r="128" spans="2:12" ht="15.75" customHeight="1">
      <c r="B128" s="242"/>
      <c r="C128" s="243"/>
      <c r="D128" s="245"/>
      <c r="E128" s="247"/>
      <c r="F128" s="249"/>
      <c r="G128" s="251"/>
      <c r="H128" s="257"/>
      <c r="I128" s="259"/>
      <c r="J128" s="253"/>
      <c r="K128" s="255"/>
      <c r="L128" s="263"/>
    </row>
    <row r="129" spans="2:12" ht="35.1" customHeight="1">
      <c r="B129" s="261" t="s">
        <v>402</v>
      </c>
      <c r="C129" s="243"/>
      <c r="D129" s="245"/>
      <c r="E129" s="247"/>
      <c r="F129" s="249"/>
      <c r="G129" s="251"/>
      <c r="H129" s="257"/>
      <c r="I129" s="259"/>
      <c r="J129" s="253"/>
      <c r="K129" s="255"/>
      <c r="L129" s="263"/>
    </row>
    <row r="130" spans="2:12" ht="35.450000000000003" customHeight="1" thickBot="1">
      <c r="B130" s="262"/>
      <c r="C130" s="244"/>
      <c r="D130" s="246"/>
      <c r="E130" s="248"/>
      <c r="F130" s="250"/>
      <c r="G130" s="252"/>
      <c r="H130" s="258"/>
      <c r="I130" s="260"/>
      <c r="J130" s="254"/>
      <c r="K130" s="256"/>
      <c r="L130" s="264"/>
    </row>
    <row r="131" spans="2:12" ht="15.75" customHeight="1">
      <c r="B131" s="265" t="s">
        <v>403</v>
      </c>
      <c r="C131" s="265"/>
      <c r="D131" s="265"/>
      <c r="E131" s="265"/>
      <c r="F131" s="265"/>
      <c r="G131" s="265"/>
      <c r="H131" s="265"/>
      <c r="I131" s="265"/>
      <c r="J131" s="265"/>
      <c r="K131" s="265"/>
      <c r="L131" s="265"/>
    </row>
    <row r="132" spans="2:12">
      <c r="B132" s="279" t="s">
        <v>404</v>
      </c>
      <c r="C132" s="279"/>
      <c r="D132" s="279"/>
      <c r="E132" s="279"/>
      <c r="F132" s="279"/>
      <c r="G132" s="279"/>
      <c r="H132" s="279"/>
      <c r="I132" s="279"/>
      <c r="J132" s="279"/>
      <c r="K132" s="279"/>
      <c r="L132" s="279"/>
    </row>
    <row r="133" spans="2:12" ht="27.6" customHeight="1">
      <c r="B133" s="279"/>
      <c r="C133" s="279"/>
      <c r="D133" s="279"/>
      <c r="E133" s="279"/>
      <c r="F133" s="279"/>
      <c r="G133" s="279"/>
      <c r="H133" s="279"/>
      <c r="I133" s="279"/>
      <c r="J133" s="279"/>
      <c r="K133" s="279"/>
      <c r="L133" s="279"/>
    </row>
    <row r="134" spans="2:12" ht="29.25">
      <c r="B134" s="75" t="s">
        <v>405</v>
      </c>
      <c r="C134" s="88"/>
      <c r="D134" s="128"/>
    </row>
    <row r="135" spans="2:12" ht="7.5" customHeight="1"/>
    <row r="136" spans="2:12" ht="73.5" customHeight="1" thickBot="1">
      <c r="B136" s="78" t="s">
        <v>356</v>
      </c>
      <c r="C136" s="79" t="s">
        <v>357</v>
      </c>
      <c r="D136" s="124" t="s">
        <v>358</v>
      </c>
      <c r="E136" s="80" t="s">
        <v>359</v>
      </c>
      <c r="F136" s="80" t="s">
        <v>377</v>
      </c>
      <c r="G136" s="80" t="s">
        <v>378</v>
      </c>
      <c r="H136" s="80" t="s">
        <v>362</v>
      </c>
      <c r="I136" s="80" t="s">
        <v>363</v>
      </c>
      <c r="J136" s="80" t="s">
        <v>364</v>
      </c>
      <c r="K136" s="80" t="s">
        <v>365</v>
      </c>
      <c r="L136" s="81" t="s">
        <v>19</v>
      </c>
    </row>
    <row r="137" spans="2:12" ht="39" customHeight="1">
      <c r="B137" s="92" t="s">
        <v>384</v>
      </c>
      <c r="C137" s="91"/>
      <c r="D137" s="129"/>
      <c r="E137" s="91"/>
      <c r="F137" s="91"/>
      <c r="G137" s="91"/>
      <c r="H137" s="91"/>
      <c r="I137" s="91"/>
      <c r="J137" s="91"/>
      <c r="K137" s="91"/>
      <c r="L137" s="91"/>
    </row>
    <row r="138" spans="2:12" ht="39" customHeight="1">
      <c r="B138" s="242" t="str">
        <f>VLOOKUP(B141,Guide,2,FALSE)</f>
        <v xml:space="preserve">2 Year Fixed Rate - Repayment </v>
      </c>
      <c r="C138" s="243" t="str">
        <f>VLOOKUP(B141,Guide,3,FALSE)</f>
        <v>2.79%</v>
      </c>
      <c r="D138" s="245">
        <f>VLOOKUP(B141,Guide,4,FALSE)</f>
        <v>45504</v>
      </c>
      <c r="E138" s="247" t="str">
        <f>VLOOKUP(B141,Guide,5,FALSE)</f>
        <v>2%, 1% of amount repaid</v>
      </c>
      <c r="F138" s="249">
        <f>VLOOKUP(B141,Guide,6,FALSE)</f>
        <v>3.8</v>
      </c>
      <c r="G138" s="251">
        <f>VLOOKUP(B141,Guide,7,FALSE)</f>
        <v>95</v>
      </c>
      <c r="H138" s="257">
        <f>VLOOKUP(B141,Guide,8,FALSE)</f>
        <v>0</v>
      </c>
      <c r="I138" s="259">
        <f>VLOOKUP(B141,Guide,9,FALSE)</f>
        <v>0</v>
      </c>
      <c r="J138" s="253">
        <f>VLOOKUP(B141,Guide,10,FALSE)</f>
        <v>50000</v>
      </c>
      <c r="K138" s="255">
        <f>VLOOKUP(B141,Guide,11,FALSE)</f>
        <v>570000</v>
      </c>
      <c r="L138" s="263" t="str">
        <f>VLOOKUP(B141,Guide,12,FALSE)</f>
        <v>£500 Cashback 
Free Standard Valuation up to £500,000
Increased Overpayments Permitted (10% per annum)</v>
      </c>
    </row>
    <row r="139" spans="2:12" ht="39" customHeight="1">
      <c r="B139" s="242"/>
      <c r="C139" s="243"/>
      <c r="D139" s="245"/>
      <c r="E139" s="247"/>
      <c r="F139" s="249"/>
      <c r="G139" s="251"/>
      <c r="H139" s="257"/>
      <c r="I139" s="259"/>
      <c r="J139" s="253"/>
      <c r="K139" s="255"/>
      <c r="L139" s="263"/>
    </row>
    <row r="140" spans="2:12">
      <c r="B140" s="242"/>
      <c r="C140" s="243"/>
      <c r="D140" s="245"/>
      <c r="E140" s="247"/>
      <c r="F140" s="249"/>
      <c r="G140" s="251"/>
      <c r="H140" s="257"/>
      <c r="I140" s="259"/>
      <c r="J140" s="253"/>
      <c r="K140" s="255"/>
      <c r="L140" s="263"/>
    </row>
    <row r="141" spans="2:12" ht="39" customHeight="1">
      <c r="B141" s="261" t="s">
        <v>406</v>
      </c>
      <c r="C141" s="243"/>
      <c r="D141" s="245"/>
      <c r="E141" s="247"/>
      <c r="F141" s="249"/>
      <c r="G141" s="251"/>
      <c r="H141" s="257"/>
      <c r="I141" s="259"/>
      <c r="J141" s="253"/>
      <c r="K141" s="255"/>
      <c r="L141" s="263"/>
    </row>
    <row r="142" spans="2:12" ht="39" customHeight="1" thickBot="1">
      <c r="B142" s="262"/>
      <c r="C142" s="244"/>
      <c r="D142" s="246"/>
      <c r="E142" s="248"/>
      <c r="F142" s="250"/>
      <c r="G142" s="252"/>
      <c r="H142" s="258"/>
      <c r="I142" s="260"/>
      <c r="J142" s="254"/>
      <c r="K142" s="256"/>
      <c r="L142" s="264"/>
    </row>
    <row r="143" spans="2:12" ht="22.5" customHeight="1">
      <c r="B143" s="82" t="s">
        <v>388</v>
      </c>
      <c r="C143" s="91"/>
      <c r="D143" s="129"/>
      <c r="E143" s="91"/>
      <c r="F143" s="91"/>
      <c r="G143" s="91"/>
      <c r="H143" s="91"/>
      <c r="I143" s="91"/>
      <c r="J143" s="91"/>
      <c r="K143" s="91"/>
      <c r="L143" s="91"/>
    </row>
    <row r="144" spans="2:12" ht="18" customHeight="1">
      <c r="B144" s="242" t="str">
        <f>VLOOKUP(B147,Guide,2,FALSE)</f>
        <v xml:space="preserve">5 Year Fixed Rate - Repayment </v>
      </c>
      <c r="C144" s="243" t="str">
        <f>VLOOKUP(B147,Guide,3,FALSE)</f>
        <v>3.05%</v>
      </c>
      <c r="D144" s="245">
        <f>VLOOKUP(B147,Guide,4,FALSE)</f>
        <v>46599</v>
      </c>
      <c r="E144" s="247" t="str">
        <f>VLOOKUP(B147,Guide,5,FALSE)</f>
        <v>5%, 4%, 3%, 2%, 1% of amount repaid</v>
      </c>
      <c r="F144" s="249">
        <f>VLOOKUP(B147,Guide,6,FALSE)</f>
        <v>3.7</v>
      </c>
      <c r="G144" s="251">
        <f>VLOOKUP(B147,Guide,7,FALSE)</f>
        <v>95</v>
      </c>
      <c r="H144" s="257">
        <f>VLOOKUP(B147,Guide,8,FALSE)</f>
        <v>0</v>
      </c>
      <c r="I144" s="259">
        <f>VLOOKUP(B147,Guide,9,FALSE)</f>
        <v>0</v>
      </c>
      <c r="J144" s="253">
        <f>VLOOKUP(B147,Guide,10,FALSE)</f>
        <v>50000</v>
      </c>
      <c r="K144" s="255">
        <f>VLOOKUP(B147,Guide,11,FALSE)</f>
        <v>570000</v>
      </c>
      <c r="L144" s="263" t="str">
        <f>VLOOKUP(B147,Guide,12,FALSE)</f>
        <v>£500 Cashback 
Free Standard Valuation up to £500,000
Increased Overpayments Permitted (10% per annum)</v>
      </c>
    </row>
    <row r="145" spans="2:12" ht="27" customHeight="1">
      <c r="B145" s="242"/>
      <c r="C145" s="243"/>
      <c r="D145" s="245"/>
      <c r="E145" s="247"/>
      <c r="F145" s="249"/>
      <c r="G145" s="251"/>
      <c r="H145" s="257"/>
      <c r="I145" s="259"/>
      <c r="J145" s="253"/>
      <c r="K145" s="255"/>
      <c r="L145" s="263"/>
    </row>
    <row r="146" spans="2:12" ht="24.75" customHeight="1">
      <c r="B146" s="242"/>
      <c r="C146" s="243"/>
      <c r="D146" s="245"/>
      <c r="E146" s="247"/>
      <c r="F146" s="249"/>
      <c r="G146" s="251"/>
      <c r="H146" s="257"/>
      <c r="I146" s="259"/>
      <c r="J146" s="253"/>
      <c r="K146" s="255"/>
      <c r="L146" s="263"/>
    </row>
    <row r="147" spans="2:12" ht="51" customHeight="1">
      <c r="B147" s="261" t="s">
        <v>407</v>
      </c>
      <c r="C147" s="243"/>
      <c r="D147" s="245"/>
      <c r="E147" s="247"/>
      <c r="F147" s="249"/>
      <c r="G147" s="251"/>
      <c r="H147" s="257"/>
      <c r="I147" s="259"/>
      <c r="J147" s="253"/>
      <c r="K147" s="255"/>
      <c r="L147" s="263"/>
    </row>
    <row r="148" spans="2:12" ht="36.6" customHeight="1" thickBot="1">
      <c r="B148" s="262"/>
      <c r="C148" s="244"/>
      <c r="D148" s="246"/>
      <c r="E148" s="248"/>
      <c r="F148" s="250"/>
      <c r="G148" s="252"/>
      <c r="H148" s="258"/>
      <c r="I148" s="260"/>
      <c r="J148" s="254"/>
      <c r="K148" s="256"/>
      <c r="L148" s="264"/>
    </row>
    <row r="149" spans="2:12" ht="18.75" customHeight="1">
      <c r="B149" s="265" t="s">
        <v>403</v>
      </c>
      <c r="C149" s="265"/>
      <c r="D149" s="265"/>
      <c r="E149" s="265"/>
      <c r="F149" s="265"/>
      <c r="G149" s="265"/>
      <c r="H149" s="265"/>
      <c r="I149" s="265"/>
      <c r="J149" s="265"/>
      <c r="K149" s="265"/>
      <c r="L149" s="265"/>
    </row>
    <row r="150" spans="2:12" ht="35.25" customHeight="1">
      <c r="B150" s="279" t="s">
        <v>408</v>
      </c>
      <c r="C150" s="279"/>
      <c r="D150" s="279"/>
      <c r="E150" s="279"/>
      <c r="F150" s="279"/>
      <c r="G150" s="279"/>
      <c r="H150" s="279"/>
      <c r="I150" s="279"/>
      <c r="J150" s="279"/>
      <c r="K150" s="279"/>
      <c r="L150" s="279"/>
    </row>
    <row r="151" spans="2:12" ht="28.15" customHeight="1">
      <c r="B151" s="279"/>
      <c r="C151" s="279"/>
      <c r="D151" s="279"/>
      <c r="E151" s="279"/>
      <c r="F151" s="279"/>
      <c r="G151" s="279"/>
      <c r="H151" s="279"/>
      <c r="I151" s="279"/>
      <c r="J151" s="279"/>
      <c r="K151" s="279"/>
      <c r="L151" s="279"/>
    </row>
    <row r="152" spans="2:12" ht="29.25">
      <c r="B152" s="75" t="s">
        <v>409</v>
      </c>
      <c r="C152" s="88"/>
      <c r="D152" s="128"/>
    </row>
    <row r="153" spans="2:12" ht="6" customHeight="1"/>
    <row r="154" spans="2:12" ht="73.5" customHeight="1">
      <c r="B154" s="78" t="s">
        <v>356</v>
      </c>
      <c r="C154" s="79" t="s">
        <v>357</v>
      </c>
      <c r="D154" s="124" t="s">
        <v>358</v>
      </c>
      <c r="E154" s="80" t="s">
        <v>359</v>
      </c>
      <c r="F154" s="80" t="s">
        <v>377</v>
      </c>
      <c r="G154" s="80" t="s">
        <v>378</v>
      </c>
      <c r="H154" s="80" t="s">
        <v>362</v>
      </c>
      <c r="I154" s="80" t="s">
        <v>363</v>
      </c>
      <c r="J154" s="80" t="s">
        <v>364</v>
      </c>
      <c r="K154" s="80" t="s">
        <v>365</v>
      </c>
      <c r="L154" s="81" t="s">
        <v>19</v>
      </c>
    </row>
    <row r="155" spans="2:12" ht="22.5" customHeight="1">
      <c r="B155" s="82" t="s">
        <v>366</v>
      </c>
      <c r="C155" s="83"/>
      <c r="D155" s="125"/>
      <c r="E155" s="83"/>
      <c r="F155" s="83"/>
      <c r="G155" s="83"/>
      <c r="H155" s="83"/>
      <c r="I155" s="83"/>
      <c r="J155" s="90"/>
      <c r="K155" s="83"/>
      <c r="L155" s="90"/>
    </row>
    <row r="156" spans="2:12" ht="18" customHeight="1">
      <c r="B156" s="242" t="str">
        <f>VLOOKUP(B159,Guide,2,FALSE)</f>
        <v>2 Year Fixed Rate  - Self Employed Repayment</v>
      </c>
      <c r="C156" s="243" t="str">
        <f>VLOOKUP(B159,Guide,3,FALSE)</f>
        <v>2.55%</v>
      </c>
      <c r="D156" s="245">
        <f>VLOOKUP(B159,Guide,4,FALSE)</f>
        <v>45504</v>
      </c>
      <c r="E156" s="247" t="str">
        <f>VLOOKUP(B159,Guide,5,FALSE)</f>
        <v>2%, 1% of amount repaid</v>
      </c>
      <c r="F156" s="249">
        <f>VLOOKUP(B159,Guide,6,FALSE)</f>
        <v>3.8</v>
      </c>
      <c r="G156" s="251">
        <f>VLOOKUP(B159,Guide,7,FALSE)</f>
        <v>80</v>
      </c>
      <c r="H156" s="257">
        <f>VLOOKUP(B159,Guide,8,FALSE)</f>
        <v>0</v>
      </c>
      <c r="I156" s="259">
        <f>VLOOKUP(B159,Guide,9,FALSE)</f>
        <v>999</v>
      </c>
      <c r="J156" s="253">
        <f>VLOOKUP(B159,Guide,10,FALSE)</f>
        <v>30000</v>
      </c>
      <c r="K156" s="255">
        <f>VLOOKUP(B159,Guide,11,FALSE)</f>
        <v>1500000</v>
      </c>
      <c r="L156" s="263" t="str">
        <f>VLOOKUP(B159,Guide,12,FALSE)</f>
        <v>Increased Overpayments Permitted (10% per annum)</v>
      </c>
    </row>
    <row r="157" spans="2:12" ht="24" customHeight="1">
      <c r="B157" s="242"/>
      <c r="C157" s="243"/>
      <c r="D157" s="245"/>
      <c r="E157" s="247"/>
      <c r="F157" s="249"/>
      <c r="G157" s="251"/>
      <c r="H157" s="257"/>
      <c r="I157" s="259"/>
      <c r="J157" s="253"/>
      <c r="K157" s="255"/>
      <c r="L157" s="263"/>
    </row>
    <row r="158" spans="2:12" ht="9.6" customHeight="1">
      <c r="B158" s="242"/>
      <c r="C158" s="243"/>
      <c r="D158" s="245"/>
      <c r="E158" s="247"/>
      <c r="F158" s="249"/>
      <c r="G158" s="251"/>
      <c r="H158" s="257"/>
      <c r="I158" s="259"/>
      <c r="J158" s="253"/>
      <c r="K158" s="255"/>
      <c r="L158" s="263"/>
    </row>
    <row r="159" spans="2:12" ht="37.5" customHeight="1">
      <c r="B159" s="261" t="s">
        <v>410</v>
      </c>
      <c r="C159" s="243"/>
      <c r="D159" s="245"/>
      <c r="E159" s="247"/>
      <c r="F159" s="249"/>
      <c r="G159" s="251"/>
      <c r="H159" s="257"/>
      <c r="I159" s="259"/>
      <c r="J159" s="253"/>
      <c r="K159" s="255"/>
      <c r="L159" s="263"/>
    </row>
    <row r="160" spans="2:12" ht="47.1" customHeight="1" thickBot="1">
      <c r="B160" s="262"/>
      <c r="C160" s="244"/>
      <c r="D160" s="246"/>
      <c r="E160" s="248"/>
      <c r="F160" s="250"/>
      <c r="G160" s="252"/>
      <c r="H160" s="258"/>
      <c r="I160" s="260"/>
      <c r="J160" s="254"/>
      <c r="K160" s="256"/>
      <c r="L160" s="264"/>
    </row>
    <row r="161" spans="2:16" ht="15" customHeight="1">
      <c r="B161" s="242" t="str">
        <f>VLOOKUP(B164,Guide,2,FALSE)</f>
        <v>2 Year Fixed Rate  - Self Employed Repayment</v>
      </c>
      <c r="C161" s="243" t="str">
        <f>VLOOKUP(B164,Guide,3,FALSE)</f>
        <v>2.75%</v>
      </c>
      <c r="D161" s="245">
        <f>VLOOKUP(B164,Guide,4,FALSE)</f>
        <v>45504</v>
      </c>
      <c r="E161" s="247" t="str">
        <f>VLOOKUP(B164,Guide,5,FALSE)</f>
        <v>2%, 1% of amount repaid</v>
      </c>
      <c r="F161" s="249">
        <f>VLOOKUP(B164,Guide,6,FALSE)</f>
        <v>3.8</v>
      </c>
      <c r="G161" s="251">
        <f>VLOOKUP(B164,Guide,7,FALSE)</f>
        <v>80</v>
      </c>
      <c r="H161" s="257">
        <f>VLOOKUP(B164,Guide,8,FALSE)</f>
        <v>0</v>
      </c>
      <c r="I161" s="259">
        <f>VLOOKUP(B164,Guide,9,FALSE)</f>
        <v>0</v>
      </c>
      <c r="J161" s="253">
        <f>VLOOKUP(B164,Guide,10,FALSE)</f>
        <v>50000</v>
      </c>
      <c r="K161" s="255">
        <f>VLOOKUP(B164,Guide,11,FALSE)</f>
        <v>1500000</v>
      </c>
      <c r="L161" s="263" t="str">
        <f>VLOOKUP(B164,Guide,12,FALSE)</f>
        <v>Free Standard Valuation up to £500,000
Increased Overpayments Permitted (10% per annum)</v>
      </c>
    </row>
    <row r="162" spans="2:16" ht="27" customHeight="1">
      <c r="B162" s="242"/>
      <c r="C162" s="243"/>
      <c r="D162" s="245"/>
      <c r="E162" s="247"/>
      <c r="F162" s="249"/>
      <c r="G162" s="251"/>
      <c r="H162" s="257"/>
      <c r="I162" s="259"/>
      <c r="J162" s="253"/>
      <c r="K162" s="255"/>
      <c r="L162" s="263"/>
    </row>
    <row r="163" spans="2:16">
      <c r="B163" s="242"/>
      <c r="C163" s="243"/>
      <c r="D163" s="245"/>
      <c r="E163" s="247"/>
      <c r="F163" s="249"/>
      <c r="G163" s="251"/>
      <c r="H163" s="257"/>
      <c r="I163" s="259"/>
      <c r="J163" s="253"/>
      <c r="K163" s="255"/>
      <c r="L163" s="263"/>
      <c r="P163" s="73" t="s">
        <v>32</v>
      </c>
    </row>
    <row r="164" spans="2:16">
      <c r="B164" s="261" t="s">
        <v>411</v>
      </c>
      <c r="C164" s="243"/>
      <c r="D164" s="245"/>
      <c r="E164" s="247"/>
      <c r="F164" s="249"/>
      <c r="G164" s="251"/>
      <c r="H164" s="257"/>
      <c r="I164" s="259"/>
      <c r="J164" s="253"/>
      <c r="K164" s="255"/>
      <c r="L164" s="263"/>
    </row>
    <row r="165" spans="2:16" ht="76.5" customHeight="1" thickBot="1">
      <c r="B165" s="262"/>
      <c r="C165" s="244"/>
      <c r="D165" s="246"/>
      <c r="E165" s="248"/>
      <c r="F165" s="250"/>
      <c r="G165" s="252"/>
      <c r="H165" s="258"/>
      <c r="I165" s="260"/>
      <c r="J165" s="254"/>
      <c r="K165" s="256"/>
      <c r="L165" s="264"/>
    </row>
    <row r="166" spans="2:16" ht="16.5" customHeight="1">
      <c r="B166" s="84" t="s">
        <v>374</v>
      </c>
      <c r="C166" s="85"/>
      <c r="D166" s="126"/>
      <c r="E166" s="85"/>
      <c r="F166" s="85"/>
      <c r="G166" s="85"/>
      <c r="H166" s="85"/>
      <c r="I166" s="85"/>
      <c r="J166" s="85"/>
      <c r="K166" s="85"/>
      <c r="L166" s="85"/>
    </row>
    <row r="167" spans="2:16" ht="15.75" customHeight="1">
      <c r="B167" s="265" t="s">
        <v>375</v>
      </c>
      <c r="C167" s="265"/>
      <c r="D167" s="265"/>
      <c r="E167" s="265"/>
      <c r="F167" s="265"/>
      <c r="G167" s="265"/>
      <c r="H167" s="265"/>
      <c r="I167" s="265"/>
      <c r="J167" s="265"/>
      <c r="K167" s="265"/>
      <c r="L167" s="265"/>
    </row>
    <row r="168" spans="2:16" ht="21.75" customHeight="1">
      <c r="B168" s="266" t="s">
        <v>376</v>
      </c>
      <c r="C168" s="266"/>
      <c r="D168" s="266"/>
      <c r="E168" s="266"/>
      <c r="F168" s="266"/>
      <c r="G168" s="266"/>
      <c r="H168" s="266"/>
      <c r="I168" s="266"/>
      <c r="J168" s="266"/>
      <c r="K168" s="266"/>
      <c r="L168" s="266"/>
    </row>
    <row r="169" spans="2:16" ht="21.75" customHeight="1">
      <c r="B169" s="87"/>
      <c r="C169" s="87"/>
      <c r="D169" s="127"/>
      <c r="E169" s="87"/>
      <c r="F169" s="87"/>
      <c r="G169" s="87"/>
      <c r="H169" s="87"/>
      <c r="I169" s="87"/>
      <c r="J169" s="87"/>
      <c r="K169" s="87"/>
      <c r="L169" s="87"/>
    </row>
    <row r="170" spans="2:16" ht="29.25">
      <c r="B170" s="75" t="s">
        <v>412</v>
      </c>
      <c r="C170" s="88"/>
      <c r="D170" s="128"/>
    </row>
    <row r="171" spans="2:16" ht="24" customHeight="1">
      <c r="B171" s="93" t="s">
        <v>413</v>
      </c>
      <c r="C171" s="88"/>
      <c r="D171" s="128"/>
    </row>
    <row r="172" spans="2:16" ht="6" customHeight="1"/>
    <row r="173" spans="2:16" ht="73.5" customHeight="1">
      <c r="B173" s="78" t="s">
        <v>356</v>
      </c>
      <c r="C173" s="79" t="s">
        <v>357</v>
      </c>
      <c r="D173" s="124" t="s">
        <v>358</v>
      </c>
      <c r="E173" s="80" t="s">
        <v>359</v>
      </c>
      <c r="F173" s="80" t="s">
        <v>377</v>
      </c>
      <c r="G173" s="80" t="s">
        <v>378</v>
      </c>
      <c r="H173" s="80" t="s">
        <v>362</v>
      </c>
      <c r="I173" s="80" t="s">
        <v>363</v>
      </c>
      <c r="J173" s="80" t="s">
        <v>364</v>
      </c>
      <c r="K173" s="80" t="s">
        <v>365</v>
      </c>
      <c r="L173" s="81" t="s">
        <v>19</v>
      </c>
    </row>
    <row r="174" spans="2:16" ht="22.5" customHeight="1">
      <c r="B174" s="82" t="s">
        <v>366</v>
      </c>
      <c r="C174" s="83"/>
      <c r="D174" s="125"/>
      <c r="E174" s="83"/>
      <c r="F174" s="83"/>
      <c r="G174" s="83"/>
      <c r="H174" s="83"/>
      <c r="I174" s="83"/>
      <c r="J174" s="90"/>
      <c r="K174" s="83"/>
      <c r="L174" s="90"/>
    </row>
    <row r="175" spans="2:16" ht="15" customHeight="1">
      <c r="B175" s="242" t="str">
        <f>VLOOKUP(B178,Guide,2,FALSE)</f>
        <v>2 Year Fixed Rate  - Interest Only</v>
      </c>
      <c r="C175" s="243" t="str">
        <f>VLOOKUP(B178,Guide,3,FALSE)</f>
        <v>2.75%</v>
      </c>
      <c r="D175" s="245">
        <f>VLOOKUP(B178,Guide,4,FALSE)</f>
        <v>45504</v>
      </c>
      <c r="E175" s="247" t="str">
        <f>VLOOKUP(B178,Guide,5,FALSE)</f>
        <v>2%, 1% of amount repaid</v>
      </c>
      <c r="F175" s="249">
        <f>VLOOKUP(B178,Guide,6,FALSE)</f>
        <v>3.8</v>
      </c>
      <c r="G175" s="251">
        <f>VLOOKUP(B178,Guide,7,FALSE)</f>
        <v>80</v>
      </c>
      <c r="H175" s="257">
        <f>VLOOKUP(B178,Guide,8,FALSE)</f>
        <v>0</v>
      </c>
      <c r="I175" s="259">
        <f>VLOOKUP(B178,Guide,9,FALSE)</f>
        <v>0</v>
      </c>
      <c r="J175" s="253">
        <f>VLOOKUP(B178,Guide,10,FALSE)</f>
        <v>50000</v>
      </c>
      <c r="K175" s="255">
        <f>VLOOKUP(B178,Guide,11,FALSE)</f>
        <v>1500000</v>
      </c>
      <c r="L175" s="263" t="str">
        <f>VLOOKUP(B178,Guide,12,FALSE)</f>
        <v>Free Standard Valuation up to £500,000
Increased Overpayments Permitted (10% per annum)</v>
      </c>
    </row>
    <row r="176" spans="2:16" ht="27" customHeight="1">
      <c r="B176" s="242"/>
      <c r="C176" s="243"/>
      <c r="D176" s="245"/>
      <c r="E176" s="247"/>
      <c r="F176" s="249"/>
      <c r="G176" s="251"/>
      <c r="H176" s="257"/>
      <c r="I176" s="259"/>
      <c r="J176" s="253"/>
      <c r="K176" s="255"/>
      <c r="L176" s="263"/>
    </row>
    <row r="177" spans="2:17" ht="12.6" customHeight="1">
      <c r="B177" s="242"/>
      <c r="C177" s="243"/>
      <c r="D177" s="245"/>
      <c r="E177" s="247"/>
      <c r="F177" s="249"/>
      <c r="G177" s="251"/>
      <c r="H177" s="257"/>
      <c r="I177" s="259"/>
      <c r="J177" s="253"/>
      <c r="K177" s="255"/>
      <c r="L177" s="263"/>
      <c r="P177" s="73" t="s">
        <v>32</v>
      </c>
    </row>
    <row r="178" spans="2:17" ht="77.099999999999994" customHeight="1">
      <c r="B178" s="261" t="s">
        <v>414</v>
      </c>
      <c r="C178" s="243"/>
      <c r="D178" s="245"/>
      <c r="E178" s="247"/>
      <c r="F178" s="249"/>
      <c r="G178" s="251"/>
      <c r="H178" s="257"/>
      <c r="I178" s="259"/>
      <c r="J178" s="253"/>
      <c r="K178" s="255"/>
      <c r="L178" s="263"/>
    </row>
    <row r="179" spans="2:17" ht="22.5" customHeight="1" thickBot="1">
      <c r="B179" s="262"/>
      <c r="C179" s="244"/>
      <c r="D179" s="246"/>
      <c r="E179" s="248"/>
      <c r="F179" s="250"/>
      <c r="G179" s="252"/>
      <c r="H179" s="258"/>
      <c r="I179" s="260"/>
      <c r="J179" s="254"/>
      <c r="K179" s="256"/>
      <c r="L179" s="264"/>
    </row>
    <row r="180" spans="2:17" ht="18" customHeight="1">
      <c r="B180" s="242" t="str">
        <f>VLOOKUP(B183,Guide,2,FALSE)</f>
        <v>5 Year Fixed Rate  - Interest Only</v>
      </c>
      <c r="C180" s="243" t="str">
        <f>VLOOKUP(B183,Guide,3,FALSE)</f>
        <v>2.79%</v>
      </c>
      <c r="D180" s="245">
        <f>VLOOKUP(B183,Guide,4,FALSE)</f>
        <v>46599</v>
      </c>
      <c r="E180" s="247" t="str">
        <f>VLOOKUP(B183,Guide,5,FALSE)</f>
        <v>5%, 4%, 3%, 2%, 1% of amount repaid</v>
      </c>
      <c r="F180" s="249">
        <f>VLOOKUP(B183,Guide,6,FALSE)</f>
        <v>3.5</v>
      </c>
      <c r="G180" s="251">
        <f>VLOOKUP(B183,Guide,7,FALSE)</f>
        <v>80</v>
      </c>
      <c r="H180" s="257">
        <f>VLOOKUP(B183,Guide,8,FALSE)</f>
        <v>0</v>
      </c>
      <c r="I180" s="259">
        <f>VLOOKUP(B183,Guide,9,FALSE)</f>
        <v>999</v>
      </c>
      <c r="J180" s="253">
        <f>VLOOKUP(B183,Guide,10,FALSE)</f>
        <v>30000</v>
      </c>
      <c r="K180" s="255">
        <f>VLOOKUP(B183,Guide,11,FALSE)</f>
        <v>1500000</v>
      </c>
      <c r="L180" s="263" t="str">
        <f>VLOOKUP(B183,Guide,12,FALSE)</f>
        <v>Increased Overpayments Permitted (10% per annum)</v>
      </c>
    </row>
    <row r="181" spans="2:17" ht="24" customHeight="1">
      <c r="B181" s="242"/>
      <c r="C181" s="243"/>
      <c r="D181" s="245"/>
      <c r="E181" s="247"/>
      <c r="F181" s="249"/>
      <c r="G181" s="251"/>
      <c r="H181" s="257"/>
      <c r="I181" s="259"/>
      <c r="J181" s="253"/>
      <c r="K181" s="255"/>
      <c r="L181" s="263"/>
    </row>
    <row r="182" spans="2:17" ht="21" customHeight="1">
      <c r="B182" s="242"/>
      <c r="C182" s="243"/>
      <c r="D182" s="245"/>
      <c r="E182" s="247"/>
      <c r="F182" s="249"/>
      <c r="G182" s="251"/>
      <c r="H182" s="257"/>
      <c r="I182" s="259"/>
      <c r="J182" s="253"/>
      <c r="K182" s="255"/>
      <c r="L182" s="263"/>
    </row>
    <row r="183" spans="2:17" ht="37.5" customHeight="1">
      <c r="B183" s="261" t="s">
        <v>415</v>
      </c>
      <c r="C183" s="243"/>
      <c r="D183" s="245"/>
      <c r="E183" s="247"/>
      <c r="F183" s="249"/>
      <c r="G183" s="251"/>
      <c r="H183" s="257"/>
      <c r="I183" s="259"/>
      <c r="J183" s="253"/>
      <c r="K183" s="255"/>
      <c r="L183" s="263"/>
    </row>
    <row r="184" spans="2:17" ht="12" customHeight="1" thickBot="1">
      <c r="B184" s="262"/>
      <c r="C184" s="244"/>
      <c r="D184" s="246"/>
      <c r="E184" s="248"/>
      <c r="F184" s="250"/>
      <c r="G184" s="252"/>
      <c r="H184" s="258"/>
      <c r="I184" s="260"/>
      <c r="J184" s="254"/>
      <c r="K184" s="256"/>
      <c r="L184" s="264"/>
    </row>
    <row r="185" spans="2:17" ht="34.5" customHeight="1">
      <c r="B185" s="242" t="str">
        <f>VLOOKUP(B188,Guide,2,FALSE)</f>
        <v>5 Year Fixed Rate  - Interest Only</v>
      </c>
      <c r="C185" s="243" t="str">
        <f>VLOOKUP(B188,Guide,3,FALSE)</f>
        <v>2.85%</v>
      </c>
      <c r="D185" s="245">
        <f>VLOOKUP(B188,Guide,4,FALSE)</f>
        <v>46599</v>
      </c>
      <c r="E185" s="247" t="str">
        <f>VLOOKUP(B188,Guide,5,FALSE)</f>
        <v>5%, 4%, 3%, 2%, 1% of amount repaid</v>
      </c>
      <c r="F185" s="249">
        <f>VLOOKUP(B188,Guide,6,FALSE)</f>
        <v>3.5</v>
      </c>
      <c r="G185" s="251">
        <f>VLOOKUP(B188,Guide,7,FALSE)</f>
        <v>80</v>
      </c>
      <c r="H185" s="257">
        <f>VLOOKUP(B188,Guide,8,FALSE)</f>
        <v>0</v>
      </c>
      <c r="I185" s="259">
        <f>VLOOKUP(B188,Guide,9,FALSE)</f>
        <v>0</v>
      </c>
      <c r="J185" s="253">
        <f>VLOOKUP(B188,Guide,10,FALSE)</f>
        <v>50000</v>
      </c>
      <c r="K185" s="255">
        <f>VLOOKUP(B188,Guide,11,FALSE)</f>
        <v>1500000</v>
      </c>
      <c r="L185" s="263" t="str">
        <f>VLOOKUP(B188,Guide,12,FALSE)</f>
        <v>Free Standard Valuation up to £500,000
Increased Overpayments Permitted (10% per annum)</v>
      </c>
    </row>
    <row r="186" spans="2:17" ht="32.1" customHeight="1">
      <c r="B186" s="242"/>
      <c r="C186" s="243"/>
      <c r="D186" s="245"/>
      <c r="E186" s="247"/>
      <c r="F186" s="249"/>
      <c r="G186" s="251"/>
      <c r="H186" s="257"/>
      <c r="I186" s="259"/>
      <c r="J186" s="253"/>
      <c r="K186" s="255"/>
      <c r="L186" s="263"/>
    </row>
    <row r="187" spans="2:17" ht="9" customHeight="1">
      <c r="B187" s="242"/>
      <c r="C187" s="243"/>
      <c r="D187" s="245"/>
      <c r="E187" s="247"/>
      <c r="F187" s="249"/>
      <c r="G187" s="251"/>
      <c r="H187" s="257"/>
      <c r="I187" s="259"/>
      <c r="J187" s="253"/>
      <c r="K187" s="255"/>
      <c r="L187" s="263"/>
    </row>
    <row r="188" spans="2:17" ht="25.5" customHeight="1">
      <c r="B188" s="261" t="s">
        <v>416</v>
      </c>
      <c r="C188" s="243"/>
      <c r="D188" s="245"/>
      <c r="E188" s="247"/>
      <c r="F188" s="249"/>
      <c r="G188" s="251"/>
      <c r="H188" s="257"/>
      <c r="I188" s="259"/>
      <c r="J188" s="253"/>
      <c r="K188" s="255"/>
      <c r="L188" s="263"/>
    </row>
    <row r="189" spans="2:17" ht="24" customHeight="1" thickBot="1">
      <c r="B189" s="262"/>
      <c r="C189" s="244"/>
      <c r="D189" s="246"/>
      <c r="E189" s="248"/>
      <c r="F189" s="250"/>
      <c r="G189" s="252"/>
      <c r="H189" s="258"/>
      <c r="I189" s="260"/>
      <c r="J189" s="254"/>
      <c r="K189" s="256"/>
      <c r="L189" s="264"/>
      <c r="Q189" s="73" t="s">
        <v>32</v>
      </c>
    </row>
    <row r="190" spans="2:17" ht="16.5" customHeight="1">
      <c r="B190" s="84" t="s">
        <v>374</v>
      </c>
      <c r="C190" s="85"/>
      <c r="D190" s="126"/>
      <c r="E190" s="85"/>
      <c r="F190" s="85"/>
      <c r="G190" s="85"/>
      <c r="H190" s="85"/>
      <c r="I190" s="85"/>
      <c r="J190" s="85"/>
      <c r="K190" s="85"/>
      <c r="L190" s="85"/>
    </row>
    <row r="191" spans="2:17" ht="15.75" customHeight="1">
      <c r="B191" s="265" t="s">
        <v>375</v>
      </c>
      <c r="C191" s="265"/>
      <c r="D191" s="265"/>
      <c r="E191" s="265"/>
      <c r="F191" s="265"/>
      <c r="G191" s="265"/>
      <c r="H191" s="265"/>
      <c r="I191" s="265"/>
      <c r="J191" s="265"/>
      <c r="K191" s="265"/>
      <c r="L191" s="265"/>
    </row>
    <row r="192" spans="2:17" ht="21.75" customHeight="1">
      <c r="B192" s="266" t="s">
        <v>376</v>
      </c>
      <c r="C192" s="266"/>
      <c r="D192" s="266"/>
      <c r="E192" s="266"/>
      <c r="F192" s="266"/>
      <c r="G192" s="266"/>
      <c r="H192" s="266"/>
      <c r="I192" s="266"/>
      <c r="J192" s="266"/>
      <c r="K192" s="266"/>
      <c r="L192" s="266"/>
    </row>
    <row r="194" spans="2:15" ht="24" customHeight="1">
      <c r="B194" s="75" t="s">
        <v>417</v>
      </c>
      <c r="C194" s="88"/>
      <c r="D194" s="128"/>
    </row>
    <row r="195" spans="2:15" ht="17.25" customHeight="1"/>
    <row r="196" spans="2:15" ht="72.75" thickBot="1">
      <c r="B196" s="94" t="s">
        <v>356</v>
      </c>
      <c r="C196" s="95" t="s">
        <v>357</v>
      </c>
      <c r="D196" s="130" t="s">
        <v>358</v>
      </c>
      <c r="E196" s="96" t="s">
        <v>359</v>
      </c>
      <c r="F196" s="96" t="s">
        <v>377</v>
      </c>
      <c r="G196" s="96" t="s">
        <v>378</v>
      </c>
      <c r="H196" s="96" t="s">
        <v>362</v>
      </c>
      <c r="I196" s="96" t="s">
        <v>13</v>
      </c>
      <c r="J196" s="96" t="s">
        <v>364</v>
      </c>
      <c r="K196" s="96" t="s">
        <v>365</v>
      </c>
      <c r="L196" s="97" t="s">
        <v>19</v>
      </c>
    </row>
    <row r="197" spans="2:15" ht="24" customHeight="1">
      <c r="B197" s="82" t="s">
        <v>418</v>
      </c>
      <c r="C197" s="83"/>
      <c r="D197" s="125"/>
      <c r="E197" s="83"/>
      <c r="F197" s="83"/>
      <c r="G197" s="83"/>
      <c r="H197" s="83"/>
      <c r="I197" s="83"/>
      <c r="J197" s="83"/>
      <c r="K197" s="83"/>
      <c r="L197" s="83"/>
    </row>
    <row r="198" spans="2:15" ht="24" customHeight="1">
      <c r="B198" s="242" t="str">
        <f>VLOOKUP(B201,Guide,2,FALSE)</f>
        <v xml:space="preserve">2 Year Fixed Rate - Repayment </v>
      </c>
      <c r="C198" s="243" t="str">
        <f>VLOOKUP(B201,Guide,3,FALSE)</f>
        <v>2.7%</v>
      </c>
      <c r="D198" s="245">
        <f>VLOOKUP(B201,Guide,4,FALSE)</f>
        <v>45504</v>
      </c>
      <c r="E198" s="247" t="str">
        <f>VLOOKUP(B201,Guide,5,FALSE)</f>
        <v>2%, 1% of amount repaid</v>
      </c>
      <c r="F198" s="249">
        <f>VLOOKUP(B201,Guide,6,FALSE)</f>
        <v>3.8</v>
      </c>
      <c r="G198" s="251">
        <f>VLOOKUP(B201,Guide,7,FALSE)</f>
        <v>80</v>
      </c>
      <c r="H198" s="257">
        <f>VLOOKUP(B201,Guide,8,FALSE)</f>
        <v>0</v>
      </c>
      <c r="I198" s="259">
        <f>VLOOKUP(B201,Guide,9,FALSE)</f>
        <v>0</v>
      </c>
      <c r="J198" s="253">
        <f>VLOOKUP(B201,Guide,10,FALSE)</f>
        <v>25000</v>
      </c>
      <c r="K198" s="255">
        <f>VLOOKUP(B201,Guide,11,FALSE)</f>
        <v>1500000</v>
      </c>
      <c r="L198" s="263" t="str">
        <f>VLOOKUP(B201,Guide,12,FALSE)</f>
        <v>Free Standard Valuation up to £500,000
Increased Overpayments Permitted (10% per annum)</v>
      </c>
    </row>
    <row r="199" spans="2:15" ht="39.950000000000003" customHeight="1">
      <c r="B199" s="242"/>
      <c r="C199" s="243"/>
      <c r="D199" s="245"/>
      <c r="E199" s="247"/>
      <c r="F199" s="249"/>
      <c r="G199" s="251"/>
      <c r="H199" s="257"/>
      <c r="I199" s="259"/>
      <c r="J199" s="253"/>
      <c r="K199" s="255"/>
      <c r="L199" s="263"/>
    </row>
    <row r="200" spans="2:15" ht="9.6" customHeight="1">
      <c r="B200" s="242"/>
      <c r="C200" s="243"/>
      <c r="D200" s="245"/>
      <c r="E200" s="247"/>
      <c r="F200" s="249"/>
      <c r="G200" s="251"/>
      <c r="H200" s="257"/>
      <c r="I200" s="259"/>
      <c r="J200" s="253"/>
      <c r="K200" s="255"/>
      <c r="L200" s="263"/>
    </row>
    <row r="201" spans="2:15" ht="41.1" customHeight="1">
      <c r="B201" s="261" t="s">
        <v>419</v>
      </c>
      <c r="C201" s="243"/>
      <c r="D201" s="245"/>
      <c r="E201" s="247"/>
      <c r="F201" s="249"/>
      <c r="G201" s="251"/>
      <c r="H201" s="257"/>
      <c r="I201" s="259"/>
      <c r="J201" s="253"/>
      <c r="K201" s="255"/>
      <c r="L201" s="263"/>
    </row>
    <row r="202" spans="2:15" ht="15.95" customHeight="1" thickBot="1">
      <c r="B202" s="262"/>
      <c r="C202" s="244"/>
      <c r="D202" s="246"/>
      <c r="E202" s="248"/>
      <c r="F202" s="250"/>
      <c r="G202" s="252"/>
      <c r="H202" s="258"/>
      <c r="I202" s="260"/>
      <c r="J202" s="254"/>
      <c r="K202" s="256"/>
      <c r="L202" s="264"/>
    </row>
    <row r="203" spans="2:15" ht="24" customHeight="1">
      <c r="B203" s="242" t="str">
        <f>VLOOKUP(B206,Guide,2,FALSE)</f>
        <v xml:space="preserve">2 Year Fixed Rate - Repayment </v>
      </c>
      <c r="C203" s="243" t="str">
        <f>VLOOKUP(B206,Guide,3,FALSE)</f>
        <v>2.80%</v>
      </c>
      <c r="D203" s="245">
        <f>VLOOKUP(B206,Guide,4,FALSE)</f>
        <v>45504</v>
      </c>
      <c r="E203" s="247" t="str">
        <f>VLOOKUP(B206,Guide,5,FALSE)</f>
        <v>2%, 1% of amount repaid</v>
      </c>
      <c r="F203" s="249">
        <f>VLOOKUP(B206,Guide,6,FALSE)</f>
        <v>3.8</v>
      </c>
      <c r="G203" s="251">
        <f>VLOOKUP(B206,Guide,7,FALSE)</f>
        <v>85</v>
      </c>
      <c r="H203" s="257">
        <f>VLOOKUP(B206,Guide,8,FALSE)</f>
        <v>0</v>
      </c>
      <c r="I203" s="259">
        <f>VLOOKUP(B206,Guide,9,FALSE)</f>
        <v>0</v>
      </c>
      <c r="J203" s="253">
        <f>VLOOKUP(B206,Guide,10,FALSE)</f>
        <v>25000</v>
      </c>
      <c r="K203" s="255">
        <f>VLOOKUP(B206,Guide,11,FALSE)</f>
        <v>750000</v>
      </c>
      <c r="L203" s="263" t="str">
        <f>VLOOKUP(B206,Guide,12,FALSE)</f>
        <v>Free Standard Valuation up to £500,000
Increased Overpayments Permitted (10% per annum)</v>
      </c>
    </row>
    <row r="204" spans="2:15" ht="39.950000000000003" customHeight="1">
      <c r="B204" s="242"/>
      <c r="C204" s="243"/>
      <c r="D204" s="245"/>
      <c r="E204" s="247"/>
      <c r="F204" s="249"/>
      <c r="G204" s="251"/>
      <c r="H204" s="257"/>
      <c r="I204" s="259"/>
      <c r="J204" s="253"/>
      <c r="K204" s="255"/>
      <c r="L204" s="263"/>
    </row>
    <row r="205" spans="2:15" ht="9.6" customHeight="1">
      <c r="B205" s="242"/>
      <c r="C205" s="243"/>
      <c r="D205" s="245"/>
      <c r="E205" s="247"/>
      <c r="F205" s="249"/>
      <c r="G205" s="251"/>
      <c r="H205" s="257"/>
      <c r="I205" s="259"/>
      <c r="J205" s="253"/>
      <c r="K205" s="255"/>
      <c r="L205" s="263"/>
    </row>
    <row r="206" spans="2:15" ht="41.1" customHeight="1">
      <c r="B206" s="261" t="s">
        <v>420</v>
      </c>
      <c r="C206" s="243"/>
      <c r="D206" s="245"/>
      <c r="E206" s="247"/>
      <c r="F206" s="249"/>
      <c r="G206" s="251"/>
      <c r="H206" s="257"/>
      <c r="I206" s="259"/>
      <c r="J206" s="253"/>
      <c r="K206" s="255"/>
      <c r="L206" s="263"/>
    </row>
    <row r="207" spans="2:15" ht="15.95" customHeight="1" thickBot="1">
      <c r="B207" s="262"/>
      <c r="C207" s="244"/>
      <c r="D207" s="246"/>
      <c r="E207" s="248"/>
      <c r="F207" s="250"/>
      <c r="G207" s="252"/>
      <c r="H207" s="258"/>
      <c r="I207" s="260"/>
      <c r="J207" s="254"/>
      <c r="K207" s="256"/>
      <c r="L207" s="264"/>
    </row>
    <row r="208" spans="2:15" ht="24" customHeight="1">
      <c r="B208" s="242" t="str">
        <f>VLOOKUP(B211,Guide,2,FALSE)</f>
        <v xml:space="preserve">2 Year Fixed Rate - Repayment </v>
      </c>
      <c r="C208" s="243" t="str">
        <f>VLOOKUP(B211,Guide,3,FALSE)</f>
        <v>2.95%</v>
      </c>
      <c r="D208" s="245">
        <f>VLOOKUP(B211,Guide,4,FALSE)</f>
        <v>45504</v>
      </c>
      <c r="E208" s="247" t="str">
        <f>VLOOKUP(B211,Guide,5,FALSE)</f>
        <v>2%, 1% of amount repaid</v>
      </c>
      <c r="F208" s="249">
        <f>VLOOKUP(B211,Guide,6,FALSE)</f>
        <v>3.8</v>
      </c>
      <c r="G208" s="251">
        <f>VLOOKUP(B211,Guide,7,FALSE)</f>
        <v>90</v>
      </c>
      <c r="H208" s="257">
        <f>VLOOKUP(B211,Guide,8,FALSE)</f>
        <v>0</v>
      </c>
      <c r="I208" s="259">
        <f>VLOOKUP(B211,Guide,9,FALSE)</f>
        <v>0</v>
      </c>
      <c r="J208" s="253">
        <f>VLOOKUP(B211,Guide,10,FALSE)</f>
        <v>25000</v>
      </c>
      <c r="K208" s="255">
        <f>VLOOKUP(B211,Guide,11,FALSE)</f>
        <v>750000</v>
      </c>
      <c r="L208" s="263" t="str">
        <f>VLOOKUP(B211,Guide,12,FALSE)</f>
        <v>Free Standard Valuation up to £500,000
Increased Overpayments Permitted (10% per annum)</v>
      </c>
      <c r="O208" s="73" t="s">
        <v>32</v>
      </c>
    </row>
    <row r="209" spans="2:17" ht="48" customHeight="1">
      <c r="B209" s="242"/>
      <c r="C209" s="243"/>
      <c r="D209" s="245"/>
      <c r="E209" s="247"/>
      <c r="F209" s="249"/>
      <c r="G209" s="251"/>
      <c r="H209" s="257"/>
      <c r="I209" s="259"/>
      <c r="J209" s="253"/>
      <c r="K209" s="255"/>
      <c r="L209" s="263"/>
    </row>
    <row r="210" spans="2:17" ht="9.75" customHeight="1">
      <c r="B210" s="242"/>
      <c r="C210" s="243"/>
      <c r="D210" s="245"/>
      <c r="E210" s="247"/>
      <c r="F210" s="249"/>
      <c r="G210" s="251"/>
      <c r="H210" s="257"/>
      <c r="I210" s="259"/>
      <c r="J210" s="253"/>
      <c r="K210" s="255"/>
      <c r="L210" s="263"/>
    </row>
    <row r="211" spans="2:17" ht="41.25" customHeight="1">
      <c r="B211" s="261" t="s">
        <v>421</v>
      </c>
      <c r="C211" s="243"/>
      <c r="D211" s="245"/>
      <c r="E211" s="247"/>
      <c r="F211" s="249"/>
      <c r="G211" s="251"/>
      <c r="H211" s="257"/>
      <c r="I211" s="259"/>
      <c r="J211" s="253"/>
      <c r="K211" s="255"/>
      <c r="L211" s="263"/>
      <c r="Q211" s="73" t="s">
        <v>32</v>
      </c>
    </row>
    <row r="212" spans="2:17" ht="20.100000000000001" customHeight="1" thickBot="1">
      <c r="B212" s="262"/>
      <c r="C212" s="244"/>
      <c r="D212" s="246"/>
      <c r="E212" s="248"/>
      <c r="F212" s="250"/>
      <c r="G212" s="252"/>
      <c r="H212" s="258"/>
      <c r="I212" s="260"/>
      <c r="J212" s="254"/>
      <c r="K212" s="256"/>
      <c r="L212" s="264"/>
      <c r="N212" s="73" t="s">
        <v>32</v>
      </c>
    </row>
    <row r="213" spans="2:17" ht="24" customHeight="1">
      <c r="B213" s="242" t="str">
        <f>VLOOKUP(B216,Guide,2,FALSE)</f>
        <v xml:space="preserve">2 Year Fixed Rate - Repayment </v>
      </c>
      <c r="C213" s="243" t="str">
        <f>VLOOKUP(B216,Guide,3,FALSE)</f>
        <v>3.05%</v>
      </c>
      <c r="D213" s="245">
        <f>VLOOKUP(B216,Guide,4,FALSE)</f>
        <v>45504</v>
      </c>
      <c r="E213" s="247" t="str">
        <f>VLOOKUP(B216,Guide,5,FALSE)</f>
        <v>2%, 1% of amount repaid</v>
      </c>
      <c r="F213" s="249">
        <f>VLOOKUP(B216,Guide,6,FALSE)</f>
        <v>3.9</v>
      </c>
      <c r="G213" s="251">
        <f>VLOOKUP(B216,Guide,7,FALSE)</f>
        <v>95</v>
      </c>
      <c r="H213" s="257">
        <f>VLOOKUP(B216,Guide,8,FALSE)</f>
        <v>0</v>
      </c>
      <c r="I213" s="259">
        <f>VLOOKUP(B216,Guide,9,FALSE)</f>
        <v>0</v>
      </c>
      <c r="J213" s="253">
        <f>VLOOKUP(B216,Guide,10,FALSE)</f>
        <v>25000</v>
      </c>
      <c r="K213" s="255">
        <f>VLOOKUP(B216,Guide,11,FALSE)</f>
        <v>500000</v>
      </c>
      <c r="L213" s="263" t="str">
        <f>VLOOKUP(B216,Guide,12,FALSE)</f>
        <v>Free Standard Valuation up to £500,000
Increased Overpayments Permitted (10% per annum)</v>
      </c>
    </row>
    <row r="214" spans="2:17" ht="36.950000000000003" customHeight="1">
      <c r="B214" s="242"/>
      <c r="C214" s="243"/>
      <c r="D214" s="245"/>
      <c r="E214" s="247"/>
      <c r="F214" s="249"/>
      <c r="G214" s="251"/>
      <c r="H214" s="257"/>
      <c r="I214" s="259"/>
      <c r="J214" s="253"/>
      <c r="K214" s="255"/>
      <c r="L214" s="263"/>
    </row>
    <row r="215" spans="2:17" ht="12.6" customHeight="1">
      <c r="B215" s="242"/>
      <c r="C215" s="243"/>
      <c r="D215" s="245"/>
      <c r="E215" s="247"/>
      <c r="F215" s="249"/>
      <c r="G215" s="251"/>
      <c r="H215" s="257"/>
      <c r="I215" s="259"/>
      <c r="J215" s="253"/>
      <c r="K215" s="255"/>
      <c r="L215" s="263"/>
    </row>
    <row r="216" spans="2:17" ht="41.25" customHeight="1">
      <c r="B216" s="261" t="s">
        <v>422</v>
      </c>
      <c r="C216" s="243"/>
      <c r="D216" s="245"/>
      <c r="E216" s="247"/>
      <c r="F216" s="249"/>
      <c r="G216" s="251"/>
      <c r="H216" s="257"/>
      <c r="I216" s="259"/>
      <c r="J216" s="253"/>
      <c r="K216" s="255"/>
      <c r="L216" s="263"/>
    </row>
    <row r="217" spans="2:17" ht="26.1" customHeight="1" thickBot="1">
      <c r="B217" s="262"/>
      <c r="C217" s="244"/>
      <c r="D217" s="246"/>
      <c r="E217" s="248"/>
      <c r="F217" s="250"/>
      <c r="G217" s="252"/>
      <c r="H217" s="258"/>
      <c r="I217" s="260"/>
      <c r="J217" s="254"/>
      <c r="K217" s="256"/>
      <c r="L217" s="264"/>
    </row>
    <row r="218" spans="2:17" ht="15.75" customHeight="1">
      <c r="B218" s="278" t="s">
        <v>375</v>
      </c>
      <c r="C218" s="278"/>
      <c r="D218" s="278"/>
      <c r="E218" s="278"/>
      <c r="F218" s="278"/>
      <c r="G218" s="278"/>
      <c r="H218" s="278"/>
      <c r="I218" s="278"/>
      <c r="J218" s="278"/>
      <c r="K218" s="278"/>
      <c r="L218" s="278"/>
    </row>
    <row r="219" spans="2:17" ht="21.75" customHeight="1">
      <c r="B219" s="266" t="s">
        <v>376</v>
      </c>
      <c r="C219" s="266"/>
      <c r="D219" s="266"/>
      <c r="E219" s="266"/>
      <c r="F219" s="266"/>
      <c r="G219" s="266"/>
      <c r="H219" s="266"/>
      <c r="I219" s="266"/>
      <c r="J219" s="266"/>
      <c r="K219" s="266"/>
      <c r="L219" s="266"/>
    </row>
    <row r="220" spans="2:17" ht="24" customHeight="1">
      <c r="B220" s="75" t="s">
        <v>423</v>
      </c>
      <c r="C220" s="88"/>
      <c r="D220" s="128"/>
    </row>
    <row r="221" spans="2:17" ht="17.25" customHeight="1"/>
    <row r="222" spans="2:17" ht="72.75" thickBot="1">
      <c r="B222" s="94" t="s">
        <v>356</v>
      </c>
      <c r="C222" s="95" t="s">
        <v>357</v>
      </c>
      <c r="D222" s="130" t="s">
        <v>358</v>
      </c>
      <c r="E222" s="96" t="s">
        <v>359</v>
      </c>
      <c r="F222" s="96" t="s">
        <v>377</v>
      </c>
      <c r="G222" s="96" t="s">
        <v>378</v>
      </c>
      <c r="H222" s="96" t="s">
        <v>362</v>
      </c>
      <c r="I222" s="96" t="s">
        <v>363</v>
      </c>
      <c r="J222" s="96" t="s">
        <v>364</v>
      </c>
      <c r="K222" s="96" t="s">
        <v>365</v>
      </c>
      <c r="L222" s="97" t="s">
        <v>19</v>
      </c>
      <c r="O222" s="73" t="s">
        <v>32</v>
      </c>
      <c r="Q222" s="73" t="s">
        <v>32</v>
      </c>
    </row>
    <row r="223" spans="2:17" ht="24" customHeight="1">
      <c r="B223" s="82" t="s">
        <v>424</v>
      </c>
      <c r="C223" s="83"/>
      <c r="D223" s="125"/>
      <c r="E223" s="83"/>
      <c r="F223" s="83"/>
      <c r="G223" s="83"/>
      <c r="H223" s="83"/>
      <c r="I223" s="83"/>
      <c r="J223" s="83"/>
      <c r="K223" s="83"/>
      <c r="L223" s="83"/>
    </row>
    <row r="224" spans="2:17" ht="21.6" customHeight="1">
      <c r="B224" s="242" t="str">
        <f>VLOOKUP(B227,Guide,2,FALSE)</f>
        <v xml:space="preserve">2 Year Fixed Rate - Repayment &amp; Interest Only </v>
      </c>
      <c r="C224" s="243" t="str">
        <f>VLOOKUP(B227,Guide,3,FALSE)</f>
        <v>2.25%</v>
      </c>
      <c r="D224" s="245">
        <f>VLOOKUP(B227,Guide,4,FALSE)</f>
        <v>45565</v>
      </c>
      <c r="E224" s="247" t="str">
        <f>VLOOKUP(B227,Guide,5,FALSE)</f>
        <v>2%, 1% of amount repaid</v>
      </c>
      <c r="F224" s="249">
        <f>VLOOKUP(B227,Guide,6,FALSE)</f>
        <v>3.7</v>
      </c>
      <c r="G224" s="251">
        <f>VLOOKUP(B227,Guide,7,FALSE)</f>
        <v>75</v>
      </c>
      <c r="H224" s="257">
        <f>VLOOKUP(B227,Guide,8,FALSE)</f>
        <v>0</v>
      </c>
      <c r="I224" s="259">
        <f>VLOOKUP(B227,Guide,9,FALSE)</f>
        <v>999</v>
      </c>
      <c r="J224" s="253">
        <f>VLOOKUP(B227,Guide,10,FALSE)</f>
        <v>50000</v>
      </c>
      <c r="K224" s="255">
        <f>VLOOKUP(B227,Guide,11,FALSE)</f>
        <v>1000000</v>
      </c>
      <c r="L224" s="263" t="str">
        <f>VLOOKUP(B227,Guide,12,FALSE)</f>
        <v>Increased Overpayments Permitted (10% per annum)</v>
      </c>
      <c r="O224" s="73" t="s">
        <v>32</v>
      </c>
    </row>
    <row r="225" spans="2:15" ht="21.6" customHeight="1">
      <c r="B225" s="242"/>
      <c r="C225" s="243"/>
      <c r="D225" s="245"/>
      <c r="E225" s="247"/>
      <c r="F225" s="249"/>
      <c r="G225" s="251"/>
      <c r="H225" s="257"/>
      <c r="I225" s="259"/>
      <c r="J225" s="253"/>
      <c r="K225" s="255"/>
      <c r="L225" s="263"/>
      <c r="N225" s="73" t="s">
        <v>32</v>
      </c>
    </row>
    <row r="226" spans="2:15" ht="25.5" customHeight="1">
      <c r="B226" s="242"/>
      <c r="C226" s="243"/>
      <c r="D226" s="245"/>
      <c r="E226" s="247"/>
      <c r="F226" s="249"/>
      <c r="G226" s="251"/>
      <c r="H226" s="257"/>
      <c r="I226" s="259"/>
      <c r="J226" s="253"/>
      <c r="K226" s="255"/>
      <c r="L226" s="263"/>
    </row>
    <row r="227" spans="2:15" ht="62.25" customHeight="1">
      <c r="B227" s="261" t="s">
        <v>425</v>
      </c>
      <c r="C227" s="243"/>
      <c r="D227" s="245"/>
      <c r="E227" s="247"/>
      <c r="F227" s="249"/>
      <c r="G227" s="251"/>
      <c r="H227" s="257"/>
      <c r="I227" s="259"/>
      <c r="J227" s="253"/>
      <c r="K227" s="255"/>
      <c r="L227" s="263"/>
    </row>
    <row r="228" spans="2:15" ht="62.25" customHeight="1" thickBot="1">
      <c r="B228" s="262"/>
      <c r="C228" s="244"/>
      <c r="D228" s="246"/>
      <c r="E228" s="248"/>
      <c r="F228" s="250"/>
      <c r="G228" s="252"/>
      <c r="H228" s="258"/>
      <c r="I228" s="260"/>
      <c r="J228" s="254"/>
      <c r="K228" s="256"/>
      <c r="L228" s="264"/>
    </row>
    <row r="229" spans="2:15" ht="62.25" customHeight="1">
      <c r="B229" s="242" t="str">
        <f>VLOOKUP(B232,Guide,2,FALSE)</f>
        <v xml:space="preserve">2 Year Fixed Rate - Repayment &amp; Interest Only </v>
      </c>
      <c r="C229" s="243" t="str">
        <f>VLOOKUP(B232,Guide,3,FALSE)</f>
        <v>2.89%</v>
      </c>
      <c r="D229" s="245">
        <f>VLOOKUP(B232,Guide,4,FALSE)</f>
        <v>45565</v>
      </c>
      <c r="E229" s="247" t="str">
        <f>VLOOKUP(B232,Guide,5,FALSE)</f>
        <v>2%, 1% of amount repaid</v>
      </c>
      <c r="F229" s="249">
        <f>VLOOKUP(B232,Guide,6,FALSE)</f>
        <v>3.9</v>
      </c>
      <c r="G229" s="251">
        <f>VLOOKUP(B232,Guide,7,FALSE)</f>
        <v>80</v>
      </c>
      <c r="H229" s="257">
        <f>VLOOKUP(B232,Guide,8,FALSE)</f>
        <v>0</v>
      </c>
      <c r="I229" s="259">
        <f>VLOOKUP(B232,Guide,9,FALSE)</f>
        <v>999</v>
      </c>
      <c r="J229" s="253">
        <f>VLOOKUP(B232,Guide,10,FALSE)</f>
        <v>50000</v>
      </c>
      <c r="K229" s="255">
        <f>VLOOKUP(B232,Guide,11,FALSE)</f>
        <v>500000</v>
      </c>
      <c r="L229" s="263" t="str">
        <f>VLOOKUP(B232,Guide,12,FALSE)</f>
        <v>Increased Overpayments Permitted (10% per annum)</v>
      </c>
    </row>
    <row r="230" spans="2:15" ht="21.6" customHeight="1">
      <c r="B230" s="242"/>
      <c r="C230" s="243"/>
      <c r="D230" s="245"/>
      <c r="E230" s="247"/>
      <c r="F230" s="249"/>
      <c r="G230" s="251"/>
      <c r="H230" s="257"/>
      <c r="I230" s="259"/>
      <c r="J230" s="253"/>
      <c r="K230" s="255"/>
      <c r="L230" s="263"/>
      <c r="O230" s="73" t="s">
        <v>32</v>
      </c>
    </row>
    <row r="231" spans="2:15" ht="21.6" customHeight="1">
      <c r="B231" s="242"/>
      <c r="C231" s="243"/>
      <c r="D231" s="245"/>
      <c r="E231" s="247"/>
      <c r="F231" s="249"/>
      <c r="G231" s="251"/>
      <c r="H231" s="257"/>
      <c r="I231" s="259"/>
      <c r="J231" s="253"/>
      <c r="K231" s="255"/>
      <c r="L231" s="263"/>
      <c r="N231" s="73" t="s">
        <v>32</v>
      </c>
    </row>
    <row r="232" spans="2:15" ht="25.5" customHeight="1">
      <c r="B232" s="261" t="s">
        <v>426</v>
      </c>
      <c r="C232" s="243"/>
      <c r="D232" s="245"/>
      <c r="E232" s="247"/>
      <c r="F232" s="249"/>
      <c r="G232" s="251"/>
      <c r="H232" s="257"/>
      <c r="I232" s="259"/>
      <c r="J232" s="253"/>
      <c r="K232" s="255"/>
      <c r="L232" s="263"/>
    </row>
    <row r="233" spans="2:15" ht="62.25" customHeight="1" thickBot="1">
      <c r="B233" s="262"/>
      <c r="C233" s="244"/>
      <c r="D233" s="246"/>
      <c r="E233" s="248"/>
      <c r="F233" s="250"/>
      <c r="G233" s="252"/>
      <c r="H233" s="258"/>
      <c r="I233" s="260"/>
      <c r="J233" s="254"/>
      <c r="K233" s="256"/>
      <c r="L233" s="264"/>
    </row>
    <row r="234" spans="2:15" ht="24" customHeight="1">
      <c r="B234" s="82" t="s">
        <v>427</v>
      </c>
      <c r="C234" s="83"/>
      <c r="D234" s="125"/>
      <c r="E234" s="83"/>
      <c r="F234" s="83"/>
      <c r="G234" s="83"/>
      <c r="H234" s="83"/>
      <c r="I234" s="83"/>
      <c r="J234" s="83"/>
      <c r="K234" s="83"/>
      <c r="L234" s="83"/>
    </row>
    <row r="235" spans="2:15" ht="28.5" customHeight="1">
      <c r="B235" s="242" t="str">
        <f>VLOOKUP(B238,Guide,2,FALSE)</f>
        <v>5 Year Fixed Rate - Repayment &amp; Interest Only</v>
      </c>
      <c r="C235" s="243" t="str">
        <f>VLOOKUP(B238,Guide,3,FALSE)</f>
        <v>2.45%</v>
      </c>
      <c r="D235" s="245">
        <f>VLOOKUP(B238,Guide,4,FALSE)</f>
        <v>46660</v>
      </c>
      <c r="E235" s="247" t="str">
        <f>VLOOKUP(B238,Guide,5,FALSE)</f>
        <v>5%, 4%, 3%, 2%, 1% of amount repaid</v>
      </c>
      <c r="F235" s="249">
        <f>VLOOKUP(B238,Guide,6,FALSE)</f>
        <v>3.3</v>
      </c>
      <c r="G235" s="251">
        <f>VLOOKUP(B238,Guide,7,FALSE)</f>
        <v>75</v>
      </c>
      <c r="H235" s="257">
        <f>VLOOKUP(B238,Guide,8,FALSE)</f>
        <v>0</v>
      </c>
      <c r="I235" s="259">
        <f>VLOOKUP(B238,Guide,9,FALSE)</f>
        <v>0</v>
      </c>
      <c r="J235" s="253">
        <f>VLOOKUP(B238,Guide,10,FALSE)</f>
        <v>50000</v>
      </c>
      <c r="K235" s="255">
        <f>VLOOKUP(B238,Guide,11,FALSE)</f>
        <v>1000000</v>
      </c>
      <c r="L235" s="263" t="str">
        <f>VLOOKUP(B238,Guide,12,FALSE)</f>
        <v>£500 Cashback 
Free Standard Valuation up to £500,000
Increased Overpayments Permitted (10% per annum)</v>
      </c>
    </row>
    <row r="236" spans="2:15" ht="15" customHeight="1">
      <c r="B236" s="242"/>
      <c r="C236" s="243"/>
      <c r="D236" s="245"/>
      <c r="E236" s="247"/>
      <c r="F236" s="249"/>
      <c r="G236" s="251"/>
      <c r="H236" s="257"/>
      <c r="I236" s="259"/>
      <c r="J236" s="253"/>
      <c r="K236" s="255"/>
      <c r="L236" s="263"/>
    </row>
    <row r="237" spans="2:15" ht="44.25" customHeight="1">
      <c r="B237" s="242"/>
      <c r="C237" s="243"/>
      <c r="D237" s="245"/>
      <c r="E237" s="247"/>
      <c r="F237" s="249"/>
      <c r="G237" s="251"/>
      <c r="H237" s="257"/>
      <c r="I237" s="259"/>
      <c r="J237" s="253"/>
      <c r="K237" s="255"/>
      <c r="L237" s="263"/>
    </row>
    <row r="238" spans="2:15" ht="44.25" customHeight="1">
      <c r="B238" s="261" t="s">
        <v>428</v>
      </c>
      <c r="C238" s="243"/>
      <c r="D238" s="245"/>
      <c r="E238" s="247"/>
      <c r="F238" s="249"/>
      <c r="G238" s="251"/>
      <c r="H238" s="257"/>
      <c r="I238" s="259"/>
      <c r="J238" s="253"/>
      <c r="K238" s="255"/>
      <c r="L238" s="263"/>
    </row>
    <row r="239" spans="2:15" ht="37.5" customHeight="1" thickBot="1">
      <c r="B239" s="262"/>
      <c r="C239" s="244"/>
      <c r="D239" s="246"/>
      <c r="E239" s="248"/>
      <c r="F239" s="250"/>
      <c r="G239" s="252"/>
      <c r="H239" s="258"/>
      <c r="I239" s="260"/>
      <c r="J239" s="254"/>
      <c r="K239" s="256"/>
      <c r="L239" s="264"/>
    </row>
    <row r="240" spans="2:15" ht="37.5" customHeight="1">
      <c r="B240" s="242" t="str">
        <f>VLOOKUP(B243,Guide,2,FALSE)</f>
        <v>5 Year Fixed Rate - Repayment &amp; Interest Only</v>
      </c>
      <c r="C240" s="243" t="str">
        <f>VLOOKUP(B243,Guide,3,FALSE)</f>
        <v>3.09%</v>
      </c>
      <c r="D240" s="245">
        <f>VLOOKUP(B243,Guide,4,FALSE)</f>
        <v>46660</v>
      </c>
      <c r="E240" s="247" t="str">
        <f>VLOOKUP(B243,Guide,5,FALSE)</f>
        <v>5%, 4%, 3%, 2%, 1% of amount repaid</v>
      </c>
      <c r="F240" s="249">
        <f>VLOOKUP(B243,Guide,6,FALSE)</f>
        <v>3.7</v>
      </c>
      <c r="G240" s="251">
        <f>VLOOKUP(B243,Guide,7,FALSE)</f>
        <v>80</v>
      </c>
      <c r="H240" s="257">
        <f>VLOOKUP(B243,Guide,8,FALSE)</f>
        <v>0</v>
      </c>
      <c r="I240" s="259">
        <f>VLOOKUP(B243,Guide,9,FALSE)</f>
        <v>999</v>
      </c>
      <c r="J240" s="253">
        <f>VLOOKUP(B243,Guide,10,FALSE)</f>
        <v>50000</v>
      </c>
      <c r="K240" s="255">
        <f>VLOOKUP(B243,Guide,11,FALSE)</f>
        <v>500000</v>
      </c>
      <c r="L240" s="263" t="str">
        <f>VLOOKUP(B243,Guide,12,FALSE)</f>
        <v>Increased Overpayments Permitted (10% per annum)</v>
      </c>
    </row>
    <row r="241" spans="1:16" ht="28.5" customHeight="1">
      <c r="B241" s="242"/>
      <c r="C241" s="243"/>
      <c r="D241" s="245"/>
      <c r="E241" s="247"/>
      <c r="F241" s="249"/>
      <c r="G241" s="251"/>
      <c r="H241" s="257"/>
      <c r="I241" s="259"/>
      <c r="J241" s="253"/>
      <c r="K241" s="255"/>
      <c r="L241" s="263"/>
    </row>
    <row r="242" spans="1:16" ht="15" customHeight="1">
      <c r="B242" s="242"/>
      <c r="C242" s="243"/>
      <c r="D242" s="245"/>
      <c r="E242" s="247"/>
      <c r="F242" s="249"/>
      <c r="G242" s="251"/>
      <c r="H242" s="257"/>
      <c r="I242" s="259"/>
      <c r="J242" s="253"/>
      <c r="K242" s="255"/>
      <c r="L242" s="263"/>
    </row>
    <row r="243" spans="1:16" ht="44.25" customHeight="1">
      <c r="B243" s="261" t="s">
        <v>429</v>
      </c>
      <c r="C243" s="243"/>
      <c r="D243" s="245"/>
      <c r="E243" s="247"/>
      <c r="F243" s="249"/>
      <c r="G243" s="251"/>
      <c r="H243" s="257"/>
      <c r="I243" s="259"/>
      <c r="J243" s="253"/>
      <c r="K243" s="255"/>
      <c r="L243" s="263"/>
    </row>
    <row r="244" spans="1:16" ht="32.1" customHeight="1" thickBot="1">
      <c r="B244" s="262"/>
      <c r="C244" s="244"/>
      <c r="D244" s="246"/>
      <c r="E244" s="248"/>
      <c r="F244" s="250"/>
      <c r="G244" s="252"/>
      <c r="H244" s="258"/>
      <c r="I244" s="260"/>
      <c r="J244" s="254"/>
      <c r="K244" s="256"/>
      <c r="L244" s="264"/>
    </row>
    <row r="245" spans="1:16" ht="21.75" customHeight="1">
      <c r="B245" s="84" t="s">
        <v>374</v>
      </c>
      <c r="C245" s="85"/>
      <c r="D245" s="126"/>
      <c r="E245" s="85"/>
      <c r="F245" s="85"/>
      <c r="G245" s="85"/>
      <c r="H245" s="85"/>
      <c r="I245" s="85"/>
      <c r="J245" s="85"/>
      <c r="K245" s="85"/>
      <c r="L245" s="85"/>
    </row>
    <row r="246" spans="1:16" ht="18" customHeight="1">
      <c r="B246" s="265" t="s">
        <v>375</v>
      </c>
      <c r="C246" s="265"/>
      <c r="D246" s="265"/>
      <c r="E246" s="265"/>
      <c r="F246" s="265"/>
      <c r="G246" s="265"/>
      <c r="H246" s="265"/>
      <c r="I246" s="265"/>
      <c r="J246" s="265"/>
      <c r="K246" s="265"/>
      <c r="L246" s="265"/>
    </row>
    <row r="247" spans="1:16" ht="21.75" customHeight="1">
      <c r="B247" s="266" t="s">
        <v>430</v>
      </c>
      <c r="C247" s="266"/>
      <c r="D247" s="266"/>
      <c r="E247" s="266"/>
      <c r="F247" s="266"/>
      <c r="G247" s="266"/>
      <c r="H247" s="266"/>
      <c r="I247" s="266"/>
      <c r="J247" s="266"/>
      <c r="K247" s="266"/>
      <c r="L247" s="266"/>
    </row>
    <row r="248" spans="1:16" s="98" customFormat="1" ht="12.75" customHeight="1">
      <c r="B248" s="99"/>
      <c r="C248" s="99"/>
      <c r="D248" s="131"/>
      <c r="E248" s="99"/>
      <c r="F248" s="99"/>
      <c r="G248" s="99"/>
      <c r="H248" s="99"/>
      <c r="I248" s="99"/>
      <c r="J248" s="99"/>
      <c r="K248" s="99"/>
      <c r="L248" s="99"/>
    </row>
    <row r="249" spans="1:16" ht="29.25">
      <c r="A249" s="89"/>
      <c r="B249" s="75" t="s">
        <v>431</v>
      </c>
      <c r="C249" s="88"/>
      <c r="D249" s="128"/>
    </row>
    <row r="250" spans="1:16" ht="12" customHeight="1"/>
    <row r="251" spans="1:16">
      <c r="B251" s="76"/>
      <c r="C251" s="77"/>
      <c r="D251" s="123"/>
      <c r="E251" s="77"/>
      <c r="F251" s="77"/>
      <c r="G251" s="77"/>
      <c r="H251" s="77"/>
      <c r="I251" s="77"/>
      <c r="J251" s="77"/>
      <c r="K251" s="77"/>
      <c r="L251" s="77"/>
      <c r="N251" s="73" t="s">
        <v>32</v>
      </c>
      <c r="P251" s="73" t="s">
        <v>32</v>
      </c>
    </row>
    <row r="252" spans="1:16" ht="72">
      <c r="B252" s="78" t="s">
        <v>356</v>
      </c>
      <c r="C252" s="79" t="s">
        <v>357</v>
      </c>
      <c r="D252" s="124" t="s">
        <v>358</v>
      </c>
      <c r="E252" s="80" t="s">
        <v>359</v>
      </c>
      <c r="F252" s="80" t="s">
        <v>377</v>
      </c>
      <c r="G252" s="80" t="s">
        <v>378</v>
      </c>
      <c r="H252" s="80" t="s">
        <v>362</v>
      </c>
      <c r="I252" s="80" t="s">
        <v>363</v>
      </c>
      <c r="J252" s="80" t="s">
        <v>364</v>
      </c>
      <c r="K252" s="80" t="s">
        <v>365</v>
      </c>
      <c r="L252" s="81" t="s">
        <v>19</v>
      </c>
    </row>
    <row r="253" spans="1:16" ht="24" customHeight="1">
      <c r="B253" s="82" t="s">
        <v>432</v>
      </c>
      <c r="C253" s="83"/>
      <c r="D253" s="125"/>
      <c r="E253" s="83"/>
      <c r="F253" s="83"/>
      <c r="G253" s="83"/>
      <c r="H253" s="83"/>
      <c r="I253" s="83"/>
      <c r="J253" s="83"/>
      <c r="K253" s="83"/>
      <c r="L253" s="83"/>
    </row>
    <row r="254" spans="1:16" ht="28.5" customHeight="1">
      <c r="B254" s="242" t="str">
        <f>VLOOKUP(B257,Guide,2,FALSE)</f>
        <v xml:space="preserve">2 Year Fixed Rate - Repayment </v>
      </c>
      <c r="C254" s="243" t="str">
        <f>VLOOKUP(B257,Guide,3,FALSE)</f>
        <v>2.8%</v>
      </c>
      <c r="D254" s="245">
        <f>VLOOKUP(B257,Guide,4,FALSE)</f>
        <v>45504</v>
      </c>
      <c r="E254" s="247" t="str">
        <f>VLOOKUP(B257,Guide,5,FALSE)</f>
        <v>2%, 1% of amount repaid</v>
      </c>
      <c r="F254" s="249">
        <f>VLOOKUP(B257,Guide,6,FALSE)</f>
        <v>3.8</v>
      </c>
      <c r="G254" s="251">
        <f>VLOOKUP(B257,Guide,7,FALSE)</f>
        <v>75</v>
      </c>
      <c r="H254" s="257">
        <f>VLOOKUP(B257,Guide,8,FALSE)</f>
        <v>0</v>
      </c>
      <c r="I254" s="259">
        <f>VLOOKUP(B257,Guide,9,FALSE)</f>
        <v>0</v>
      </c>
      <c r="J254" s="253">
        <f>VLOOKUP(B257,Guide,10,FALSE)</f>
        <v>50000</v>
      </c>
      <c r="K254" s="255">
        <f>VLOOKUP(B257,Guide,11,FALSE)</f>
        <v>450000</v>
      </c>
      <c r="L254" s="263" t="str">
        <f>VLOOKUP(B257,Guide,12,FALSE)</f>
        <v>£500 Cashback 
Free Standard Valuation up to £500,000
Increased Overpayments Permitted (10% per annum)</v>
      </c>
      <c r="O254" s="73" t="s">
        <v>32</v>
      </c>
    </row>
    <row r="255" spans="1:16" ht="6" customHeight="1">
      <c r="B255" s="242"/>
      <c r="C255" s="243"/>
      <c r="D255" s="245"/>
      <c r="E255" s="247"/>
      <c r="F255" s="249"/>
      <c r="G255" s="251"/>
      <c r="H255" s="257"/>
      <c r="I255" s="259"/>
      <c r="J255" s="253"/>
      <c r="K255" s="255"/>
      <c r="L255" s="263"/>
      <c r="N255" s="73" t="s">
        <v>32</v>
      </c>
    </row>
    <row r="256" spans="1:16" ht="15.75" customHeight="1">
      <c r="B256" s="242"/>
      <c r="C256" s="243"/>
      <c r="D256" s="245"/>
      <c r="E256" s="247"/>
      <c r="F256" s="249"/>
      <c r="G256" s="251"/>
      <c r="H256" s="257"/>
      <c r="I256" s="259"/>
      <c r="J256" s="253"/>
      <c r="K256" s="255"/>
      <c r="L256" s="263"/>
    </row>
    <row r="257" spans="1:16" ht="40.5" customHeight="1">
      <c r="B257" s="261" t="s">
        <v>433</v>
      </c>
      <c r="C257" s="243"/>
      <c r="D257" s="245"/>
      <c r="E257" s="247"/>
      <c r="F257" s="249"/>
      <c r="G257" s="251"/>
      <c r="H257" s="257"/>
      <c r="I257" s="259"/>
      <c r="J257" s="253"/>
      <c r="K257" s="255"/>
      <c r="L257" s="263"/>
    </row>
    <row r="258" spans="1:16" ht="51.95" customHeight="1" thickBot="1">
      <c r="B258" s="262"/>
      <c r="C258" s="244"/>
      <c r="D258" s="246"/>
      <c r="E258" s="248"/>
      <c r="F258" s="250"/>
      <c r="G258" s="252"/>
      <c r="H258" s="258"/>
      <c r="I258" s="260"/>
      <c r="J258" s="254"/>
      <c r="K258" s="256"/>
      <c r="L258" s="264"/>
    </row>
    <row r="259" spans="1:16" ht="28.5" customHeight="1">
      <c r="B259" s="242" t="str">
        <f>VLOOKUP(B262,Guide,2,FALSE)</f>
        <v>2 Year Fixed Rate  - Help to Buy (Remortgage Only)</v>
      </c>
      <c r="C259" s="243" t="str">
        <f>VLOOKUP(B262,Guide,3,FALSE)</f>
        <v>3.55%</v>
      </c>
      <c r="D259" s="245">
        <f>VLOOKUP(B262,Guide,4,FALSE)</f>
        <v>45504</v>
      </c>
      <c r="E259" s="247" t="str">
        <f>VLOOKUP(B262,Guide,5,FALSE)</f>
        <v>2%, 1% of amount repaid</v>
      </c>
      <c r="F259" s="249">
        <f>VLOOKUP(B262,Guide,6,FALSE)</f>
        <v>4</v>
      </c>
      <c r="G259" s="251">
        <f>VLOOKUP(B262,Guide,7,FALSE)</f>
        <v>95</v>
      </c>
      <c r="H259" s="257">
        <f>VLOOKUP(B262,Guide,8,FALSE)</f>
        <v>0</v>
      </c>
      <c r="I259" s="259">
        <f>VLOOKUP(B262,Guide,9,FALSE)</f>
        <v>0</v>
      </c>
      <c r="J259" s="253">
        <f>VLOOKUP(B262,Guide,10,FALSE)</f>
        <v>50000</v>
      </c>
      <c r="K259" s="255">
        <f>VLOOKUP(B262,Guide,11,FALSE)</f>
        <v>450000</v>
      </c>
      <c r="L259" s="263" t="str">
        <f>VLOOKUP(B262,Guide,12,FALSE)</f>
        <v>£1000 Cashback 
Free Standard Valuation up to £500,000
Increased Overpayments Permitted (10% per annum)</v>
      </c>
      <c r="O259" s="73" t="s">
        <v>32</v>
      </c>
    </row>
    <row r="260" spans="1:16" ht="16.5" customHeight="1">
      <c r="B260" s="242"/>
      <c r="C260" s="243"/>
      <c r="D260" s="245"/>
      <c r="E260" s="247"/>
      <c r="F260" s="249"/>
      <c r="G260" s="251"/>
      <c r="H260" s="257"/>
      <c r="I260" s="259"/>
      <c r="J260" s="253"/>
      <c r="K260" s="255"/>
      <c r="L260" s="263"/>
      <c r="N260" s="73" t="s">
        <v>32</v>
      </c>
    </row>
    <row r="261" spans="1:16" ht="15.75" customHeight="1">
      <c r="B261" s="242"/>
      <c r="C261" s="243"/>
      <c r="D261" s="245"/>
      <c r="E261" s="247"/>
      <c r="F261" s="249"/>
      <c r="G261" s="251"/>
      <c r="H261" s="257"/>
      <c r="I261" s="259"/>
      <c r="J261" s="253"/>
      <c r="K261" s="255"/>
      <c r="L261" s="263"/>
    </row>
    <row r="262" spans="1:16" ht="40.5" customHeight="1">
      <c r="B262" s="261" t="s">
        <v>434</v>
      </c>
      <c r="C262" s="243"/>
      <c r="D262" s="245"/>
      <c r="E262" s="247"/>
      <c r="F262" s="249"/>
      <c r="G262" s="251"/>
      <c r="H262" s="257"/>
      <c r="I262" s="259"/>
      <c r="J262" s="253"/>
      <c r="K262" s="255"/>
      <c r="L262" s="263"/>
    </row>
    <row r="263" spans="1:16" ht="51.95" customHeight="1" thickBot="1">
      <c r="B263" s="262"/>
      <c r="C263" s="244"/>
      <c r="D263" s="246"/>
      <c r="E263" s="248"/>
      <c r="F263" s="250"/>
      <c r="G263" s="252"/>
      <c r="H263" s="258"/>
      <c r="I263" s="260"/>
      <c r="J263" s="254"/>
      <c r="K263" s="256"/>
      <c r="L263" s="264"/>
    </row>
    <row r="264" spans="1:16" ht="21.75" customHeight="1">
      <c r="B264" s="84" t="s">
        <v>374</v>
      </c>
      <c r="C264" s="85"/>
      <c r="D264" s="126"/>
      <c r="E264" s="85"/>
      <c r="F264" s="85"/>
      <c r="G264" s="85"/>
      <c r="H264" s="85"/>
      <c r="I264" s="85"/>
      <c r="J264" s="85"/>
      <c r="K264" s="85"/>
      <c r="L264" s="85"/>
    </row>
    <row r="265" spans="1:16" ht="18" customHeight="1">
      <c r="B265" s="265" t="s">
        <v>375</v>
      </c>
      <c r="C265" s="265"/>
      <c r="D265" s="265"/>
      <c r="E265" s="265"/>
      <c r="F265" s="265"/>
      <c r="G265" s="265"/>
      <c r="H265" s="265"/>
      <c r="I265" s="265"/>
      <c r="J265" s="265"/>
      <c r="K265" s="265"/>
      <c r="L265" s="265"/>
    </row>
    <row r="266" spans="1:16" ht="18" customHeight="1">
      <c r="B266" s="86"/>
      <c r="C266" s="87"/>
      <c r="D266" s="127"/>
      <c r="E266" s="87"/>
      <c r="F266" s="87"/>
      <c r="G266" s="87"/>
      <c r="H266" s="87"/>
      <c r="I266" s="87"/>
      <c r="J266" s="87"/>
      <c r="K266" s="87"/>
      <c r="L266" s="87"/>
    </row>
    <row r="267" spans="1:16" ht="29.25">
      <c r="A267" s="89"/>
      <c r="B267" s="75" t="s">
        <v>435</v>
      </c>
      <c r="C267" s="88"/>
      <c r="D267" s="128"/>
    </row>
    <row r="268" spans="1:16" ht="12" customHeight="1"/>
    <row r="269" spans="1:16">
      <c r="B269" s="76"/>
      <c r="C269" s="77"/>
      <c r="D269" s="123"/>
      <c r="E269" s="77"/>
      <c r="F269" s="77"/>
      <c r="G269" s="77"/>
      <c r="H269" s="77"/>
      <c r="I269" s="77"/>
      <c r="J269" s="77"/>
      <c r="K269" s="77"/>
      <c r="L269" s="77"/>
      <c r="N269" s="73" t="s">
        <v>32</v>
      </c>
      <c r="P269" s="73" t="s">
        <v>32</v>
      </c>
    </row>
    <row r="270" spans="1:16" ht="72">
      <c r="B270" s="78" t="s">
        <v>356</v>
      </c>
      <c r="C270" s="79" t="s">
        <v>357</v>
      </c>
      <c r="D270" s="124" t="s">
        <v>358</v>
      </c>
      <c r="E270" s="80" t="s">
        <v>359</v>
      </c>
      <c r="F270" s="80" t="s">
        <v>377</v>
      </c>
      <c r="G270" s="80" t="s">
        <v>378</v>
      </c>
      <c r="H270" s="80" t="s">
        <v>362</v>
      </c>
      <c r="I270" s="80" t="s">
        <v>363</v>
      </c>
      <c r="J270" s="80" t="s">
        <v>364</v>
      </c>
      <c r="K270" s="80" t="s">
        <v>365</v>
      </c>
      <c r="L270" s="81" t="s">
        <v>19</v>
      </c>
    </row>
    <row r="271" spans="1:16" ht="24" customHeight="1">
      <c r="B271" s="82" t="s">
        <v>436</v>
      </c>
      <c r="C271" s="83"/>
      <c r="D271" s="125"/>
      <c r="E271" s="83"/>
      <c r="F271" s="83"/>
      <c r="G271" s="83"/>
      <c r="H271" s="83"/>
      <c r="I271" s="83"/>
      <c r="J271" s="83"/>
      <c r="K271" s="83"/>
      <c r="L271" s="83"/>
    </row>
    <row r="272" spans="1:16" ht="28.5" customHeight="1">
      <c r="B272" s="242" t="str">
        <f>VLOOKUP(B275,Guide,2,FALSE)</f>
        <v xml:space="preserve">2 Year Discounted Rate - Repayment &amp; Interest Only </v>
      </c>
      <c r="C272" s="243" t="str">
        <f>VLOOKUP(B275,Guide,3,FALSE)</f>
        <v>1.75%</v>
      </c>
      <c r="D272" s="245">
        <f>VLOOKUP(B275,Guide,4,FALSE)</f>
        <v>45351</v>
      </c>
      <c r="E272" s="247" t="str">
        <f>VLOOKUP(B275,Guide,5,FALSE)</f>
        <v>2%, 1% of amount repaid</v>
      </c>
      <c r="F272" s="249">
        <f>VLOOKUP(B275,Guide,6,FALSE)</f>
        <v>3.6</v>
      </c>
      <c r="G272" s="251">
        <f>VLOOKUP(B275,Guide,7,FALSE)</f>
        <v>65</v>
      </c>
      <c r="H272" s="257">
        <f>VLOOKUP(B275,Guide,8,FALSE)</f>
        <v>0</v>
      </c>
      <c r="I272" s="259">
        <f>VLOOKUP(B275,Guide,9,FALSE)</f>
        <v>1499</v>
      </c>
      <c r="J272" s="253">
        <f>VLOOKUP(B275,Guide,10,FALSE)</f>
        <v>1500001</v>
      </c>
      <c r="K272" s="255">
        <f>VLOOKUP(B275,Guide,11,FALSE)</f>
        <v>2000000</v>
      </c>
      <c r="L272" s="263" t="str">
        <f>VLOOKUP(B275,Guide,12,FALSE)</f>
        <v>Increased Overpayments Permitted (10% per annum)</v>
      </c>
      <c r="O272" s="73" t="s">
        <v>32</v>
      </c>
    </row>
    <row r="273" spans="2:15" ht="35.25" customHeight="1">
      <c r="B273" s="242"/>
      <c r="C273" s="243"/>
      <c r="D273" s="245"/>
      <c r="E273" s="247"/>
      <c r="F273" s="249"/>
      <c r="G273" s="251"/>
      <c r="H273" s="257"/>
      <c r="I273" s="259"/>
      <c r="J273" s="253"/>
      <c r="K273" s="255"/>
      <c r="L273" s="263"/>
    </row>
    <row r="274" spans="2:15" ht="30" customHeight="1">
      <c r="B274" s="242"/>
      <c r="C274" s="243"/>
      <c r="D274" s="245"/>
      <c r="E274" s="247"/>
      <c r="F274" s="249"/>
      <c r="G274" s="251"/>
      <c r="H274" s="257"/>
      <c r="I274" s="259"/>
      <c r="J274" s="253"/>
      <c r="K274" s="255"/>
      <c r="L274" s="263"/>
    </row>
    <row r="275" spans="2:15" ht="39.75" customHeight="1">
      <c r="B275" s="261" t="s">
        <v>437</v>
      </c>
      <c r="C275" s="243"/>
      <c r="D275" s="245"/>
      <c r="E275" s="247"/>
      <c r="F275" s="249"/>
      <c r="G275" s="251"/>
      <c r="H275" s="257"/>
      <c r="I275" s="259"/>
      <c r="J275" s="253"/>
      <c r="K275" s="255"/>
      <c r="L275" s="263"/>
    </row>
    <row r="276" spans="2:15" ht="39.75" customHeight="1" thickBot="1">
      <c r="B276" s="262"/>
      <c r="C276" s="244"/>
      <c r="D276" s="246"/>
      <c r="E276" s="248"/>
      <c r="F276" s="250"/>
      <c r="G276" s="252"/>
      <c r="H276" s="258"/>
      <c r="I276" s="260"/>
      <c r="J276" s="254"/>
      <c r="K276" s="256"/>
      <c r="L276" s="264"/>
    </row>
    <row r="277" spans="2:15" ht="28.5" customHeight="1">
      <c r="B277" s="242" t="str">
        <f>VLOOKUP(B280,Guide,2,FALSE)</f>
        <v xml:space="preserve">2 Year Discounted Rate - Repayment &amp; Interest Only </v>
      </c>
      <c r="C277" s="243" t="str">
        <f>VLOOKUP(B280,Guide,3,FALSE)</f>
        <v>1.9%</v>
      </c>
      <c r="D277" s="245">
        <f>VLOOKUP(B280,Guide,4,FALSE)</f>
        <v>45351</v>
      </c>
      <c r="E277" s="247" t="str">
        <f>VLOOKUP(B280,Guide,5,FALSE)</f>
        <v>2%, 1% of amount repaid</v>
      </c>
      <c r="F277" s="249">
        <f>VLOOKUP(B280,Guide,6,FALSE)</f>
        <v>3.6</v>
      </c>
      <c r="G277" s="251">
        <f>VLOOKUP(B280,Guide,7,FALSE)</f>
        <v>75</v>
      </c>
      <c r="H277" s="257">
        <f>VLOOKUP(B280,Guide,8,FALSE)</f>
        <v>0</v>
      </c>
      <c r="I277" s="259">
        <f>VLOOKUP(B280,Guide,9,FALSE)</f>
        <v>1499</v>
      </c>
      <c r="J277" s="253">
        <f>VLOOKUP(B280,Guide,10,FALSE)</f>
        <v>1000001</v>
      </c>
      <c r="K277" s="255">
        <f>VLOOKUP(B280,Guide,11,FALSE)</f>
        <v>1500000</v>
      </c>
      <c r="L277" s="263" t="str">
        <f>VLOOKUP(B280,Guide,12,FALSE)</f>
        <v>Increased Overpayments Permitted (10% per annum)</v>
      </c>
      <c r="O277" s="73" t="s">
        <v>32</v>
      </c>
    </row>
    <row r="278" spans="2:15" ht="29.25" customHeight="1">
      <c r="B278" s="242"/>
      <c r="C278" s="243"/>
      <c r="D278" s="245"/>
      <c r="E278" s="247"/>
      <c r="F278" s="249"/>
      <c r="G278" s="251"/>
      <c r="H278" s="257"/>
      <c r="I278" s="259"/>
      <c r="J278" s="253"/>
      <c r="K278" s="255"/>
      <c r="L278" s="263"/>
    </row>
    <row r="279" spans="2:15" ht="36" customHeight="1">
      <c r="B279" s="242"/>
      <c r="C279" s="243"/>
      <c r="D279" s="245"/>
      <c r="E279" s="247"/>
      <c r="F279" s="249"/>
      <c r="G279" s="251"/>
      <c r="H279" s="257"/>
      <c r="I279" s="259"/>
      <c r="J279" s="253"/>
      <c r="K279" s="255"/>
      <c r="L279" s="263"/>
    </row>
    <row r="280" spans="2:15" ht="51.95" customHeight="1">
      <c r="B280" s="261" t="s">
        <v>438</v>
      </c>
      <c r="C280" s="243"/>
      <c r="D280" s="245"/>
      <c r="E280" s="247"/>
      <c r="F280" s="249"/>
      <c r="G280" s="251"/>
      <c r="H280" s="257"/>
      <c r="I280" s="259"/>
      <c r="J280" s="253"/>
      <c r="K280" s="255"/>
      <c r="L280" s="263"/>
    </row>
    <row r="281" spans="2:15" ht="51.95" customHeight="1" thickBot="1">
      <c r="B281" s="262"/>
      <c r="C281" s="244"/>
      <c r="D281" s="246"/>
      <c r="E281" s="248"/>
      <c r="F281" s="250"/>
      <c r="G281" s="252"/>
      <c r="H281" s="258"/>
      <c r="I281" s="260"/>
      <c r="J281" s="254"/>
      <c r="K281" s="256"/>
      <c r="L281" s="264"/>
    </row>
    <row r="282" spans="2:15" ht="28.5" customHeight="1">
      <c r="B282" s="242" t="str">
        <f>VLOOKUP(B285,Guide,2,FALSE)</f>
        <v xml:space="preserve">2 Year Discounted Rate - Repayment &amp; Interest Only  </v>
      </c>
      <c r="C282" s="243" t="str">
        <f>VLOOKUP(B285,Guide,3,FALSE)</f>
        <v>2.00%</v>
      </c>
      <c r="D282" s="245">
        <f>VLOOKUP(B285,Guide,4,FALSE)</f>
        <v>45351</v>
      </c>
      <c r="E282" s="247" t="str">
        <f>VLOOKUP(B285,Guide,5,FALSE)</f>
        <v>2%, 1% of amount repaid</v>
      </c>
      <c r="F282" s="249">
        <f>VLOOKUP(B285,Guide,6,FALSE)</f>
        <v>3.7</v>
      </c>
      <c r="G282" s="251">
        <f>VLOOKUP(B285,Guide,7,FALSE)</f>
        <v>80</v>
      </c>
      <c r="H282" s="257">
        <f>VLOOKUP(B285,Guide,8,FALSE)</f>
        <v>0</v>
      </c>
      <c r="I282" s="259">
        <f>VLOOKUP(B285,Guide,9,FALSE)</f>
        <v>1499</v>
      </c>
      <c r="J282" s="253">
        <f>VLOOKUP(B285,Guide,10,FALSE)</f>
        <v>500001</v>
      </c>
      <c r="K282" s="255">
        <f>VLOOKUP(B285,Guide,11,FALSE)</f>
        <v>1000000</v>
      </c>
      <c r="L282" s="263" t="str">
        <f>VLOOKUP(B285,Guide,12,FALSE)</f>
        <v>Increased Overpayments Permitted (10% per annum)</v>
      </c>
      <c r="O282" s="73" t="s">
        <v>32</v>
      </c>
    </row>
    <row r="283" spans="2:15" ht="35.25" customHeight="1">
      <c r="B283" s="242"/>
      <c r="C283" s="243"/>
      <c r="D283" s="245"/>
      <c r="E283" s="247"/>
      <c r="F283" s="249"/>
      <c r="G283" s="251"/>
      <c r="H283" s="257"/>
      <c r="I283" s="259"/>
      <c r="J283" s="253"/>
      <c r="K283" s="255"/>
      <c r="L283" s="263"/>
    </row>
    <row r="284" spans="2:15" ht="30" customHeight="1">
      <c r="B284" s="242"/>
      <c r="C284" s="243"/>
      <c r="D284" s="245"/>
      <c r="E284" s="247"/>
      <c r="F284" s="249"/>
      <c r="G284" s="251"/>
      <c r="H284" s="257"/>
      <c r="I284" s="259"/>
      <c r="J284" s="253"/>
      <c r="K284" s="255"/>
      <c r="L284" s="263"/>
    </row>
    <row r="285" spans="2:15" ht="30" customHeight="1">
      <c r="B285" s="261" t="s">
        <v>439</v>
      </c>
      <c r="C285" s="243"/>
      <c r="D285" s="245"/>
      <c r="E285" s="247"/>
      <c r="F285" s="249"/>
      <c r="G285" s="251"/>
      <c r="H285" s="257"/>
      <c r="I285" s="259"/>
      <c r="J285" s="253"/>
      <c r="K285" s="255"/>
      <c r="L285" s="263"/>
    </row>
    <row r="286" spans="2:15" ht="39.75" customHeight="1" thickBot="1">
      <c r="B286" s="262"/>
      <c r="C286" s="244"/>
      <c r="D286" s="246"/>
      <c r="E286" s="248"/>
      <c r="F286" s="250"/>
      <c r="G286" s="252"/>
      <c r="H286" s="258"/>
      <c r="I286" s="260"/>
      <c r="J286" s="254"/>
      <c r="K286" s="256"/>
      <c r="L286" s="264"/>
    </row>
    <row r="287" spans="2:15" ht="39.75" customHeight="1">
      <c r="B287" s="267" t="str">
        <f>VLOOKUP(B290,Guide,2,FALSE)</f>
        <v xml:space="preserve">2 Year Fixed Rate - Repayment &amp; Interest Only </v>
      </c>
      <c r="C287" s="270" t="str">
        <f>VLOOKUP(B290,Guide,3,FALSE)</f>
        <v>2.39%</v>
      </c>
      <c r="D287" s="271">
        <f>VLOOKUP(B290,Guide,4,FALSE)</f>
        <v>45351</v>
      </c>
      <c r="E287" s="272" t="str">
        <f>VLOOKUP(B290,Guide,5,FALSE)</f>
        <v>2%, 1% of amount repaid</v>
      </c>
      <c r="F287" s="273">
        <f>VLOOKUP(B290,Guide,6,FALSE)</f>
        <v>3.7</v>
      </c>
      <c r="G287" s="274">
        <f>VLOOKUP(B290,Guide,7,FALSE)</f>
        <v>65</v>
      </c>
      <c r="H287" s="275">
        <f>VLOOKUP(B290,Guide,8,FALSE)</f>
        <v>0</v>
      </c>
      <c r="I287" s="276">
        <f>VLOOKUP(B290,Guide,9,FALSE)</f>
        <v>1499</v>
      </c>
      <c r="J287" s="277">
        <f>VLOOKUP(B290,Guide,10,FALSE)</f>
        <v>1500001</v>
      </c>
      <c r="K287" s="269">
        <f>VLOOKUP(B290,Guide,11,FALSE)</f>
        <v>2000000</v>
      </c>
      <c r="L287" s="268" t="str">
        <f>VLOOKUP(B290,Guide,12,FALSE)</f>
        <v>Increased Overpayments Permitted (10% per annum)</v>
      </c>
    </row>
    <row r="288" spans="2:15" ht="39.75" customHeight="1">
      <c r="B288" s="242"/>
      <c r="C288" s="243"/>
      <c r="D288" s="245"/>
      <c r="E288" s="247"/>
      <c r="F288" s="249"/>
      <c r="G288" s="251"/>
      <c r="H288" s="257"/>
      <c r="I288" s="259"/>
      <c r="J288" s="253"/>
      <c r="K288" s="255"/>
      <c r="L288" s="263"/>
    </row>
    <row r="289" spans="2:12" ht="39.75" customHeight="1">
      <c r="B289" s="242"/>
      <c r="C289" s="243"/>
      <c r="D289" s="245"/>
      <c r="E289" s="247"/>
      <c r="F289" s="249"/>
      <c r="G289" s="251"/>
      <c r="H289" s="257"/>
      <c r="I289" s="259"/>
      <c r="J289" s="253"/>
      <c r="K289" s="255"/>
      <c r="L289" s="263"/>
    </row>
    <row r="290" spans="2:12" ht="39.75" customHeight="1">
      <c r="B290" s="261" t="s">
        <v>440</v>
      </c>
      <c r="C290" s="243"/>
      <c r="D290" s="245"/>
      <c r="E290" s="247"/>
      <c r="F290" s="249"/>
      <c r="G290" s="251"/>
      <c r="H290" s="257"/>
      <c r="I290" s="259"/>
      <c r="J290" s="253"/>
      <c r="K290" s="255"/>
      <c r="L290" s="263"/>
    </row>
    <row r="291" spans="2:12" ht="39.75" customHeight="1" thickBot="1">
      <c r="B291" s="262"/>
      <c r="C291" s="244"/>
      <c r="D291" s="246"/>
      <c r="E291" s="248"/>
      <c r="F291" s="250"/>
      <c r="G291" s="252"/>
      <c r="H291" s="258"/>
      <c r="I291" s="260"/>
      <c r="J291" s="254"/>
      <c r="K291" s="256"/>
      <c r="L291" s="264"/>
    </row>
    <row r="292" spans="2:12" ht="39.75" customHeight="1">
      <c r="B292" s="267" t="str">
        <f>VLOOKUP(B295,Guide,2,FALSE)</f>
        <v xml:space="preserve">2 Year Fixed Rate - Repayment &amp; Interest Only </v>
      </c>
      <c r="C292" s="270" t="str">
        <f>VLOOKUP(B295,Guide,3,FALSE)</f>
        <v>2.40%</v>
      </c>
      <c r="D292" s="271">
        <f>VLOOKUP(B295,Guide,4,FALSE)</f>
        <v>45351</v>
      </c>
      <c r="E292" s="272" t="str">
        <f>VLOOKUP(B295,Guide,5,FALSE)</f>
        <v>2%, 1% of amount repaid</v>
      </c>
      <c r="F292" s="273">
        <f>VLOOKUP(B295,Guide,6,FALSE)</f>
        <v>3.7</v>
      </c>
      <c r="G292" s="274">
        <f>VLOOKUP(B295,Guide,7,FALSE)</f>
        <v>75</v>
      </c>
      <c r="H292" s="275">
        <f>VLOOKUP(B295,Guide,8,FALSE)</f>
        <v>0</v>
      </c>
      <c r="I292" s="276">
        <f>VLOOKUP(B295,Guide,9,FALSE)</f>
        <v>1499</v>
      </c>
      <c r="J292" s="277">
        <f>VLOOKUP(B295,Guide,10,FALSE)</f>
        <v>1000001</v>
      </c>
      <c r="K292" s="269">
        <f>VLOOKUP(B295,Guide,11,FALSE)</f>
        <v>1500000</v>
      </c>
      <c r="L292" s="268" t="str">
        <f>VLOOKUP(B295,Guide,12,FALSE)</f>
        <v>Increased Overpayments Permitted (10% per annum)</v>
      </c>
    </row>
    <row r="293" spans="2:12" ht="39.75" customHeight="1">
      <c r="B293" s="242"/>
      <c r="C293" s="243"/>
      <c r="D293" s="245"/>
      <c r="E293" s="247"/>
      <c r="F293" s="249"/>
      <c r="G293" s="251"/>
      <c r="H293" s="257"/>
      <c r="I293" s="259"/>
      <c r="J293" s="253"/>
      <c r="K293" s="255"/>
      <c r="L293" s="263"/>
    </row>
    <row r="294" spans="2:12" ht="39.75" customHeight="1">
      <c r="B294" s="242"/>
      <c r="C294" s="243"/>
      <c r="D294" s="245"/>
      <c r="E294" s="247"/>
      <c r="F294" s="249"/>
      <c r="G294" s="251"/>
      <c r="H294" s="257"/>
      <c r="I294" s="259"/>
      <c r="J294" s="253"/>
      <c r="K294" s="255"/>
      <c r="L294" s="263"/>
    </row>
    <row r="295" spans="2:12" ht="39.75" customHeight="1">
      <c r="B295" s="261" t="s">
        <v>441</v>
      </c>
      <c r="C295" s="243"/>
      <c r="D295" s="245"/>
      <c r="E295" s="247"/>
      <c r="F295" s="249"/>
      <c r="G295" s="251"/>
      <c r="H295" s="257"/>
      <c r="I295" s="259"/>
      <c r="J295" s="253"/>
      <c r="K295" s="255"/>
      <c r="L295" s="263"/>
    </row>
    <row r="296" spans="2:12" ht="39.75" customHeight="1" thickBot="1">
      <c r="B296" s="262"/>
      <c r="C296" s="244"/>
      <c r="D296" s="246"/>
      <c r="E296" s="248"/>
      <c r="F296" s="250"/>
      <c r="G296" s="252"/>
      <c r="H296" s="258"/>
      <c r="I296" s="260"/>
      <c r="J296" s="254"/>
      <c r="K296" s="256"/>
      <c r="L296" s="264"/>
    </row>
    <row r="297" spans="2:12" ht="39.75" customHeight="1">
      <c r="B297" s="267" t="str">
        <f>VLOOKUP(B300,Guide,2,FALSE)</f>
        <v xml:space="preserve">2 Year Fixed Rate - Repayment &amp; Interest Only </v>
      </c>
      <c r="C297" s="270" t="str">
        <f>VLOOKUP(B300,Guide,3,FALSE)</f>
        <v>2.4%</v>
      </c>
      <c r="D297" s="271">
        <f>VLOOKUP(B300,Guide,4,FALSE)</f>
        <v>45351</v>
      </c>
      <c r="E297" s="272" t="str">
        <f>VLOOKUP(B300,Guide,5,FALSE)</f>
        <v>2%, 1% of amount repaid</v>
      </c>
      <c r="F297" s="273">
        <f>VLOOKUP(B300,Guide,6,FALSE)</f>
        <v>3.7</v>
      </c>
      <c r="G297" s="274">
        <f>VLOOKUP(B300,Guide,7,FALSE)</f>
        <v>80</v>
      </c>
      <c r="H297" s="275">
        <f>VLOOKUP(B300,Guide,8,FALSE)</f>
        <v>0</v>
      </c>
      <c r="I297" s="276">
        <f>VLOOKUP(B300,Guide,9,FALSE)</f>
        <v>1499</v>
      </c>
      <c r="J297" s="277">
        <f>VLOOKUP(B300,Guide,10,FALSE)</f>
        <v>500001</v>
      </c>
      <c r="K297" s="269">
        <f>VLOOKUP(B300,Guide,11,FALSE)</f>
        <v>1000000</v>
      </c>
      <c r="L297" s="268" t="str">
        <f>VLOOKUP(B300,Guide,12,FALSE)</f>
        <v>Increased Overpayments Permitted (10% per annum)</v>
      </c>
    </row>
    <row r="298" spans="2:12" ht="39.75" customHeight="1">
      <c r="B298" s="242"/>
      <c r="C298" s="243"/>
      <c r="D298" s="245"/>
      <c r="E298" s="247"/>
      <c r="F298" s="249"/>
      <c r="G298" s="251"/>
      <c r="H298" s="257"/>
      <c r="I298" s="259"/>
      <c r="J298" s="253"/>
      <c r="K298" s="255"/>
      <c r="L298" s="263"/>
    </row>
    <row r="299" spans="2:12" ht="39.75" customHeight="1">
      <c r="B299" s="242"/>
      <c r="C299" s="243"/>
      <c r="D299" s="245"/>
      <c r="E299" s="247"/>
      <c r="F299" s="249"/>
      <c r="G299" s="251"/>
      <c r="H299" s="257"/>
      <c r="I299" s="259"/>
      <c r="J299" s="253"/>
      <c r="K299" s="255"/>
      <c r="L299" s="263"/>
    </row>
    <row r="300" spans="2:12" ht="39.75" customHeight="1">
      <c r="B300" s="261" t="s">
        <v>442</v>
      </c>
      <c r="C300" s="243"/>
      <c r="D300" s="245"/>
      <c r="E300" s="247"/>
      <c r="F300" s="249"/>
      <c r="G300" s="251"/>
      <c r="H300" s="257"/>
      <c r="I300" s="259"/>
      <c r="J300" s="253"/>
      <c r="K300" s="255"/>
      <c r="L300" s="263"/>
    </row>
    <row r="301" spans="2:12" ht="39.75" customHeight="1" thickBot="1">
      <c r="B301" s="262"/>
      <c r="C301" s="244"/>
      <c r="D301" s="246"/>
      <c r="E301" s="248"/>
      <c r="F301" s="250"/>
      <c r="G301" s="252"/>
      <c r="H301" s="258"/>
      <c r="I301" s="260"/>
      <c r="J301" s="254"/>
      <c r="K301" s="256"/>
      <c r="L301" s="264"/>
    </row>
    <row r="302" spans="2:12" ht="24" customHeight="1" thickBot="1">
      <c r="B302" s="82" t="s">
        <v>443</v>
      </c>
      <c r="C302" s="83"/>
      <c r="D302" s="125"/>
      <c r="E302" s="83"/>
      <c r="F302" s="83"/>
      <c r="G302" s="83"/>
      <c r="H302" s="83"/>
      <c r="I302" s="83"/>
      <c r="J302" s="83"/>
      <c r="K302" s="83"/>
      <c r="L302" s="91"/>
    </row>
    <row r="303" spans="2:12" ht="54" customHeight="1">
      <c r="B303" s="267" t="str">
        <f>VLOOKUP(B306,Guide,2,FALSE)</f>
        <v>5 Year Fixed Rate - Repayment &amp; Interest Only</v>
      </c>
      <c r="C303" s="270" t="str">
        <f>VLOOKUP(B306,Guide,3,FALSE)</f>
        <v>2.65%</v>
      </c>
      <c r="D303" s="271">
        <f>VLOOKUP(B306,Guide,4,FALSE)</f>
        <v>46446</v>
      </c>
      <c r="E303" s="272" t="str">
        <f>VLOOKUP(B306,Guide,5,FALSE)</f>
        <v>5%, 4%, 3%, 2%, 1% of amount repaid</v>
      </c>
      <c r="F303" s="273">
        <f>VLOOKUP(B306,Guide,6,FALSE)</f>
        <v>3.5</v>
      </c>
      <c r="G303" s="274">
        <f>VLOOKUP(B306,Guide,7,FALSE)</f>
        <v>75</v>
      </c>
      <c r="H303" s="275">
        <f>VLOOKUP(B306,Guide,8,FALSE)</f>
        <v>0</v>
      </c>
      <c r="I303" s="276">
        <f>VLOOKUP(B306,Guide,9,FALSE)</f>
        <v>1499</v>
      </c>
      <c r="J303" s="277">
        <f>VLOOKUP(B306,Guide,10,FALSE)</f>
        <v>1000001</v>
      </c>
      <c r="K303" s="269">
        <f>VLOOKUP(B306,Guide,11,FALSE)</f>
        <v>1500000</v>
      </c>
      <c r="L303" s="268" t="str">
        <f>VLOOKUP(B306,Guide,12,FALSE)</f>
        <v>Increased Overpayments Permitted (10% per annum)</v>
      </c>
    </row>
    <row r="304" spans="2:12" ht="15.75" customHeight="1">
      <c r="B304" s="242"/>
      <c r="C304" s="243"/>
      <c r="D304" s="245"/>
      <c r="E304" s="247"/>
      <c r="F304" s="249"/>
      <c r="G304" s="251"/>
      <c r="H304" s="257"/>
      <c r="I304" s="259"/>
      <c r="J304" s="253"/>
      <c r="K304" s="255"/>
      <c r="L304" s="263"/>
    </row>
    <row r="305" spans="1:16" ht="54" customHeight="1">
      <c r="B305" s="242"/>
      <c r="C305" s="243"/>
      <c r="D305" s="245"/>
      <c r="E305" s="247"/>
      <c r="F305" s="249"/>
      <c r="G305" s="251"/>
      <c r="H305" s="257"/>
      <c r="I305" s="259"/>
      <c r="J305" s="253"/>
      <c r="K305" s="255"/>
      <c r="L305" s="263"/>
    </row>
    <row r="306" spans="1:16" ht="54" customHeight="1">
      <c r="B306" s="261" t="s">
        <v>444</v>
      </c>
      <c r="C306" s="243"/>
      <c r="D306" s="245"/>
      <c r="E306" s="247"/>
      <c r="F306" s="249"/>
      <c r="G306" s="251"/>
      <c r="H306" s="257"/>
      <c r="I306" s="259"/>
      <c r="J306" s="253"/>
      <c r="K306" s="255"/>
      <c r="L306" s="263"/>
    </row>
    <row r="307" spans="1:16" ht="54" customHeight="1" thickBot="1">
      <c r="B307" s="262"/>
      <c r="C307" s="244"/>
      <c r="D307" s="246"/>
      <c r="E307" s="248"/>
      <c r="F307" s="250"/>
      <c r="G307" s="252"/>
      <c r="H307" s="258"/>
      <c r="I307" s="260"/>
      <c r="J307" s="254"/>
      <c r="K307" s="256"/>
      <c r="L307" s="264"/>
    </row>
    <row r="308" spans="1:16" ht="54" customHeight="1">
      <c r="B308" s="267" t="str">
        <f>VLOOKUP(B311,Guide,2,FALSE)</f>
        <v>5 Year Fixed Rate - Repayment &amp; Interest Only</v>
      </c>
      <c r="C308" s="270" t="str">
        <f>VLOOKUP(B311,Guide,3,FALSE)</f>
        <v>2.65%</v>
      </c>
      <c r="D308" s="271">
        <f>VLOOKUP(B311,Guide,4,FALSE)</f>
        <v>46446</v>
      </c>
      <c r="E308" s="272" t="str">
        <f>VLOOKUP(B311,Guide,5,FALSE)</f>
        <v>5%, 4%, 3%, 2%, 1% of amount repaid</v>
      </c>
      <c r="F308" s="273">
        <f>VLOOKUP(B311,Guide,6,FALSE)</f>
        <v>3.5</v>
      </c>
      <c r="G308" s="274">
        <f>VLOOKUP(B311,Guide,7,FALSE)</f>
        <v>80</v>
      </c>
      <c r="H308" s="275">
        <f>VLOOKUP(B311,Guide,8,FALSE)</f>
        <v>0</v>
      </c>
      <c r="I308" s="276">
        <f>VLOOKUP(B311,Guide,9,FALSE)</f>
        <v>1499</v>
      </c>
      <c r="J308" s="277">
        <f>VLOOKUP(B311,Guide,10,FALSE)</f>
        <v>500001</v>
      </c>
      <c r="K308" s="269">
        <f>VLOOKUP(B311,Guide,11,FALSE)</f>
        <v>1000000</v>
      </c>
      <c r="L308" s="268" t="str">
        <f>VLOOKUP(B311,Guide,12,FALSE)</f>
        <v>Increased Overpayments Permitted (10% per annum)</v>
      </c>
    </row>
    <row r="309" spans="1:16" ht="15.75" customHeight="1">
      <c r="B309" s="242"/>
      <c r="C309" s="243"/>
      <c r="D309" s="245"/>
      <c r="E309" s="247"/>
      <c r="F309" s="249"/>
      <c r="G309" s="251"/>
      <c r="H309" s="257"/>
      <c r="I309" s="259"/>
      <c r="J309" s="253"/>
      <c r="K309" s="255"/>
      <c r="L309" s="263"/>
    </row>
    <row r="310" spans="1:16" ht="54" customHeight="1">
      <c r="B310" s="242"/>
      <c r="C310" s="243"/>
      <c r="D310" s="245"/>
      <c r="E310" s="247"/>
      <c r="F310" s="249"/>
      <c r="G310" s="251"/>
      <c r="H310" s="257"/>
      <c r="I310" s="259"/>
      <c r="J310" s="253"/>
      <c r="K310" s="255"/>
      <c r="L310" s="263"/>
    </row>
    <row r="311" spans="1:16" ht="54" customHeight="1">
      <c r="B311" s="261" t="s">
        <v>445</v>
      </c>
      <c r="C311" s="243"/>
      <c r="D311" s="245"/>
      <c r="E311" s="247"/>
      <c r="F311" s="249"/>
      <c r="G311" s="251"/>
      <c r="H311" s="257"/>
      <c r="I311" s="259"/>
      <c r="J311" s="253"/>
      <c r="K311" s="255"/>
      <c r="L311" s="263"/>
    </row>
    <row r="312" spans="1:16" ht="54" customHeight="1" thickBot="1">
      <c r="B312" s="262"/>
      <c r="C312" s="244"/>
      <c r="D312" s="246"/>
      <c r="E312" s="248"/>
      <c r="F312" s="250"/>
      <c r="G312" s="252"/>
      <c r="H312" s="258"/>
      <c r="I312" s="260"/>
      <c r="J312" s="254"/>
      <c r="K312" s="256"/>
      <c r="L312" s="264"/>
    </row>
    <row r="313" spans="1:16" ht="21.75" customHeight="1">
      <c r="B313" s="84" t="s">
        <v>374</v>
      </c>
      <c r="C313" s="85"/>
      <c r="D313" s="126"/>
      <c r="E313" s="85"/>
      <c r="F313" s="85"/>
      <c r="G313" s="85"/>
      <c r="H313" s="85"/>
      <c r="I313" s="85"/>
      <c r="J313" s="85"/>
      <c r="K313" s="85"/>
      <c r="L313" s="85"/>
    </row>
    <row r="314" spans="1:16" ht="18" customHeight="1">
      <c r="B314" s="265" t="s">
        <v>375</v>
      </c>
      <c r="C314" s="265"/>
      <c r="D314" s="265"/>
      <c r="E314" s="265"/>
      <c r="F314" s="265"/>
      <c r="G314" s="265"/>
      <c r="H314" s="265"/>
      <c r="I314" s="265"/>
      <c r="J314" s="265"/>
      <c r="K314" s="265"/>
      <c r="L314" s="265"/>
    </row>
    <row r="315" spans="1:16" ht="18" customHeight="1">
      <c r="B315" s="86"/>
      <c r="C315" s="87"/>
      <c r="D315" s="127"/>
      <c r="E315" s="87"/>
      <c r="F315" s="87"/>
      <c r="G315" s="87"/>
      <c r="H315" s="87"/>
      <c r="I315" s="87"/>
      <c r="J315" s="87"/>
      <c r="K315" s="87"/>
      <c r="L315" s="87"/>
    </row>
    <row r="316" spans="1:16" ht="29.25">
      <c r="A316" s="89"/>
      <c r="B316" s="75" t="s">
        <v>446</v>
      </c>
      <c r="C316" s="88"/>
      <c r="D316" s="128"/>
    </row>
    <row r="317" spans="1:16" ht="12" customHeight="1"/>
    <row r="318" spans="1:16">
      <c r="B318" s="76"/>
      <c r="C318" s="77"/>
      <c r="D318" s="123"/>
      <c r="E318" s="77"/>
      <c r="F318" s="77"/>
      <c r="G318" s="77"/>
      <c r="H318" s="77"/>
      <c r="I318" s="77"/>
      <c r="J318" s="77"/>
      <c r="K318" s="77"/>
      <c r="L318" s="77"/>
      <c r="P318" s="73" t="s">
        <v>32</v>
      </c>
    </row>
    <row r="319" spans="1:16" ht="72">
      <c r="B319" s="78" t="s">
        <v>356</v>
      </c>
      <c r="C319" s="79" t="s">
        <v>357</v>
      </c>
      <c r="D319" s="124" t="s">
        <v>358</v>
      </c>
      <c r="E319" s="80" t="s">
        <v>359</v>
      </c>
      <c r="F319" s="80" t="s">
        <v>377</v>
      </c>
      <c r="G319" s="80" t="s">
        <v>378</v>
      </c>
      <c r="H319" s="80" t="s">
        <v>362</v>
      </c>
      <c r="I319" s="80" t="s">
        <v>363</v>
      </c>
      <c r="J319" s="80" t="s">
        <v>364</v>
      </c>
      <c r="K319" s="80" t="s">
        <v>365</v>
      </c>
      <c r="L319" s="81" t="s">
        <v>19</v>
      </c>
    </row>
    <row r="320" spans="1:16" ht="19.5" thickBot="1">
      <c r="B320" s="82" t="s">
        <v>447</v>
      </c>
      <c r="C320" s="83"/>
      <c r="D320" s="125"/>
      <c r="E320" s="83"/>
      <c r="F320" s="83"/>
      <c r="G320" s="83"/>
      <c r="H320" s="83"/>
      <c r="I320" s="83"/>
      <c r="J320" s="83"/>
      <c r="K320" s="83"/>
      <c r="L320" s="83"/>
    </row>
    <row r="321" spans="2:12" ht="14.45" customHeight="1">
      <c r="B321" s="267" t="str">
        <f>VLOOKUP(B324,Guide,2,FALSE)</f>
        <v>2 Year Variable Rate - Repayment &amp; Interest Only (Arrears Payment Only)</v>
      </c>
      <c r="C321" s="270" t="str">
        <f>VLOOKUP(B324,Guide,3,FALSE)</f>
        <v>5.49%</v>
      </c>
      <c r="D321" s="271">
        <f>VLOOKUP(B324,Guide,4,FALSE)</f>
        <v>45473</v>
      </c>
      <c r="E321" s="272" t="str">
        <f>VLOOKUP(B324,Guide,5,FALSE)</f>
        <v>1% of amount repaid</v>
      </c>
      <c r="F321" s="273">
        <f>VLOOKUP(B324,Guide,6,FALSE)</f>
        <v>4.4000000000000004</v>
      </c>
      <c r="G321" s="274">
        <f>VLOOKUP(B324,Guide,7,FALSE)</f>
        <v>90</v>
      </c>
      <c r="H321" s="275">
        <f>VLOOKUP(B324,Guide,8,FALSE)</f>
        <v>0</v>
      </c>
      <c r="I321" s="276">
        <f>VLOOKUP(B324,Guide,9,FALSE)</f>
        <v>999</v>
      </c>
      <c r="J321" s="277">
        <f>VLOOKUP(B324,Guide,10,FALSE)</f>
        <v>50000</v>
      </c>
      <c r="K321" s="269">
        <f>VLOOKUP(B324,Guide,11,FALSE)</f>
        <v>1000000</v>
      </c>
      <c r="L321" s="268" t="str">
        <f>VLOOKUP(B324,Guide,12,FALSE)</f>
        <v>Increased Overpayments Permitted (10% per annum)</v>
      </c>
    </row>
    <row r="322" spans="2:12" ht="22.15" customHeight="1">
      <c r="B322" s="242"/>
      <c r="C322" s="243"/>
      <c r="D322" s="245"/>
      <c r="E322" s="247"/>
      <c r="F322" s="249"/>
      <c r="G322" s="251"/>
      <c r="H322" s="257"/>
      <c r="I322" s="259"/>
      <c r="J322" s="253"/>
      <c r="K322" s="255"/>
      <c r="L322" s="263"/>
    </row>
    <row r="323" spans="2:12" ht="50.45" customHeight="1">
      <c r="B323" s="242"/>
      <c r="C323" s="243"/>
      <c r="D323" s="245"/>
      <c r="E323" s="247"/>
      <c r="F323" s="249"/>
      <c r="G323" s="251"/>
      <c r="H323" s="257"/>
      <c r="I323" s="259"/>
      <c r="J323" s="253"/>
      <c r="K323" s="255"/>
      <c r="L323" s="263"/>
    </row>
    <row r="324" spans="2:12">
      <c r="B324" s="261" t="s">
        <v>448</v>
      </c>
      <c r="C324" s="243"/>
      <c r="D324" s="245"/>
      <c r="E324" s="247"/>
      <c r="F324" s="249"/>
      <c r="G324" s="251"/>
      <c r="H324" s="257"/>
      <c r="I324" s="259"/>
      <c r="J324" s="253"/>
      <c r="K324" s="255"/>
      <c r="L324" s="263"/>
    </row>
    <row r="325" spans="2:12" ht="36" customHeight="1" thickBot="1">
      <c r="B325" s="262"/>
      <c r="C325" s="244"/>
      <c r="D325" s="246"/>
      <c r="E325" s="248"/>
      <c r="F325" s="250"/>
      <c r="G325" s="252"/>
      <c r="H325" s="258"/>
      <c r="I325" s="260"/>
      <c r="J325" s="254"/>
      <c r="K325" s="256"/>
      <c r="L325" s="264"/>
    </row>
    <row r="326" spans="2:12" ht="35.25" customHeight="1">
      <c r="B326" s="267" t="str">
        <f>VLOOKUP(B329,Guide,2,FALSE)</f>
        <v xml:space="preserve">2 Year Variable Rate - Repayment &amp; Interest Only </v>
      </c>
      <c r="C326" s="270" t="str">
        <f>VLOOKUP(B329,Guide,3,FALSE)</f>
        <v>5.79%</v>
      </c>
      <c r="D326" s="271">
        <f>VLOOKUP(B329,Guide,4,FALSE)</f>
        <v>45473</v>
      </c>
      <c r="E326" s="272" t="str">
        <f>VLOOKUP(B329,Guide,5,FALSE)</f>
        <v/>
      </c>
      <c r="F326" s="273">
        <f>VLOOKUP(B329,Guide,6,FALSE)</f>
        <v>4.4000000000000004</v>
      </c>
      <c r="G326" s="274">
        <f>VLOOKUP(B329,Guide,7,FALSE)</f>
        <v>90</v>
      </c>
      <c r="H326" s="275">
        <f>VLOOKUP(B329,Guide,8,FALSE)</f>
        <v>0</v>
      </c>
      <c r="I326" s="276">
        <f>VLOOKUP(B329,Guide,9,FALSE)</f>
        <v>0</v>
      </c>
      <c r="J326" s="277">
        <f>VLOOKUP(B329,Guide,10,FALSE)</f>
        <v>50000</v>
      </c>
      <c r="K326" s="269">
        <f>VLOOKUP(B329,Guide,11,FALSE)</f>
        <v>1000000</v>
      </c>
      <c r="L326" s="268" t="str">
        <f>VLOOKUP(B329,Guide,12,FALSE)</f>
        <v>Increased Overpayments Permitted (10% per annum)</v>
      </c>
    </row>
    <row r="327" spans="2:12" ht="16.5" customHeight="1">
      <c r="B327" s="242"/>
      <c r="C327" s="243"/>
      <c r="D327" s="245"/>
      <c r="E327" s="247"/>
      <c r="F327" s="249"/>
      <c r="G327" s="251"/>
      <c r="H327" s="257"/>
      <c r="I327" s="259"/>
      <c r="J327" s="253"/>
      <c r="K327" s="255"/>
      <c r="L327" s="263"/>
    </row>
    <row r="328" spans="2:12" ht="16.5" customHeight="1">
      <c r="B328" s="242"/>
      <c r="C328" s="243"/>
      <c r="D328" s="245"/>
      <c r="E328" s="247"/>
      <c r="F328" s="249"/>
      <c r="G328" s="251"/>
      <c r="H328" s="257"/>
      <c r="I328" s="259"/>
      <c r="J328" s="253"/>
      <c r="K328" s="255"/>
      <c r="L328" s="263"/>
    </row>
    <row r="329" spans="2:12" ht="27.75" customHeight="1">
      <c r="B329" s="261" t="s">
        <v>449</v>
      </c>
      <c r="C329" s="243"/>
      <c r="D329" s="245"/>
      <c r="E329" s="247"/>
      <c r="F329" s="249"/>
      <c r="G329" s="251"/>
      <c r="H329" s="257"/>
      <c r="I329" s="259"/>
      <c r="J329" s="253"/>
      <c r="K329" s="255"/>
      <c r="L329" s="263"/>
    </row>
    <row r="330" spans="2:12" ht="27" customHeight="1" thickBot="1">
      <c r="B330" s="262"/>
      <c r="C330" s="244"/>
      <c r="D330" s="246"/>
      <c r="E330" s="248"/>
      <c r="F330" s="250"/>
      <c r="G330" s="252"/>
      <c r="H330" s="258"/>
      <c r="I330" s="260"/>
      <c r="J330" s="254"/>
      <c r="K330" s="256"/>
      <c r="L330" s="264"/>
    </row>
    <row r="331" spans="2:12" ht="24.95" customHeight="1" thickBot="1">
      <c r="B331" s="92" t="s">
        <v>450</v>
      </c>
      <c r="C331" s="91"/>
      <c r="D331" s="129"/>
      <c r="E331" s="91"/>
      <c r="F331" s="91"/>
      <c r="G331" s="91"/>
      <c r="H331" s="91"/>
      <c r="I331" s="91"/>
      <c r="J331" s="91"/>
      <c r="K331" s="91"/>
      <c r="L331" s="91"/>
    </row>
    <row r="332" spans="2:12">
      <c r="B332" s="267" t="str">
        <f>VLOOKUP(B335,Guide,2,FALSE)</f>
        <v xml:space="preserve">2 Year Variable Rate - Repayment &amp; Interest Only (Self Build Only) </v>
      </c>
      <c r="C332" s="270" t="str">
        <f>VLOOKUP(B335,Guide,3,FALSE)</f>
        <v>5.69%</v>
      </c>
      <c r="D332" s="271">
        <f>VLOOKUP(B335,Guide,4,FALSE)</f>
        <v>45473</v>
      </c>
      <c r="E332" s="272" t="str">
        <f>VLOOKUP(B335,Guide,5,FALSE)</f>
        <v>1% of amount repaid</v>
      </c>
      <c r="F332" s="273">
        <f>VLOOKUP(B335,Guide,6,FALSE)</f>
        <v>4.4000000000000004</v>
      </c>
      <c r="G332" s="274">
        <f>VLOOKUP(B335,Guide,7,FALSE)</f>
        <v>90</v>
      </c>
      <c r="H332" s="275">
        <f>VLOOKUP(B335,Guide,8,FALSE)</f>
        <v>0</v>
      </c>
      <c r="I332" s="276">
        <f>VLOOKUP(B335,Guide,9,FALSE)</f>
        <v>0</v>
      </c>
      <c r="J332" s="277">
        <f>VLOOKUP(B335,Guide,10,FALSE)</f>
        <v>50000</v>
      </c>
      <c r="K332" s="269">
        <f>VLOOKUP(B335,Guide,11,FALSE)</f>
        <v>1000000</v>
      </c>
      <c r="L332" s="268" t="str">
        <f>VLOOKUP(B335,Guide,12,FALSE)</f>
        <v>Increased Overpayments Permitted (10% per annum)
MIG Paid by NBS</v>
      </c>
    </row>
    <row r="333" spans="2:12">
      <c r="B333" s="242"/>
      <c r="C333" s="243"/>
      <c r="D333" s="245"/>
      <c r="E333" s="247"/>
      <c r="F333" s="249"/>
      <c r="G333" s="251"/>
      <c r="H333" s="257"/>
      <c r="I333" s="259"/>
      <c r="J333" s="253"/>
      <c r="K333" s="255"/>
      <c r="L333" s="263"/>
    </row>
    <row r="334" spans="2:12">
      <c r="B334" s="242"/>
      <c r="C334" s="243"/>
      <c r="D334" s="245"/>
      <c r="E334" s="247"/>
      <c r="F334" s="249"/>
      <c r="G334" s="251"/>
      <c r="H334" s="257"/>
      <c r="I334" s="259"/>
      <c r="J334" s="253"/>
      <c r="K334" s="255"/>
      <c r="L334" s="263"/>
    </row>
    <row r="335" spans="2:12" ht="25.9" customHeight="1">
      <c r="B335" s="261" t="s">
        <v>451</v>
      </c>
      <c r="C335" s="243"/>
      <c r="D335" s="245"/>
      <c r="E335" s="247"/>
      <c r="F335" s="249"/>
      <c r="G335" s="251"/>
      <c r="H335" s="257"/>
      <c r="I335" s="259"/>
      <c r="J335" s="253"/>
      <c r="K335" s="255"/>
      <c r="L335" s="263"/>
    </row>
    <row r="336" spans="2:12" ht="33" customHeight="1" thickBot="1">
      <c r="B336" s="262"/>
      <c r="C336" s="244"/>
      <c r="D336" s="246"/>
      <c r="E336" s="248"/>
      <c r="F336" s="250"/>
      <c r="G336" s="252"/>
      <c r="H336" s="258"/>
      <c r="I336" s="260"/>
      <c r="J336" s="254"/>
      <c r="K336" s="256"/>
      <c r="L336" s="264"/>
    </row>
    <row r="337" spans="2:12" ht="24.95" customHeight="1" thickBot="1">
      <c r="B337" s="82" t="s">
        <v>452</v>
      </c>
      <c r="C337" s="91"/>
      <c r="D337" s="129"/>
      <c r="E337" s="91"/>
      <c r="F337" s="91"/>
      <c r="G337" s="91"/>
      <c r="H337" s="91"/>
      <c r="I337" s="91"/>
      <c r="J337" s="91"/>
      <c r="K337" s="83"/>
      <c r="L337" s="83"/>
    </row>
    <row r="338" spans="2:12" ht="63.75" customHeight="1">
      <c r="B338" s="267" t="str">
        <f>VLOOKUP(B341,Guide,2,FALSE)</f>
        <v>2 Year Variable Rate - Repayment &amp; Interest Only (Accelerate)</v>
      </c>
      <c r="C338" s="270" t="str">
        <f>VLOOKUP(B341,Guide,3,FALSE)</f>
        <v>5.59%</v>
      </c>
      <c r="D338" s="271">
        <f>VLOOKUP(B341,Guide,4,FALSE)</f>
        <v>45473</v>
      </c>
      <c r="E338" s="272" t="str">
        <f>VLOOKUP(B341,Guide,5,FALSE)</f>
        <v>1% of amount repaid</v>
      </c>
      <c r="F338" s="273">
        <f>VLOOKUP(B341,Guide,6,FALSE)</f>
        <v>4.4000000000000004</v>
      </c>
      <c r="G338" s="274">
        <f>VLOOKUP(B341,Guide,7,FALSE)</f>
        <v>90</v>
      </c>
      <c r="H338" s="275">
        <f>VLOOKUP(B341,Guide,8,FALSE)</f>
        <v>0</v>
      </c>
      <c r="I338" s="276">
        <f>VLOOKUP(B341,Guide,9,FALSE)</f>
        <v>999</v>
      </c>
      <c r="J338" s="277">
        <f>VLOOKUP(B341,Guide,10,FALSE)</f>
        <v>50000</v>
      </c>
      <c r="K338" s="269">
        <f>VLOOKUP(B341,Guide,11,FALSE)</f>
        <v>1000000</v>
      </c>
      <c r="L338" s="268" t="str">
        <f>VLOOKUP(B341,Guide,12,FALSE)</f>
        <v>Increased Overpayments Permitted (10% per annum)</v>
      </c>
    </row>
    <row r="339" spans="2:12" ht="27.75" customHeight="1">
      <c r="B339" s="242"/>
      <c r="C339" s="243"/>
      <c r="D339" s="245"/>
      <c r="E339" s="247"/>
      <c r="F339" s="249"/>
      <c r="G339" s="251"/>
      <c r="H339" s="257"/>
      <c r="I339" s="259"/>
      <c r="J339" s="253"/>
      <c r="K339" s="255"/>
      <c r="L339" s="263"/>
    </row>
    <row r="340" spans="2:12" ht="27.75" customHeight="1">
      <c r="B340" s="242"/>
      <c r="C340" s="243"/>
      <c r="D340" s="245"/>
      <c r="E340" s="247"/>
      <c r="F340" s="249"/>
      <c r="G340" s="251"/>
      <c r="H340" s="257"/>
      <c r="I340" s="259"/>
      <c r="J340" s="253"/>
      <c r="K340" s="255"/>
      <c r="L340" s="263"/>
    </row>
    <row r="341" spans="2:12" ht="30" customHeight="1">
      <c r="B341" s="261" t="s">
        <v>453</v>
      </c>
      <c r="C341" s="243"/>
      <c r="D341" s="245"/>
      <c r="E341" s="247"/>
      <c r="F341" s="249"/>
      <c r="G341" s="251"/>
      <c r="H341" s="257"/>
      <c r="I341" s="259"/>
      <c r="J341" s="253"/>
      <c r="K341" s="255"/>
      <c r="L341" s="263"/>
    </row>
    <row r="342" spans="2:12" ht="30" customHeight="1" thickBot="1">
      <c r="B342" s="262"/>
      <c r="C342" s="244"/>
      <c r="D342" s="246"/>
      <c r="E342" s="248"/>
      <c r="F342" s="250"/>
      <c r="G342" s="252"/>
      <c r="H342" s="258"/>
      <c r="I342" s="260"/>
      <c r="J342" s="254"/>
      <c r="K342" s="256"/>
      <c r="L342" s="264"/>
    </row>
    <row r="343" spans="2:12">
      <c r="B343" s="267" t="str">
        <f>VLOOKUP(B346,Guide,2,FALSE)</f>
        <v>2 Year Variable Rate - Self Build &amp; Custom Build</v>
      </c>
      <c r="C343" s="270" t="str">
        <f>VLOOKUP(B346,Guide,3,FALSE)</f>
        <v>5.79%</v>
      </c>
      <c r="D343" s="271">
        <f>VLOOKUP(B346,Guide,4,FALSE)</f>
        <v>45473</v>
      </c>
      <c r="E343" s="272" t="str">
        <f>VLOOKUP(B346,Guide,5,FALSE)</f>
        <v/>
      </c>
      <c r="F343" s="273">
        <f>VLOOKUP(B346,Guide,6,FALSE)</f>
        <v>4.4000000000000004</v>
      </c>
      <c r="G343" s="274">
        <f>VLOOKUP(B346,Guide,7,FALSE)</f>
        <v>90</v>
      </c>
      <c r="H343" s="275">
        <f>VLOOKUP(B346,Guide,8,FALSE)</f>
        <v>0</v>
      </c>
      <c r="I343" s="276">
        <f>VLOOKUP(B346,Guide,9,FALSE)</f>
        <v>0</v>
      </c>
      <c r="J343" s="277">
        <f>VLOOKUP(B346,Guide,10,FALSE)</f>
        <v>50000</v>
      </c>
      <c r="K343" s="269">
        <f>VLOOKUP(B346,Guide,11,FALSE)</f>
        <v>1000000</v>
      </c>
      <c r="L343" s="268" t="str">
        <f>VLOOKUP(B346,Guide,12,FALSE)</f>
        <v>Increased Overpayments Permitted (10% per annum)</v>
      </c>
    </row>
    <row r="344" spans="2:12" ht="16.5" customHeight="1">
      <c r="B344" s="242"/>
      <c r="C344" s="243"/>
      <c r="D344" s="245"/>
      <c r="E344" s="247"/>
      <c r="F344" s="249"/>
      <c r="G344" s="251"/>
      <c r="H344" s="257"/>
      <c r="I344" s="259"/>
      <c r="J344" s="253"/>
      <c r="K344" s="255"/>
      <c r="L344" s="263"/>
    </row>
    <row r="345" spans="2:12" ht="27.75" customHeight="1">
      <c r="B345" s="242"/>
      <c r="C345" s="243"/>
      <c r="D345" s="245"/>
      <c r="E345" s="247"/>
      <c r="F345" s="249"/>
      <c r="G345" s="251"/>
      <c r="H345" s="257"/>
      <c r="I345" s="259"/>
      <c r="J345" s="253"/>
      <c r="K345" s="255"/>
      <c r="L345" s="263"/>
    </row>
    <row r="346" spans="2:12" ht="27" customHeight="1">
      <c r="B346" s="261" t="s">
        <v>454</v>
      </c>
      <c r="C346" s="243"/>
      <c r="D346" s="245"/>
      <c r="E346" s="247"/>
      <c r="F346" s="249"/>
      <c r="G346" s="251"/>
      <c r="H346" s="257"/>
      <c r="I346" s="259"/>
      <c r="J346" s="253"/>
      <c r="K346" s="255"/>
      <c r="L346" s="263"/>
    </row>
    <row r="347" spans="2:12" ht="27" customHeight="1" thickBot="1">
      <c r="B347" s="262"/>
      <c r="C347" s="244"/>
      <c r="D347" s="246"/>
      <c r="E347" s="248"/>
      <c r="F347" s="250"/>
      <c r="G347" s="252"/>
      <c r="H347" s="258"/>
      <c r="I347" s="260"/>
      <c r="J347" s="254"/>
      <c r="K347" s="256"/>
      <c r="L347" s="264"/>
    </row>
    <row r="348" spans="2:12" ht="21.75" customHeight="1">
      <c r="B348" s="84" t="s">
        <v>374</v>
      </c>
      <c r="C348" s="85"/>
      <c r="D348" s="126"/>
      <c r="E348" s="85"/>
      <c r="F348" s="85"/>
      <c r="G348" s="85"/>
      <c r="H348" s="85"/>
      <c r="I348" s="85"/>
      <c r="J348" s="85"/>
      <c r="K348" s="85"/>
      <c r="L348" s="85"/>
    </row>
    <row r="349" spans="2:12" ht="15.75" customHeight="1">
      <c r="B349" s="265" t="s">
        <v>375</v>
      </c>
      <c r="C349" s="265"/>
      <c r="D349" s="265"/>
      <c r="E349" s="265"/>
      <c r="F349" s="265"/>
      <c r="G349" s="265"/>
      <c r="H349" s="265"/>
      <c r="I349" s="265"/>
      <c r="J349" s="265"/>
      <c r="K349" s="265"/>
      <c r="L349" s="265"/>
    </row>
  </sheetData>
  <mergeCells count="585">
    <mergeCell ref="J338:J342"/>
    <mergeCell ref="K338:K342"/>
    <mergeCell ref="L338:L342"/>
    <mergeCell ref="B341:B342"/>
    <mergeCell ref="B343:B345"/>
    <mergeCell ref="C343:C347"/>
    <mergeCell ref="D343:D347"/>
    <mergeCell ref="E343:E347"/>
    <mergeCell ref="F343:F347"/>
    <mergeCell ref="G343:G347"/>
    <mergeCell ref="H343:H347"/>
    <mergeCell ref="I343:I347"/>
    <mergeCell ref="J343:J347"/>
    <mergeCell ref="K343:K347"/>
    <mergeCell ref="L343:L347"/>
    <mergeCell ref="B346:B347"/>
    <mergeCell ref="B338:B340"/>
    <mergeCell ref="C338:C342"/>
    <mergeCell ref="D338:D342"/>
    <mergeCell ref="E338:E342"/>
    <mergeCell ref="F338:F342"/>
    <mergeCell ref="G338:G342"/>
    <mergeCell ref="H338:H342"/>
    <mergeCell ref="I338:I342"/>
    <mergeCell ref="H12:H16"/>
    <mergeCell ref="I12:I16"/>
    <mergeCell ref="J12:J16"/>
    <mergeCell ref="K12:K16"/>
    <mergeCell ref="L12:L16"/>
    <mergeCell ref="B15:B16"/>
    <mergeCell ref="B12:B14"/>
    <mergeCell ref="C12:C16"/>
    <mergeCell ref="D12:D16"/>
    <mergeCell ref="E12:E16"/>
    <mergeCell ref="F12:F16"/>
    <mergeCell ref="G12:G16"/>
    <mergeCell ref="H18:H22"/>
    <mergeCell ref="I18:I22"/>
    <mergeCell ref="J18:J22"/>
    <mergeCell ref="K18:K22"/>
    <mergeCell ref="L18:L22"/>
    <mergeCell ref="B21:B22"/>
    <mergeCell ref="B18:B20"/>
    <mergeCell ref="C18:C22"/>
    <mergeCell ref="D18:D22"/>
    <mergeCell ref="E18:E22"/>
    <mergeCell ref="F18:F22"/>
    <mergeCell ref="G18:G22"/>
    <mergeCell ref="H30:H34"/>
    <mergeCell ref="I30:I34"/>
    <mergeCell ref="J30:J34"/>
    <mergeCell ref="K30:K34"/>
    <mergeCell ref="H24:H28"/>
    <mergeCell ref="I24:I28"/>
    <mergeCell ref="J24:J28"/>
    <mergeCell ref="K24:K28"/>
    <mergeCell ref="B36:L36"/>
    <mergeCell ref="L24:L28"/>
    <mergeCell ref="B27:B28"/>
    <mergeCell ref="B24:B26"/>
    <mergeCell ref="C24:C28"/>
    <mergeCell ref="D24:D28"/>
    <mergeCell ref="E24:E28"/>
    <mergeCell ref="F24:F28"/>
    <mergeCell ref="G24:G28"/>
    <mergeCell ref="B37:L37"/>
    <mergeCell ref="B42:B44"/>
    <mergeCell ref="C42:C46"/>
    <mergeCell ref="D42:D46"/>
    <mergeCell ref="E42:E46"/>
    <mergeCell ref="F42:F46"/>
    <mergeCell ref="G42:G46"/>
    <mergeCell ref="H42:H46"/>
    <mergeCell ref="I42:I46"/>
    <mergeCell ref="J42:J46"/>
    <mergeCell ref="K42:K46"/>
    <mergeCell ref="L42:L46"/>
    <mergeCell ref="I47:I51"/>
    <mergeCell ref="J47:J51"/>
    <mergeCell ref="K47:K51"/>
    <mergeCell ref="L47:L51"/>
    <mergeCell ref="B53:B55"/>
    <mergeCell ref="C53:C57"/>
    <mergeCell ref="D53:D57"/>
    <mergeCell ref="E53:E57"/>
    <mergeCell ref="F53:F57"/>
    <mergeCell ref="G53:G57"/>
    <mergeCell ref="B47:B49"/>
    <mergeCell ref="C47:C51"/>
    <mergeCell ref="D47:D51"/>
    <mergeCell ref="E47:E51"/>
    <mergeCell ref="F47:F51"/>
    <mergeCell ref="G47:G51"/>
    <mergeCell ref="H47:H51"/>
    <mergeCell ref="H53:H57"/>
    <mergeCell ref="I53:I57"/>
    <mergeCell ref="J53:J57"/>
    <mergeCell ref="K53:K57"/>
    <mergeCell ref="L53:L57"/>
    <mergeCell ref="B64:B66"/>
    <mergeCell ref="C64:C68"/>
    <mergeCell ref="D64:D68"/>
    <mergeCell ref="E64:E68"/>
    <mergeCell ref="F64:F68"/>
    <mergeCell ref="B59:B61"/>
    <mergeCell ref="C59:C63"/>
    <mergeCell ref="D59:D63"/>
    <mergeCell ref="E59:E63"/>
    <mergeCell ref="F59:F63"/>
    <mergeCell ref="B62:B63"/>
    <mergeCell ref="G64:G68"/>
    <mergeCell ref="H64:H68"/>
    <mergeCell ref="I64:I68"/>
    <mergeCell ref="J64:J68"/>
    <mergeCell ref="K64:K68"/>
    <mergeCell ref="L64:L68"/>
    <mergeCell ref="H59:H63"/>
    <mergeCell ref="I59:I63"/>
    <mergeCell ref="J59:J63"/>
    <mergeCell ref="K59:K63"/>
    <mergeCell ref="L59:L63"/>
    <mergeCell ref="G59:G63"/>
    <mergeCell ref="B75:B77"/>
    <mergeCell ref="C75:C79"/>
    <mergeCell ref="D75:D79"/>
    <mergeCell ref="E75:E79"/>
    <mergeCell ref="F75:F79"/>
    <mergeCell ref="B69:B71"/>
    <mergeCell ref="C69:C73"/>
    <mergeCell ref="D69:D73"/>
    <mergeCell ref="E69:E73"/>
    <mergeCell ref="F69:F73"/>
    <mergeCell ref="G75:G79"/>
    <mergeCell ref="H75:H79"/>
    <mergeCell ref="I75:I79"/>
    <mergeCell ref="J75:J79"/>
    <mergeCell ref="K75:K79"/>
    <mergeCell ref="L75:L79"/>
    <mergeCell ref="H69:H73"/>
    <mergeCell ref="I69:I73"/>
    <mergeCell ref="J69:J73"/>
    <mergeCell ref="K69:K73"/>
    <mergeCell ref="G69:G73"/>
    <mergeCell ref="H80:H84"/>
    <mergeCell ref="I80:I84"/>
    <mergeCell ref="J80:J84"/>
    <mergeCell ref="K80:K84"/>
    <mergeCell ref="B80:B82"/>
    <mergeCell ref="C80:C84"/>
    <mergeCell ref="D80:D84"/>
    <mergeCell ref="E80:E84"/>
    <mergeCell ref="F80:F84"/>
    <mergeCell ref="G80:G84"/>
    <mergeCell ref="G89:G93"/>
    <mergeCell ref="H89:H93"/>
    <mergeCell ref="I89:I93"/>
    <mergeCell ref="J89:J93"/>
    <mergeCell ref="K89:K93"/>
    <mergeCell ref="L89:L93"/>
    <mergeCell ref="B89:B91"/>
    <mergeCell ref="C89:C93"/>
    <mergeCell ref="D89:D93"/>
    <mergeCell ref="E89:E93"/>
    <mergeCell ref="F89:F93"/>
    <mergeCell ref="B92:B93"/>
    <mergeCell ref="B94:L95"/>
    <mergeCell ref="B97:L97"/>
    <mergeCell ref="B102:B104"/>
    <mergeCell ref="C102:C106"/>
    <mergeCell ref="D102:D106"/>
    <mergeCell ref="E102:E106"/>
    <mergeCell ref="F102:F106"/>
    <mergeCell ref="G102:G106"/>
    <mergeCell ref="H102:H106"/>
    <mergeCell ref="I102:I106"/>
    <mergeCell ref="L102:L106"/>
    <mergeCell ref="H107:H111"/>
    <mergeCell ref="I107:I111"/>
    <mergeCell ref="J107:J111"/>
    <mergeCell ref="K107:K111"/>
    <mergeCell ref="B110:B111"/>
    <mergeCell ref="J102:J106"/>
    <mergeCell ref="K102:K106"/>
    <mergeCell ref="B105:B106"/>
    <mergeCell ref="B107:B109"/>
    <mergeCell ref="C107:C111"/>
    <mergeCell ref="D107:D111"/>
    <mergeCell ref="E107:E111"/>
    <mergeCell ref="F107:F111"/>
    <mergeCell ref="G107:G111"/>
    <mergeCell ref="J120:J124"/>
    <mergeCell ref="K120:K124"/>
    <mergeCell ref="B123:B124"/>
    <mergeCell ref="B126:B128"/>
    <mergeCell ref="C126:C130"/>
    <mergeCell ref="D126:D130"/>
    <mergeCell ref="E126:E130"/>
    <mergeCell ref="F126:F130"/>
    <mergeCell ref="B112:L113"/>
    <mergeCell ref="B115:L115"/>
    <mergeCell ref="B120:B122"/>
    <mergeCell ref="C120:C124"/>
    <mergeCell ref="D120:D124"/>
    <mergeCell ref="E120:E124"/>
    <mergeCell ref="F120:F124"/>
    <mergeCell ref="G120:G124"/>
    <mergeCell ref="H120:H124"/>
    <mergeCell ref="I120:I124"/>
    <mergeCell ref="J138:J142"/>
    <mergeCell ref="K138:K142"/>
    <mergeCell ref="B141:B142"/>
    <mergeCell ref="B129:B130"/>
    <mergeCell ref="B131:L131"/>
    <mergeCell ref="B132:L133"/>
    <mergeCell ref="B138:B140"/>
    <mergeCell ref="C138:C142"/>
    <mergeCell ref="D138:D142"/>
    <mergeCell ref="E138:E142"/>
    <mergeCell ref="F138:F142"/>
    <mergeCell ref="G138:G142"/>
    <mergeCell ref="G126:G130"/>
    <mergeCell ref="H126:H130"/>
    <mergeCell ref="I126:I130"/>
    <mergeCell ref="J126:J130"/>
    <mergeCell ref="K126:K130"/>
    <mergeCell ref="H138:H142"/>
    <mergeCell ref="I138:I142"/>
    <mergeCell ref="B161:B163"/>
    <mergeCell ref="C161:C165"/>
    <mergeCell ref="D161:D165"/>
    <mergeCell ref="E161:E165"/>
    <mergeCell ref="J156:J160"/>
    <mergeCell ref="K156:K160"/>
    <mergeCell ref="L156:L160"/>
    <mergeCell ref="B159:B160"/>
    <mergeCell ref="B149:L149"/>
    <mergeCell ref="B150:L151"/>
    <mergeCell ref="B156:B158"/>
    <mergeCell ref="C156:C160"/>
    <mergeCell ref="D156:D160"/>
    <mergeCell ref="E156:E160"/>
    <mergeCell ref="F156:F160"/>
    <mergeCell ref="G156:G160"/>
    <mergeCell ref="H156:H160"/>
    <mergeCell ref="I156:I160"/>
    <mergeCell ref="J175:J179"/>
    <mergeCell ref="K175:K179"/>
    <mergeCell ref="L175:L179"/>
    <mergeCell ref="B178:B179"/>
    <mergeCell ref="B167:L167"/>
    <mergeCell ref="B168:L168"/>
    <mergeCell ref="I185:I189"/>
    <mergeCell ref="J185:J189"/>
    <mergeCell ref="K185:K189"/>
    <mergeCell ref="B188:B189"/>
    <mergeCell ref="K180:K184"/>
    <mergeCell ref="B185:B187"/>
    <mergeCell ref="C185:C189"/>
    <mergeCell ref="D185:D189"/>
    <mergeCell ref="E185:E189"/>
    <mergeCell ref="F185:F189"/>
    <mergeCell ref="G185:G189"/>
    <mergeCell ref="H185:H189"/>
    <mergeCell ref="C180:C184"/>
    <mergeCell ref="D180:D184"/>
    <mergeCell ref="E180:E184"/>
    <mergeCell ref="F180:F184"/>
    <mergeCell ref="G180:G184"/>
    <mergeCell ref="H180:H184"/>
    <mergeCell ref="I180:I184"/>
    <mergeCell ref="J180:J184"/>
    <mergeCell ref="B180:B182"/>
    <mergeCell ref="I203:I207"/>
    <mergeCell ref="J203:J207"/>
    <mergeCell ref="K203:K207"/>
    <mergeCell ref="B203:B205"/>
    <mergeCell ref="L203:L207"/>
    <mergeCell ref="B206:B207"/>
    <mergeCell ref="K198:K202"/>
    <mergeCell ref="C203:C207"/>
    <mergeCell ref="D203:D207"/>
    <mergeCell ref="E203:E207"/>
    <mergeCell ref="F203:F207"/>
    <mergeCell ref="G203:G207"/>
    <mergeCell ref="H203:H207"/>
    <mergeCell ref="C198:C202"/>
    <mergeCell ref="D198:D202"/>
    <mergeCell ref="E198:E202"/>
    <mergeCell ref="F198:F202"/>
    <mergeCell ref="G198:G202"/>
    <mergeCell ref="H198:H202"/>
    <mergeCell ref="I198:I202"/>
    <mergeCell ref="J198:J202"/>
    <mergeCell ref="J224:J228"/>
    <mergeCell ref="K224:K228"/>
    <mergeCell ref="L224:L228"/>
    <mergeCell ref="I229:I233"/>
    <mergeCell ref="J229:J233"/>
    <mergeCell ref="K229:K233"/>
    <mergeCell ref="B227:B228"/>
    <mergeCell ref="I208:I212"/>
    <mergeCell ref="J208:J212"/>
    <mergeCell ref="K208:K212"/>
    <mergeCell ref="B208:B210"/>
    <mergeCell ref="L208:L212"/>
    <mergeCell ref="B211:B212"/>
    <mergeCell ref="C208:C212"/>
    <mergeCell ref="D208:D212"/>
    <mergeCell ref="E208:E212"/>
    <mergeCell ref="F208:F212"/>
    <mergeCell ref="G208:G212"/>
    <mergeCell ref="H208:H212"/>
    <mergeCell ref="B218:L218"/>
    <mergeCell ref="B219:L219"/>
    <mergeCell ref="I213:I217"/>
    <mergeCell ref="J213:J217"/>
    <mergeCell ref="K213:K217"/>
    <mergeCell ref="B213:B215"/>
    <mergeCell ref="L213:L217"/>
    <mergeCell ref="B216:B217"/>
    <mergeCell ref="C213:C217"/>
    <mergeCell ref="D213:D217"/>
    <mergeCell ref="E213:E217"/>
    <mergeCell ref="F213:F217"/>
    <mergeCell ref="G213:G217"/>
    <mergeCell ref="H213:H217"/>
    <mergeCell ref="B265:L265"/>
    <mergeCell ref="K254:K258"/>
    <mergeCell ref="C259:C263"/>
    <mergeCell ref="D259:D263"/>
    <mergeCell ref="E259:E263"/>
    <mergeCell ref="F259:F263"/>
    <mergeCell ref="G259:G263"/>
    <mergeCell ref="H259:H263"/>
    <mergeCell ref="B259:B261"/>
    <mergeCell ref="L259:L263"/>
    <mergeCell ref="B262:B263"/>
    <mergeCell ref="C254:C258"/>
    <mergeCell ref="D254:D258"/>
    <mergeCell ref="E254:E258"/>
    <mergeCell ref="F254:F258"/>
    <mergeCell ref="G254:G258"/>
    <mergeCell ref="H254:H258"/>
    <mergeCell ref="I254:I258"/>
    <mergeCell ref="J254:J258"/>
    <mergeCell ref="I259:I263"/>
    <mergeCell ref="K272:K276"/>
    <mergeCell ref="L272:L276"/>
    <mergeCell ref="B275:B276"/>
    <mergeCell ref="B277:B279"/>
    <mergeCell ref="C277:C281"/>
    <mergeCell ref="D277:D281"/>
    <mergeCell ref="E277:E281"/>
    <mergeCell ref="F277:F281"/>
    <mergeCell ref="G277:G281"/>
    <mergeCell ref="H277:H281"/>
    <mergeCell ref="I277:I281"/>
    <mergeCell ref="J277:J281"/>
    <mergeCell ref="K277:K281"/>
    <mergeCell ref="L277:L281"/>
    <mergeCell ref="B280:B281"/>
    <mergeCell ref="B272:B274"/>
    <mergeCell ref="C272:C276"/>
    <mergeCell ref="D272:D276"/>
    <mergeCell ref="E272:E276"/>
    <mergeCell ref="F272:F276"/>
    <mergeCell ref="G272:G276"/>
    <mergeCell ref="H272:H276"/>
    <mergeCell ref="I272:I276"/>
    <mergeCell ref="J272:J276"/>
    <mergeCell ref="H282:H286"/>
    <mergeCell ref="I282:I286"/>
    <mergeCell ref="J282:J286"/>
    <mergeCell ref="K282:K286"/>
    <mergeCell ref="L282:L286"/>
    <mergeCell ref="C282:C286"/>
    <mergeCell ref="D282:D286"/>
    <mergeCell ref="E282:E286"/>
    <mergeCell ref="F282:F286"/>
    <mergeCell ref="G282:G286"/>
    <mergeCell ref="B282:B284"/>
    <mergeCell ref="B285:B286"/>
    <mergeCell ref="B290:B291"/>
    <mergeCell ref="B287:B289"/>
    <mergeCell ref="C287:C291"/>
    <mergeCell ref="D287:D291"/>
    <mergeCell ref="E287:E291"/>
    <mergeCell ref="F287:F291"/>
    <mergeCell ref="G287:G291"/>
    <mergeCell ref="H287:H291"/>
    <mergeCell ref="I287:I291"/>
    <mergeCell ref="J287:J291"/>
    <mergeCell ref="K287:K291"/>
    <mergeCell ref="L287:L291"/>
    <mergeCell ref="H292:H296"/>
    <mergeCell ref="I292:I296"/>
    <mergeCell ref="J292:J296"/>
    <mergeCell ref="K292:K296"/>
    <mergeCell ref="L292:L296"/>
    <mergeCell ref="C292:C296"/>
    <mergeCell ref="D292:D296"/>
    <mergeCell ref="E292:E296"/>
    <mergeCell ref="F292:F296"/>
    <mergeCell ref="G292:G296"/>
    <mergeCell ref="B292:B294"/>
    <mergeCell ref="B295:B296"/>
    <mergeCell ref="H297:H301"/>
    <mergeCell ref="I297:I301"/>
    <mergeCell ref="J297:J301"/>
    <mergeCell ref="K297:K301"/>
    <mergeCell ref="L297:L301"/>
    <mergeCell ref="C297:C301"/>
    <mergeCell ref="D297:D301"/>
    <mergeCell ref="E297:E301"/>
    <mergeCell ref="F297:F301"/>
    <mergeCell ref="G297:G301"/>
    <mergeCell ref="B297:B299"/>
    <mergeCell ref="B300:B301"/>
    <mergeCell ref="B303:B305"/>
    <mergeCell ref="B306:B307"/>
    <mergeCell ref="H308:H312"/>
    <mergeCell ref="I308:I312"/>
    <mergeCell ref="J308:J312"/>
    <mergeCell ref="K308:K312"/>
    <mergeCell ref="L308:L312"/>
    <mergeCell ref="C308:C312"/>
    <mergeCell ref="D308:D312"/>
    <mergeCell ref="E308:E312"/>
    <mergeCell ref="F308:F312"/>
    <mergeCell ref="G308:G312"/>
    <mergeCell ref="B308:B310"/>
    <mergeCell ref="B311:B312"/>
    <mergeCell ref="H303:H307"/>
    <mergeCell ref="I303:I307"/>
    <mergeCell ref="J303:J307"/>
    <mergeCell ref="K303:K307"/>
    <mergeCell ref="L303:L307"/>
    <mergeCell ref="C303:C307"/>
    <mergeCell ref="D303:D307"/>
    <mergeCell ref="E303:E307"/>
    <mergeCell ref="F303:F307"/>
    <mergeCell ref="G303:G307"/>
    <mergeCell ref="B314:L314"/>
    <mergeCell ref="B321:B323"/>
    <mergeCell ref="C321:C325"/>
    <mergeCell ref="D321:D325"/>
    <mergeCell ref="E321:E325"/>
    <mergeCell ref="F321:F325"/>
    <mergeCell ref="G321:G325"/>
    <mergeCell ref="H321:H325"/>
    <mergeCell ref="I321:I325"/>
    <mergeCell ref="J321:J325"/>
    <mergeCell ref="K321:K325"/>
    <mergeCell ref="L321:L325"/>
    <mergeCell ref="B324:B325"/>
    <mergeCell ref="B332:B334"/>
    <mergeCell ref="L332:L336"/>
    <mergeCell ref="B335:B336"/>
    <mergeCell ref="K326:K330"/>
    <mergeCell ref="L326:L330"/>
    <mergeCell ref="B329:B330"/>
    <mergeCell ref="C332:C336"/>
    <mergeCell ref="D332:D336"/>
    <mergeCell ref="E332:E336"/>
    <mergeCell ref="F332:F336"/>
    <mergeCell ref="G332:G336"/>
    <mergeCell ref="H332:H336"/>
    <mergeCell ref="I332:I336"/>
    <mergeCell ref="J332:J336"/>
    <mergeCell ref="K332:K336"/>
    <mergeCell ref="C326:C330"/>
    <mergeCell ref="D326:D330"/>
    <mergeCell ref="E326:E330"/>
    <mergeCell ref="F326:F330"/>
    <mergeCell ref="G326:G330"/>
    <mergeCell ref="H326:H330"/>
    <mergeCell ref="I326:I330"/>
    <mergeCell ref="J326:J330"/>
    <mergeCell ref="B326:B328"/>
    <mergeCell ref="B349:L349"/>
    <mergeCell ref="L30:L34"/>
    <mergeCell ref="B33:B34"/>
    <mergeCell ref="B45:B46"/>
    <mergeCell ref="B50:B51"/>
    <mergeCell ref="B56:B57"/>
    <mergeCell ref="B30:B32"/>
    <mergeCell ref="C30:C34"/>
    <mergeCell ref="D30:D34"/>
    <mergeCell ref="E30:E34"/>
    <mergeCell ref="F30:F34"/>
    <mergeCell ref="G30:G34"/>
    <mergeCell ref="L107:L111"/>
    <mergeCell ref="L120:L124"/>
    <mergeCell ref="L126:L130"/>
    <mergeCell ref="L138:L142"/>
    <mergeCell ref="L144:L148"/>
    <mergeCell ref="B67:B68"/>
    <mergeCell ref="L69:L73"/>
    <mergeCell ref="B72:B73"/>
    <mergeCell ref="B78:B79"/>
    <mergeCell ref="L80:L84"/>
    <mergeCell ref="B83:B84"/>
    <mergeCell ref="H144:H148"/>
    <mergeCell ref="I144:I148"/>
    <mergeCell ref="J144:J148"/>
    <mergeCell ref="K144:K148"/>
    <mergeCell ref="B147:B148"/>
    <mergeCell ref="B144:B146"/>
    <mergeCell ref="C144:C148"/>
    <mergeCell ref="D144:D148"/>
    <mergeCell ref="E144:E148"/>
    <mergeCell ref="F144:F148"/>
    <mergeCell ref="G144:G148"/>
    <mergeCell ref="L180:L184"/>
    <mergeCell ref="B183:B184"/>
    <mergeCell ref="L185:L189"/>
    <mergeCell ref="B198:B200"/>
    <mergeCell ref="L198:L202"/>
    <mergeCell ref="B201:B202"/>
    <mergeCell ref="L161:L165"/>
    <mergeCell ref="B164:B165"/>
    <mergeCell ref="B175:B177"/>
    <mergeCell ref="C175:C179"/>
    <mergeCell ref="D175:D179"/>
    <mergeCell ref="E175:E179"/>
    <mergeCell ref="F175:F179"/>
    <mergeCell ref="G175:G179"/>
    <mergeCell ref="H175:H179"/>
    <mergeCell ref="I175:I179"/>
    <mergeCell ref="F161:F165"/>
    <mergeCell ref="G161:G165"/>
    <mergeCell ref="H161:H165"/>
    <mergeCell ref="I161:I165"/>
    <mergeCell ref="J161:J165"/>
    <mergeCell ref="K161:K165"/>
    <mergeCell ref="B191:L191"/>
    <mergeCell ref="B192:L192"/>
    <mergeCell ref="L240:L244"/>
    <mergeCell ref="B254:B256"/>
    <mergeCell ref="L254:L258"/>
    <mergeCell ref="B257:B258"/>
    <mergeCell ref="L229:L233"/>
    <mergeCell ref="B235:B237"/>
    <mergeCell ref="L235:L239"/>
    <mergeCell ref="B238:B239"/>
    <mergeCell ref="B240:B242"/>
    <mergeCell ref="C240:C244"/>
    <mergeCell ref="D240:D244"/>
    <mergeCell ref="E240:E244"/>
    <mergeCell ref="F240:F244"/>
    <mergeCell ref="G240:G244"/>
    <mergeCell ref="F229:F233"/>
    <mergeCell ref="G229:G233"/>
    <mergeCell ref="H229:H233"/>
    <mergeCell ref="B246:L246"/>
    <mergeCell ref="B247:L247"/>
    <mergeCell ref="B243:B244"/>
    <mergeCell ref="H240:H244"/>
    <mergeCell ref="I240:I244"/>
    <mergeCell ref="J240:J244"/>
    <mergeCell ref="K240:K244"/>
    <mergeCell ref="B224:B226"/>
    <mergeCell ref="C224:C228"/>
    <mergeCell ref="D224:D228"/>
    <mergeCell ref="E224:E228"/>
    <mergeCell ref="F224:F228"/>
    <mergeCell ref="G224:G228"/>
    <mergeCell ref="J259:J263"/>
    <mergeCell ref="K259:K263"/>
    <mergeCell ref="H235:H239"/>
    <mergeCell ref="I235:I239"/>
    <mergeCell ref="J235:J239"/>
    <mergeCell ref="K235:K239"/>
    <mergeCell ref="C235:C239"/>
    <mergeCell ref="D235:D239"/>
    <mergeCell ref="E235:E239"/>
    <mergeCell ref="F235:F239"/>
    <mergeCell ref="G235:G239"/>
    <mergeCell ref="B232:B233"/>
    <mergeCell ref="B229:B231"/>
    <mergeCell ref="C229:C233"/>
    <mergeCell ref="D229:D233"/>
    <mergeCell ref="E229:E233"/>
    <mergeCell ref="H224:H228"/>
    <mergeCell ref="I224:I228"/>
  </mergeCells>
  <printOptions horizontalCentered="1" verticalCentered="1"/>
  <pageMargins left="0" right="0.19685039370078741" top="0.19685039370078741" bottom="0.59055118110236227" header="0.31496062992125984" footer="0.51181102362204722"/>
  <pageSetup paperSize="9" scale="35" orientation="portrait" r:id="rId1"/>
  <headerFooter alignWithMargins="0">
    <oddFooter>&amp;C_x000D_&amp;1#&amp;"Calibri"&amp;10&amp;K000000 Document classification: L3 - Normal.</oddFooter>
  </headerFooter>
  <rowBreaks count="7" manualBreakCount="7">
    <brk id="37" max="11" man="1"/>
    <brk id="84" min="1" max="11" man="1"/>
    <brk id="151" min="1" max="11" man="1"/>
    <brk id="192" max="11" man="1"/>
    <brk id="219" max="11" man="1"/>
    <brk id="266" max="11" man="1"/>
    <brk id="315" max="11"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'Product Guide Data (Hidden)'!$A$2:$A$64</xm:f>
          </x14:formula1>
          <xm:sqref>B15:B16 B21:B22 B27:B28 B33:B34 B45:B46 B50:B51 B56:B57 B62:B63 B67:B68 B72:B73 B78:B79 B83:B84 B92:B93 B105:B106 B110:B111 B123:B124 B129:B130 B147:B148 B141:B142 B159:B160 B164:B165 B178:B179 B183:B184 B188:B189 B201:B202 B206:B207 B211:B212 B216:B217 B227:B228 B232:B233 B238:B239 B243:B244 B257:B258 B262:B263 B275:B276 B280:B281 B285:B286 B290:B291 B295:B296 B300:B301 B306:B307 B311:B312 B324:B325 B329:B330 B335:B336 B341:B342 B346:B347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6"/>
  <sheetViews>
    <sheetView workbookViewId="0">
      <selection activeCell="B2" sqref="B2"/>
    </sheetView>
  </sheetViews>
  <sheetFormatPr defaultColWidth="9.140625" defaultRowHeight="15"/>
  <cols>
    <col min="1" max="1" width="51.140625" bestFit="1" customWidth="1"/>
    <col min="2" max="2" width="11" bestFit="1" customWidth="1"/>
    <col min="4" max="4" width="22.7109375" bestFit="1" customWidth="1"/>
    <col min="5" max="5" width="12.85546875" bestFit="1" customWidth="1"/>
  </cols>
  <sheetData>
    <row r="1" spans="1:8">
      <c r="A1" s="163" t="s">
        <v>10</v>
      </c>
      <c r="B1" s="164" t="s">
        <v>154</v>
      </c>
      <c r="C1" s="164" t="s">
        <v>155</v>
      </c>
      <c r="D1" s="164" t="s">
        <v>455</v>
      </c>
      <c r="E1" s="164" t="s">
        <v>159</v>
      </c>
    </row>
    <row r="2" spans="1:8">
      <c r="A2" s="161" t="s">
        <v>456</v>
      </c>
      <c r="B2" s="162">
        <v>178041</v>
      </c>
      <c r="C2" s="161">
        <v>312</v>
      </c>
      <c r="D2" s="162">
        <v>301764</v>
      </c>
      <c r="E2" s="162">
        <v>340</v>
      </c>
      <c r="H2" t="s">
        <v>52</v>
      </c>
    </row>
    <row r="3" spans="1:8">
      <c r="A3" s="161" t="s">
        <v>457</v>
      </c>
      <c r="B3" s="162">
        <v>295669</v>
      </c>
      <c r="C3" s="161">
        <v>300</v>
      </c>
      <c r="D3" s="162">
        <v>484703</v>
      </c>
      <c r="E3" s="162">
        <v>415</v>
      </c>
      <c r="H3" t="s">
        <v>37</v>
      </c>
    </row>
    <row r="4" spans="1:8">
      <c r="A4" s="161" t="s">
        <v>458</v>
      </c>
      <c r="B4" s="162">
        <v>162486</v>
      </c>
      <c r="C4" s="161">
        <v>312</v>
      </c>
      <c r="D4" s="162">
        <v>270810</v>
      </c>
      <c r="E4" s="162">
        <v>315</v>
      </c>
    </row>
    <row r="5" spans="1:8">
      <c r="A5" s="161" t="s">
        <v>459</v>
      </c>
      <c r="B5" s="162">
        <v>183184</v>
      </c>
      <c r="C5" s="161">
        <v>312</v>
      </c>
      <c r="D5" s="162">
        <v>345630</v>
      </c>
      <c r="E5" s="162">
        <v>340</v>
      </c>
      <c r="H5" s="200" t="s">
        <v>460</v>
      </c>
    </row>
    <row r="6" spans="1:8">
      <c r="A6" s="161" t="s">
        <v>461</v>
      </c>
      <c r="B6" s="162">
        <v>145000</v>
      </c>
      <c r="C6" s="161">
        <v>312</v>
      </c>
      <c r="D6" s="162">
        <v>181000</v>
      </c>
      <c r="E6" s="162">
        <v>290</v>
      </c>
    </row>
    <row r="7" spans="1:8">
      <c r="A7" s="161" t="s">
        <v>462</v>
      </c>
      <c r="B7" s="162">
        <v>119000</v>
      </c>
      <c r="C7" s="161">
        <v>312</v>
      </c>
      <c r="D7" s="162">
        <v>149000</v>
      </c>
      <c r="E7" s="162">
        <v>340</v>
      </c>
    </row>
    <row r="8" spans="1:8">
      <c r="A8" s="161" t="s">
        <v>463</v>
      </c>
      <c r="B8" s="162">
        <v>112000</v>
      </c>
      <c r="C8" s="161">
        <v>312</v>
      </c>
      <c r="D8" s="162">
        <v>140000</v>
      </c>
      <c r="E8" s="162">
        <v>290</v>
      </c>
    </row>
    <row r="9" spans="1:8">
      <c r="A9" s="161" t="s">
        <v>464</v>
      </c>
      <c r="B9" s="162">
        <v>123000</v>
      </c>
      <c r="C9" s="161">
        <v>312</v>
      </c>
      <c r="D9" s="162">
        <v>154000</v>
      </c>
      <c r="E9" s="162">
        <v>340</v>
      </c>
    </row>
    <row r="10" spans="1:8">
      <c r="A10" s="161" t="s">
        <v>465</v>
      </c>
      <c r="B10" s="162">
        <v>143698</v>
      </c>
      <c r="C10" s="161">
        <v>360</v>
      </c>
      <c r="D10" s="162">
        <v>199581</v>
      </c>
      <c r="E10" s="162">
        <v>265</v>
      </c>
    </row>
    <row r="11" spans="1:8">
      <c r="A11" s="161" t="s">
        <v>466</v>
      </c>
      <c r="B11" s="162">
        <v>332849</v>
      </c>
      <c r="C11" s="161">
        <v>360</v>
      </c>
      <c r="D11" s="162">
        <v>426729</v>
      </c>
      <c r="E11" s="162">
        <v>415</v>
      </c>
    </row>
    <row r="12" spans="1:8">
      <c r="A12" s="161" t="s">
        <v>467</v>
      </c>
      <c r="B12" s="162">
        <v>175722</v>
      </c>
      <c r="C12" s="161">
        <v>336</v>
      </c>
      <c r="D12" s="162">
        <v>234296</v>
      </c>
      <c r="E12" s="162">
        <v>290</v>
      </c>
    </row>
    <row r="13" spans="1:8">
      <c r="A13" s="161" t="s">
        <v>468</v>
      </c>
      <c r="B13" s="162">
        <v>204164</v>
      </c>
      <c r="C13" s="161">
        <v>312</v>
      </c>
      <c r="D13" s="162">
        <v>314098</v>
      </c>
      <c r="E13" s="162">
        <v>340</v>
      </c>
    </row>
    <row r="14" spans="1:8">
      <c r="A14" s="161" t="s">
        <v>469</v>
      </c>
      <c r="B14" s="162">
        <v>154307</v>
      </c>
      <c r="C14" s="161">
        <v>396</v>
      </c>
      <c r="D14" s="162">
        <v>165922</v>
      </c>
      <c r="E14" s="162">
        <v>265</v>
      </c>
    </row>
    <row r="15" spans="1:8">
      <c r="A15" s="161" t="s">
        <v>470</v>
      </c>
      <c r="B15" s="162">
        <v>280518</v>
      </c>
      <c r="C15" s="161">
        <v>396</v>
      </c>
      <c r="D15" s="162">
        <v>301632</v>
      </c>
      <c r="E15" s="162">
        <v>340</v>
      </c>
    </row>
    <row r="16" spans="1:8">
      <c r="A16" s="161" t="s">
        <v>471</v>
      </c>
      <c r="B16" s="162">
        <v>125833</v>
      </c>
      <c r="C16" s="161">
        <v>396</v>
      </c>
      <c r="D16" s="162">
        <v>138278</v>
      </c>
      <c r="E16" s="162">
        <v>265</v>
      </c>
    </row>
    <row r="17" spans="1:5">
      <c r="A17" s="161" t="s">
        <v>472</v>
      </c>
      <c r="B17" s="162">
        <v>186057</v>
      </c>
      <c r="C17" s="161">
        <v>360</v>
      </c>
      <c r="D17" s="162">
        <v>211428</v>
      </c>
      <c r="E17" s="162">
        <v>290</v>
      </c>
    </row>
    <row r="18" spans="1:5">
      <c r="A18" s="161" t="s">
        <v>473</v>
      </c>
      <c r="B18" s="162">
        <v>227813</v>
      </c>
      <c r="C18" s="161">
        <v>192</v>
      </c>
      <c r="D18" s="162">
        <v>495246</v>
      </c>
      <c r="E18" s="162">
        <v>415</v>
      </c>
    </row>
    <row r="19" spans="1:5">
      <c r="A19" s="161" t="s">
        <v>474</v>
      </c>
      <c r="B19" s="162">
        <v>227813</v>
      </c>
      <c r="C19" s="161">
        <v>192</v>
      </c>
      <c r="D19" s="162">
        <v>495246</v>
      </c>
      <c r="E19" s="162">
        <v>415</v>
      </c>
    </row>
    <row r="20" spans="1:5">
      <c r="A20" t="s">
        <v>475</v>
      </c>
      <c r="B20" s="166">
        <v>121633</v>
      </c>
      <c r="C20">
        <v>264</v>
      </c>
      <c r="D20" s="166">
        <v>190052</v>
      </c>
      <c r="E20" s="166">
        <v>265</v>
      </c>
    </row>
    <row r="21" spans="1:5">
      <c r="A21" t="s">
        <v>476</v>
      </c>
      <c r="B21" s="166">
        <v>121633</v>
      </c>
      <c r="C21">
        <v>264</v>
      </c>
      <c r="D21" s="166">
        <v>190052</v>
      </c>
      <c r="E21" s="166">
        <v>265</v>
      </c>
    </row>
    <row r="22" spans="1:5">
      <c r="A22" t="s">
        <v>477</v>
      </c>
      <c r="B22" s="166">
        <v>242204</v>
      </c>
      <c r="C22">
        <v>336</v>
      </c>
      <c r="D22" s="166">
        <v>410515</v>
      </c>
      <c r="E22" s="166">
        <v>415</v>
      </c>
    </row>
    <row r="23" spans="1:5">
      <c r="A23" t="s">
        <v>478</v>
      </c>
      <c r="B23" s="166">
        <v>242204</v>
      </c>
      <c r="C23">
        <v>336</v>
      </c>
      <c r="D23" s="166">
        <v>410515</v>
      </c>
      <c r="E23" s="166">
        <v>415</v>
      </c>
    </row>
    <row r="24" spans="1:5">
      <c r="A24" t="s">
        <v>479</v>
      </c>
      <c r="B24" s="162">
        <v>219201</v>
      </c>
      <c r="C24" s="161">
        <v>312</v>
      </c>
      <c r="D24" s="162">
        <v>347938</v>
      </c>
      <c r="E24" s="162">
        <v>340</v>
      </c>
    </row>
    <row r="25" spans="1:5">
      <c r="A25" t="s">
        <v>480</v>
      </c>
      <c r="B25" s="162">
        <v>219201</v>
      </c>
      <c r="C25" s="161">
        <v>312</v>
      </c>
      <c r="D25" s="162">
        <v>347938</v>
      </c>
      <c r="E25" s="162">
        <v>340</v>
      </c>
    </row>
    <row r="26" spans="1:5">
      <c r="A26" t="s">
        <v>481</v>
      </c>
      <c r="B26" s="162">
        <v>185212</v>
      </c>
      <c r="C26" s="161">
        <v>312</v>
      </c>
      <c r="D26" s="162">
        <v>264589</v>
      </c>
      <c r="E26" s="162">
        <v>315</v>
      </c>
    </row>
    <row r="27" spans="1:5">
      <c r="A27" t="s">
        <v>482</v>
      </c>
      <c r="B27" s="162">
        <v>185212</v>
      </c>
      <c r="C27" s="161">
        <v>312</v>
      </c>
      <c r="D27" s="162">
        <v>264589</v>
      </c>
      <c r="E27" s="162">
        <v>315</v>
      </c>
    </row>
    <row r="28" spans="1:5">
      <c r="A28" t="s">
        <v>483</v>
      </c>
      <c r="B28" s="166">
        <v>761792</v>
      </c>
      <c r="C28">
        <v>312</v>
      </c>
      <c r="D28" s="166">
        <v>1058044</v>
      </c>
      <c r="E28" s="166">
        <v>815</v>
      </c>
    </row>
    <row r="29" spans="1:5">
      <c r="A29" t="s">
        <v>484</v>
      </c>
      <c r="B29" s="162">
        <v>92828</v>
      </c>
      <c r="C29" s="161">
        <v>384</v>
      </c>
      <c r="D29" s="162">
        <v>182016</v>
      </c>
      <c r="E29" s="162">
        <v>265</v>
      </c>
    </row>
    <row r="30" spans="1:5">
      <c r="A30" t="s">
        <v>485</v>
      </c>
      <c r="B30" s="162">
        <v>92828</v>
      </c>
      <c r="C30" s="161">
        <v>384</v>
      </c>
      <c r="D30" s="162">
        <v>182016</v>
      </c>
      <c r="E30" s="162">
        <v>265</v>
      </c>
    </row>
    <row r="31" spans="1:5">
      <c r="A31" t="s">
        <v>486</v>
      </c>
      <c r="B31" s="166">
        <v>150000</v>
      </c>
      <c r="C31">
        <v>226</v>
      </c>
      <c r="D31" s="166">
        <v>240000</v>
      </c>
      <c r="E31" s="166"/>
    </row>
    <row r="32" spans="1:5">
      <c r="A32" t="s">
        <v>487</v>
      </c>
      <c r="B32" s="166">
        <v>200000</v>
      </c>
      <c r="C32">
        <v>226</v>
      </c>
      <c r="D32" s="166">
        <v>420000</v>
      </c>
      <c r="E32" s="166"/>
    </row>
    <row r="33" spans="1:5">
      <c r="A33" t="s">
        <v>55</v>
      </c>
      <c r="B33" s="199">
        <v>262338</v>
      </c>
      <c r="C33">
        <v>444</v>
      </c>
      <c r="D33" s="199">
        <v>282084</v>
      </c>
      <c r="E33">
        <v>315</v>
      </c>
    </row>
    <row r="34" spans="1:5">
      <c r="A34" t="s">
        <v>488</v>
      </c>
      <c r="B34" s="199">
        <v>150000</v>
      </c>
      <c r="C34">
        <v>420</v>
      </c>
      <c r="D34" s="199">
        <v>187500</v>
      </c>
      <c r="E34">
        <v>265</v>
      </c>
    </row>
    <row r="35" spans="1:5">
      <c r="A35" t="s">
        <v>489</v>
      </c>
      <c r="B35" s="166">
        <v>160000</v>
      </c>
      <c r="C35">
        <v>226</v>
      </c>
      <c r="D35" s="166">
        <v>240000</v>
      </c>
    </row>
    <row r="36" spans="1:5">
      <c r="A36" t="s">
        <v>490</v>
      </c>
      <c r="B36" s="166">
        <v>190000</v>
      </c>
      <c r="C36">
        <v>226</v>
      </c>
      <c r="D36" s="166">
        <v>420000</v>
      </c>
    </row>
  </sheetData>
  <pageMargins left="0.7" right="0.7" top="0.75" bottom="0.75" header="0.3" footer="0.3"/>
  <pageSetup paperSize="9" orientation="portrait" r:id="rId1"/>
  <headerFooter>
    <oddFooter>&amp;C_x000D_&amp;1#&amp;"Calibri"&amp;10&amp;K000000 Document classification: L3 - Normal.</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1:R35"/>
  <sheetViews>
    <sheetView topLeftCell="B1" workbookViewId="0">
      <selection activeCell="Q1" sqref="Q1:Q11"/>
    </sheetView>
  </sheetViews>
  <sheetFormatPr defaultRowHeight="15"/>
  <cols>
    <col min="1" max="1" width="51.140625" bestFit="1" customWidth="1"/>
    <col min="2" max="2" width="51.140625" customWidth="1"/>
    <col min="3" max="3" width="15.5703125" bestFit="1" customWidth="1"/>
    <col min="4" max="4" width="12" bestFit="1" customWidth="1"/>
    <col min="5" max="5" width="10.28515625" bestFit="1" customWidth="1"/>
    <col min="6" max="6" width="4" bestFit="1" customWidth="1"/>
    <col min="9" max="9" width="29" bestFit="1" customWidth="1"/>
    <col min="10" max="10" width="16.85546875" bestFit="1" customWidth="1"/>
    <col min="11" max="11" width="10.85546875" bestFit="1" customWidth="1"/>
    <col min="15" max="15" width="10.7109375" bestFit="1" customWidth="1"/>
    <col min="17" max="17" width="76.42578125" bestFit="1" customWidth="1"/>
    <col min="18" max="18" width="6.28515625" bestFit="1" customWidth="1"/>
  </cols>
  <sheetData>
    <row r="1" spans="1:18">
      <c r="A1" s="30" t="s">
        <v>128</v>
      </c>
      <c r="B1" s="17"/>
      <c r="C1" t="s">
        <v>491</v>
      </c>
      <c r="D1" t="s">
        <v>5</v>
      </c>
      <c r="E1" t="s">
        <v>10</v>
      </c>
      <c r="F1" t="s">
        <v>52</v>
      </c>
      <c r="G1" t="s">
        <v>492</v>
      </c>
      <c r="H1" t="s">
        <v>493</v>
      </c>
      <c r="I1" t="s">
        <v>10</v>
      </c>
      <c r="J1" s="17" t="s">
        <v>494</v>
      </c>
      <c r="K1" s="17" t="s">
        <v>495</v>
      </c>
      <c r="L1" s="17"/>
      <c r="M1" s="17" t="s">
        <v>150</v>
      </c>
      <c r="N1" s="17" t="s">
        <v>496</v>
      </c>
      <c r="O1" s="17" t="s">
        <v>497</v>
      </c>
      <c r="Q1" s="17" t="s">
        <v>19</v>
      </c>
      <c r="R1" s="17" t="s">
        <v>497</v>
      </c>
    </row>
    <row r="2" spans="1:18">
      <c r="A2" s="31" t="s">
        <v>34</v>
      </c>
      <c r="B2" t="s">
        <v>34</v>
      </c>
      <c r="C2" t="s">
        <v>498</v>
      </c>
      <c r="D2" t="s">
        <v>499</v>
      </c>
      <c r="E2" t="s">
        <v>500</v>
      </c>
      <c r="F2" s="8" t="s">
        <v>37</v>
      </c>
      <c r="G2" t="s">
        <v>501</v>
      </c>
      <c r="H2" s="8" t="s">
        <v>502</v>
      </c>
      <c r="I2" t="s">
        <v>34</v>
      </c>
      <c r="J2" s="138">
        <v>0.6</v>
      </c>
      <c r="K2" s="12">
        <v>1500000</v>
      </c>
      <c r="M2" s="13" t="s">
        <v>152</v>
      </c>
      <c r="N2" s="14">
        <v>30000</v>
      </c>
      <c r="O2" t="s">
        <v>503</v>
      </c>
      <c r="Q2" t="s">
        <v>36</v>
      </c>
      <c r="R2" t="s">
        <v>504</v>
      </c>
    </row>
    <row r="3" spans="1:18">
      <c r="A3" s="31" t="s">
        <v>505</v>
      </c>
      <c r="B3" t="s">
        <v>34</v>
      </c>
      <c r="C3" t="s">
        <v>506</v>
      </c>
      <c r="D3" t="s">
        <v>507</v>
      </c>
      <c r="E3" s="8" t="s">
        <v>508</v>
      </c>
      <c r="I3" t="s">
        <v>59</v>
      </c>
      <c r="J3" s="138">
        <v>0.65</v>
      </c>
      <c r="K3" s="12">
        <v>1500000</v>
      </c>
      <c r="M3" s="13" t="s">
        <v>509</v>
      </c>
      <c r="N3" s="14">
        <v>50000</v>
      </c>
      <c r="O3" s="42">
        <v>0.01</v>
      </c>
      <c r="Q3" t="s">
        <v>510</v>
      </c>
      <c r="R3" t="s">
        <v>511</v>
      </c>
    </row>
    <row r="4" spans="1:18">
      <c r="A4" s="31" t="s">
        <v>512</v>
      </c>
      <c r="B4" t="s">
        <v>34</v>
      </c>
      <c r="C4" s="8" t="s">
        <v>513</v>
      </c>
      <c r="D4" s="8" t="s">
        <v>514</v>
      </c>
      <c r="I4" t="s">
        <v>515</v>
      </c>
      <c r="J4" s="138">
        <v>0.7</v>
      </c>
      <c r="K4" s="12">
        <v>1500000</v>
      </c>
      <c r="M4" s="13" t="s">
        <v>516</v>
      </c>
      <c r="N4" s="14">
        <v>50000</v>
      </c>
      <c r="O4" s="38" t="s">
        <v>35</v>
      </c>
      <c r="Q4" t="s">
        <v>517</v>
      </c>
      <c r="R4" t="s">
        <v>149</v>
      </c>
    </row>
    <row r="5" spans="1:18">
      <c r="A5" s="31" t="s">
        <v>518</v>
      </c>
      <c r="B5" t="s">
        <v>34</v>
      </c>
      <c r="I5" t="s">
        <v>519</v>
      </c>
      <c r="J5" s="138">
        <v>0.75</v>
      </c>
      <c r="K5" s="12">
        <v>1500000</v>
      </c>
      <c r="M5" s="13" t="s">
        <v>520</v>
      </c>
      <c r="N5" s="14">
        <v>25000</v>
      </c>
      <c r="O5" t="s">
        <v>521</v>
      </c>
      <c r="Q5" t="s">
        <v>39</v>
      </c>
      <c r="R5" t="s">
        <v>522</v>
      </c>
    </row>
    <row r="6" spans="1:18">
      <c r="A6" s="31" t="s">
        <v>523</v>
      </c>
      <c r="B6" t="s">
        <v>524</v>
      </c>
      <c r="I6" t="s">
        <v>229</v>
      </c>
      <c r="J6" s="138">
        <v>0.8</v>
      </c>
      <c r="K6" s="12">
        <v>1500000</v>
      </c>
      <c r="M6" s="13" t="s">
        <v>525</v>
      </c>
      <c r="N6" s="14">
        <v>50000</v>
      </c>
      <c r="O6" t="s">
        <v>42</v>
      </c>
      <c r="Q6" t="s">
        <v>526</v>
      </c>
    </row>
    <row r="7" spans="1:18">
      <c r="A7" s="31" t="s">
        <v>527</v>
      </c>
      <c r="B7" t="s">
        <v>34</v>
      </c>
      <c r="I7" t="s">
        <v>528</v>
      </c>
      <c r="J7" s="138">
        <v>0.85</v>
      </c>
      <c r="K7" s="12">
        <v>750000</v>
      </c>
      <c r="M7" s="13" t="s">
        <v>529</v>
      </c>
      <c r="N7" s="14">
        <v>1000</v>
      </c>
      <c r="O7" t="s">
        <v>60</v>
      </c>
      <c r="Q7" t="s">
        <v>49</v>
      </c>
    </row>
    <row r="8" spans="1:18">
      <c r="A8" s="31" t="s">
        <v>59</v>
      </c>
      <c r="B8" t="s">
        <v>483</v>
      </c>
      <c r="J8" s="138">
        <v>0.9</v>
      </c>
      <c r="K8" s="12">
        <v>750000</v>
      </c>
      <c r="Q8" t="s">
        <v>530</v>
      </c>
    </row>
    <row r="9" spans="1:18">
      <c r="A9" s="31" t="s">
        <v>515</v>
      </c>
      <c r="B9" t="s">
        <v>516</v>
      </c>
      <c r="C9" t="s">
        <v>531</v>
      </c>
      <c r="J9" s="138">
        <v>0.95</v>
      </c>
      <c r="K9" s="12">
        <v>500000</v>
      </c>
      <c r="Q9" t="s">
        <v>532</v>
      </c>
    </row>
    <row r="10" spans="1:18">
      <c r="A10" s="31" t="s">
        <v>519</v>
      </c>
      <c r="B10" t="s">
        <v>519</v>
      </c>
      <c r="C10" t="s">
        <v>33</v>
      </c>
      <c r="J10" s="13" t="s">
        <v>533</v>
      </c>
      <c r="K10" s="14">
        <v>500000</v>
      </c>
      <c r="Q10" t="s">
        <v>534</v>
      </c>
    </row>
    <row r="11" spans="1:18">
      <c r="A11" s="31" t="s">
        <v>229</v>
      </c>
      <c r="B11" t="s">
        <v>229</v>
      </c>
      <c r="C11" t="s">
        <v>535</v>
      </c>
      <c r="J11" s="13" t="s">
        <v>536</v>
      </c>
      <c r="K11" s="14">
        <v>750000</v>
      </c>
      <c r="Q11" t="s">
        <v>149</v>
      </c>
    </row>
    <row r="12" spans="1:18">
      <c r="A12" s="31" t="s">
        <v>537</v>
      </c>
      <c r="B12" t="s">
        <v>520</v>
      </c>
      <c r="C12" t="s">
        <v>58</v>
      </c>
      <c r="J12" s="13" t="s">
        <v>538</v>
      </c>
      <c r="K12" s="12">
        <v>1000000</v>
      </c>
    </row>
    <row r="13" spans="1:18">
      <c r="A13" s="31" t="s">
        <v>51</v>
      </c>
      <c r="B13" t="s">
        <v>529</v>
      </c>
      <c r="C13" t="s">
        <v>539</v>
      </c>
      <c r="J13" s="13" t="s">
        <v>540</v>
      </c>
      <c r="K13" s="14">
        <v>450000</v>
      </c>
    </row>
    <row r="14" spans="1:18">
      <c r="A14" s="31" t="s">
        <v>541</v>
      </c>
      <c r="B14" t="s">
        <v>529</v>
      </c>
      <c r="C14" t="s">
        <v>41</v>
      </c>
      <c r="J14" s="13" t="s">
        <v>542</v>
      </c>
      <c r="K14" s="14">
        <v>600000</v>
      </c>
    </row>
    <row r="15" spans="1:18">
      <c r="A15" s="31" t="s">
        <v>70</v>
      </c>
      <c r="B15" t="s">
        <v>529</v>
      </c>
      <c r="C15" t="s">
        <v>543</v>
      </c>
      <c r="J15" s="13" t="s">
        <v>544</v>
      </c>
      <c r="K15" s="14">
        <v>2000000</v>
      </c>
    </row>
    <row r="16" spans="1:18">
      <c r="A16" s="31" t="s">
        <v>545</v>
      </c>
      <c r="B16" t="s">
        <v>529</v>
      </c>
      <c r="C16" t="s">
        <v>546</v>
      </c>
      <c r="J16" s="13" t="s">
        <v>547</v>
      </c>
      <c r="K16" s="14">
        <v>1500000</v>
      </c>
    </row>
    <row r="17" spans="1:11">
      <c r="A17" s="31" t="s">
        <v>548</v>
      </c>
      <c r="B17" t="s">
        <v>529</v>
      </c>
      <c r="C17" t="s">
        <v>549</v>
      </c>
      <c r="J17" s="13" t="s">
        <v>550</v>
      </c>
      <c r="K17" s="14">
        <v>1000000</v>
      </c>
    </row>
    <row r="18" spans="1:11">
      <c r="A18" s="31" t="s">
        <v>551</v>
      </c>
      <c r="B18" t="s">
        <v>529</v>
      </c>
      <c r="C18" t="s">
        <v>552</v>
      </c>
      <c r="J18" s="13" t="s">
        <v>55</v>
      </c>
      <c r="K18" s="14">
        <v>570000</v>
      </c>
    </row>
    <row r="19" spans="1:11">
      <c r="A19" s="41" t="s">
        <v>553</v>
      </c>
      <c r="B19" t="s">
        <v>232</v>
      </c>
      <c r="C19" t="s">
        <v>554</v>
      </c>
      <c r="J19" t="s">
        <v>555</v>
      </c>
      <c r="K19" s="12">
        <v>237500</v>
      </c>
    </row>
    <row r="20" spans="1:11">
      <c r="A20" t="s">
        <v>556</v>
      </c>
      <c r="B20" t="s">
        <v>232</v>
      </c>
      <c r="C20" t="s">
        <v>557</v>
      </c>
    </row>
    <row r="21" spans="1:11">
      <c r="A21" t="s">
        <v>558</v>
      </c>
      <c r="B21" t="s">
        <v>232</v>
      </c>
      <c r="C21" t="s">
        <v>559</v>
      </c>
    </row>
    <row r="22" spans="1:11">
      <c r="A22" t="s">
        <v>560</v>
      </c>
      <c r="B22" t="s">
        <v>232</v>
      </c>
      <c r="C22" t="s">
        <v>561</v>
      </c>
    </row>
    <row r="23" spans="1:11">
      <c r="A23" t="s">
        <v>562</v>
      </c>
      <c r="B23" t="s">
        <v>232</v>
      </c>
    </row>
    <row r="24" spans="1:11">
      <c r="A24" t="s">
        <v>563</v>
      </c>
      <c r="B24" t="s">
        <v>232</v>
      </c>
    </row>
    <row r="25" spans="1:11">
      <c r="A25" t="s">
        <v>564</v>
      </c>
      <c r="B25" t="s">
        <v>232</v>
      </c>
    </row>
    <row r="26" spans="1:11">
      <c r="A26" t="s">
        <v>565</v>
      </c>
      <c r="B26" t="s">
        <v>232</v>
      </c>
    </row>
    <row r="27" spans="1:11">
      <c r="A27" t="s">
        <v>55</v>
      </c>
      <c r="B27" t="s">
        <v>55</v>
      </c>
    </row>
    <row r="28" spans="1:11">
      <c r="A28" t="s">
        <v>555</v>
      </c>
      <c r="B28" t="s">
        <v>488</v>
      </c>
    </row>
    <row r="29" spans="1:11">
      <c r="A29" t="s">
        <v>230</v>
      </c>
      <c r="B29" t="s">
        <v>34</v>
      </c>
    </row>
    <row r="33" spans="1:2">
      <c r="A33" s="31" t="s">
        <v>566</v>
      </c>
      <c r="B33" t="s">
        <v>519</v>
      </c>
    </row>
    <row r="34" spans="1:2">
      <c r="A34" s="31" t="s">
        <v>567</v>
      </c>
      <c r="B34" t="s">
        <v>483</v>
      </c>
    </row>
    <row r="35" spans="1:2">
      <c r="A35" s="31" t="s">
        <v>568</v>
      </c>
      <c r="B35" t="s">
        <v>34</v>
      </c>
    </row>
  </sheetData>
  <pageMargins left="0.7" right="0.7" top="0.75" bottom="0.75" header="0.3" footer="0.3"/>
  <pageSetup paperSize="9" orientation="portrait" r:id="rId1"/>
  <headerFooter>
    <oddFooter>&amp;C_x000D_&amp;1#&amp;"Calibri"&amp;10&amp;K000000 Document classification: L3 - Normal.</oddFoot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4"/>
  <sheetViews>
    <sheetView workbookViewId="0">
      <selection activeCell="L52" sqref="L52"/>
    </sheetView>
  </sheetViews>
  <sheetFormatPr defaultColWidth="9.140625" defaultRowHeight="12.75"/>
  <cols>
    <col min="1" max="1" width="29" style="102" customWidth="1"/>
    <col min="2" max="2" width="47.42578125" style="102" bestFit="1" customWidth="1"/>
    <col min="3" max="3" width="16" style="103" bestFit="1" customWidth="1"/>
    <col min="4" max="4" width="17" style="102" bestFit="1" customWidth="1"/>
    <col min="5" max="5" width="49.28515625" style="102" bestFit="1" customWidth="1"/>
    <col min="6" max="6" width="26.5703125" style="102" customWidth="1"/>
    <col min="7" max="7" width="23.5703125" style="102" customWidth="1"/>
    <col min="8" max="8" width="16.5703125" style="102" customWidth="1"/>
    <col min="9" max="9" width="17.85546875" style="102" customWidth="1"/>
    <col min="10" max="10" width="29.28515625" style="102" bestFit="1" customWidth="1"/>
    <col min="11" max="11" width="35.28515625" style="102" bestFit="1" customWidth="1"/>
    <col min="12" max="12" width="61.85546875" style="102" bestFit="1" customWidth="1"/>
    <col min="13" max="16384" width="9.140625" style="101"/>
  </cols>
  <sheetData>
    <row r="1" spans="1:12" s="100" customFormat="1" ht="25.5">
      <c r="A1" s="104" t="s">
        <v>569</v>
      </c>
      <c r="B1" s="104" t="s">
        <v>356</v>
      </c>
      <c r="C1" s="105" t="s">
        <v>357</v>
      </c>
      <c r="D1" s="104" t="s">
        <v>358</v>
      </c>
      <c r="E1" s="104" t="s">
        <v>359</v>
      </c>
      <c r="F1" s="104" t="s">
        <v>377</v>
      </c>
      <c r="G1" s="104" t="s">
        <v>378</v>
      </c>
      <c r="H1" s="104" t="s">
        <v>362</v>
      </c>
      <c r="I1" s="104" t="s">
        <v>363</v>
      </c>
      <c r="J1" s="104" t="s">
        <v>364</v>
      </c>
      <c r="K1" s="104" t="s">
        <v>365</v>
      </c>
      <c r="L1" s="104" t="s">
        <v>19</v>
      </c>
    </row>
    <row r="2" spans="1:12">
      <c r="A2" s="107" t="str">
        <f>CONCATENATE("Product Code", " ",
 'SF Product Sheet'!C2)</f>
        <v>Product Code EDIS163</v>
      </c>
      <c r="B2" s="106" t="str">
        <f>'SF Product Sheet'!A2</f>
        <v>2 Year Discounted Rate - Repayment</v>
      </c>
      <c r="C2" s="108" t="str">
        <f>CONCATENATE('SF Product Sheet'!E2, "%")</f>
        <v>1.30%</v>
      </c>
      <c r="D2" s="109">
        <f>'SF Product Sheet'!F2</f>
        <v>45504</v>
      </c>
      <c r="E2" s="110" t="str">
        <f>IF('SF Product Sheet'!AA2="","",IF('SF Product Sheet'!AA2=1,"1% of amount repaid",IF('SF Product Sheet'!AA2=2,"2%, 1% of amount repaid",IF('SF Product Sheet'!AA2=3,"3%, 2%, 1% of amount repaid",IF('SF Product Sheet'!AA2=5,"5%, 4%, 3%, 2%, 1% of amount repaid")))))</f>
        <v>1% of amount repaid</v>
      </c>
      <c r="F2" s="111">
        <f>'SF Product Sheet'!AS2</f>
        <v>3.5</v>
      </c>
      <c r="G2" s="112">
        <f>'SF Product Sheet'!AR2</f>
        <v>80</v>
      </c>
      <c r="H2" s="113">
        <f>'SF Product Sheet'!AX2</f>
        <v>0</v>
      </c>
      <c r="I2" s="114">
        <f>'SF Product Sheet'!BA2</f>
        <v>999</v>
      </c>
      <c r="J2" s="115">
        <f>'SF Product Sheet'!AP2</f>
        <v>30000</v>
      </c>
      <c r="K2" s="116">
        <f>'SF Product Sheet'!AQ2</f>
        <v>1500000</v>
      </c>
      <c r="L2" s="117" t="str">
        <f>IF(AND('SF Product Sheet'!X2="10%",'SF Product Sheet'!CB2="Yes"), "Increased Overpayments Permitted (10% per annum)
MIG Paid by NBS", IF(AND('SF Product Sheet'!X2="10%",'SF Product Sheet'!AM2=0, 'SF Product Sheet'!AO2="No"),"Increased Overpayments Permitted (10% per annum)",IF(AND('SF Product Sheet'!X2="10%",'SF Product Sheet'!AM2=500, 'SF Product Sheet'!AO2="No"),"£500 Cashback 
Increased Overpayments Permitted (10% per annum)",IF(AND('SF Product Sheet'!X2="10%",'SF Product Sheet'!AM2=1000, 'SF Product Sheet'!AO2="No"),"£1000 Cashback 
Increased Overpayments Permitted (10% per annum)", IF(AND('SF Product Sheet'!X2="10%",'SF Product Sheet'!AM2=500, 'SF Product Sheet'!AO2="Yes"),"£500 Cashback 
Free Standard Valuation up to £500,000
Increased Overpayments Permitted (10% per annum)", IF(AND('SF Product Sheet'!X2="10%",'SF Product Sheet'!AM2=1000, 'SF Product Sheet'!AO2="Yes"),"£1000 Cashback 
Free Standard Valuation up to £500,000
Increased Overpayments Permitted (10% per annum)", IF(AND('SF Product Sheet'!X2="10%",'SF Product Sheet'!AM2=0, 'SF Product Sheet'!AO2="Yes"),"Free Standard Valuation up to £500,000
Increased Overpayments Permitted (10% per annum)", IF(AND('SF Product Sheet'!X2="",'SF Product Sheet'!AM2=0, 'SF Product Sheet'!AO2="No"),"N/A"))))))))</f>
        <v>Increased Overpayments Permitted (10% per annum)</v>
      </c>
    </row>
    <row r="3" spans="1:12">
      <c r="A3" s="107" t="str">
        <f>CONCATENATE("Product Code", " ",
 'SF Product Sheet'!C3)</f>
        <v>Product Code VARI910</v>
      </c>
      <c r="B3" s="106" t="str">
        <f>'SF Product Sheet'!A3</f>
        <v>Standard Variable Rate  - Repayment</v>
      </c>
      <c r="C3" s="108" t="str">
        <f>CONCATENATE('SF Product Sheet'!E3, "%")</f>
        <v>3.96%</v>
      </c>
      <c r="D3" s="109" t="str">
        <f>IF('SF Product Sheet'!F3="","",'SF Product Sheet'!F3)</f>
        <v/>
      </c>
      <c r="E3" s="110" t="str">
        <f>IF('SF Product Sheet'!AA3="","",IF('SF Product Sheet'!AA3=1,"1% of amount repaid",IF('SF Product Sheet'!AA3=2,"2%, 1% of amount repaid",IF('SF Product Sheet'!AA3=3,"3%, 2%, 1% of amount repaid",IF('SF Product Sheet'!AA3=5,"5%, 4%, 3%, 2%, 1% of amount repaid")))))</f>
        <v/>
      </c>
      <c r="F3" s="111">
        <f>'SF Product Sheet'!AS3</f>
        <v>4.0999999999999996</v>
      </c>
      <c r="G3" s="112">
        <f>'SF Product Sheet'!AR3</f>
        <v>80</v>
      </c>
      <c r="H3" s="113">
        <f>'SF Product Sheet'!AX3</f>
        <v>0</v>
      </c>
      <c r="I3" s="114">
        <f>'SF Product Sheet'!BA3</f>
        <v>999</v>
      </c>
      <c r="J3" s="115">
        <f>'SF Product Sheet'!AP3</f>
        <v>10000</v>
      </c>
      <c r="K3" s="116">
        <f>'SF Product Sheet'!AQ3</f>
        <v>1500000</v>
      </c>
      <c r="L3" s="117" t="str">
        <f>IF(AND('SF Product Sheet'!X3="10%",'SF Product Sheet'!CB3="Yes"), "Increased Overpayments Permitted (10% per annum)
MIG Paid by NBS", IF(AND('SF Product Sheet'!X3="10%",'SF Product Sheet'!AM3=0, 'SF Product Sheet'!AO3="No"),"Increased Overpayments Permitted (10% per annum)",IF(AND('SF Product Sheet'!X3="10%",'SF Product Sheet'!AM3=500, 'SF Product Sheet'!AO3="No"),"£500 Cashback 
Increased Overpayments Permitted (10% per annum)",IF(AND('SF Product Sheet'!X3="10%",'SF Product Sheet'!AM3=1000, 'SF Product Sheet'!AO3="No"),"£1000 Cashback 
Increased Overpayments Permitted (10% per annum)", IF(AND('SF Product Sheet'!X3="10%",'SF Product Sheet'!AM3=500, 'SF Product Sheet'!AO3="Yes"),"£500 Cashback 
Free Standard Valuation up to £500,000
Increased Overpayments Permitted (10% per annum)", IF(AND('SF Product Sheet'!X3="10%",'SF Product Sheet'!AM3=1000, 'SF Product Sheet'!AO3="Yes"),"£1000 Cashback 
Free Standard Valuation up to £500,000
Increased Overpayments Permitted (10% per annum)", IF(AND('SF Product Sheet'!X3="10%",'SF Product Sheet'!AM3=0, 'SF Product Sheet'!AO3="Yes"),"Free Standard Valuation up to £500,000
Increased Overpayments Permitted (10% per annum)", IF(AND('SF Product Sheet'!X3="",'SF Product Sheet'!AM3=0, 'SF Product Sheet'!AO3="No"),"N/A"))))))))</f>
        <v>N/A</v>
      </c>
    </row>
    <row r="4" spans="1:12">
      <c r="A4" s="107" t="str">
        <f>CONCATENATE("Product Code", " ",
 'SF Product Sheet'!C4)</f>
        <v>Product Code EDIS166</v>
      </c>
      <c r="B4" s="106" t="str">
        <f>'SF Product Sheet'!A4</f>
        <v>2 Year Discounted Rate - Repayment</v>
      </c>
      <c r="C4" s="108" t="str">
        <f>CONCATENATE('SF Product Sheet'!E4, "%")</f>
        <v>1.5%</v>
      </c>
      <c r="D4" s="109">
        <f>IF('SF Product Sheet'!F4="","",'SF Product Sheet'!F4)</f>
        <v>45504</v>
      </c>
      <c r="E4" s="110" t="str">
        <f>IF('SF Product Sheet'!AA4="","",IF('SF Product Sheet'!AA4=1,"1% of amount repaid",IF('SF Product Sheet'!AA4=2,"2%, 1% of amount repaid",IF('SF Product Sheet'!AA4=3,"3%, 2%, 1% of amount repaid",IF('SF Product Sheet'!AA4=5,"5%, 4%, 3%, 2%, 1% of amount repaid")))))</f>
        <v>1% of amount repaid</v>
      </c>
      <c r="F4" s="111">
        <f>'SF Product Sheet'!AS4</f>
        <v>3.7</v>
      </c>
      <c r="G4" s="112">
        <f>'SF Product Sheet'!AR4</f>
        <v>85</v>
      </c>
      <c r="H4" s="113">
        <f>'SF Product Sheet'!AX4</f>
        <v>0</v>
      </c>
      <c r="I4" s="114">
        <f>'SF Product Sheet'!BA4</f>
        <v>999</v>
      </c>
      <c r="J4" s="115">
        <f>'SF Product Sheet'!AP4</f>
        <v>30000</v>
      </c>
      <c r="K4" s="116">
        <f>'SF Product Sheet'!AQ4</f>
        <v>750000</v>
      </c>
      <c r="L4" s="117" t="str">
        <f>IF(AND('SF Product Sheet'!X4="10%",'SF Product Sheet'!CB4="Yes"), "Increased Overpayments Permitted (10% per annum)
MIG Paid by NBS", IF(AND('SF Product Sheet'!X4="10%",'SF Product Sheet'!AM4=0, 'SF Product Sheet'!AO4="No"),"Increased Overpayments Permitted (10% per annum)",IF(AND('SF Product Sheet'!X4="10%",'SF Product Sheet'!AM4=500, 'SF Product Sheet'!AO4="No"),"£500 Cashback 
Increased Overpayments Permitted (10% per annum)",IF(AND('SF Product Sheet'!X4="10%",'SF Product Sheet'!AM4=1000, 'SF Product Sheet'!AO4="No"),"£1000 Cashback 
Increased Overpayments Permitted (10% per annum)", IF(AND('SF Product Sheet'!X4="10%",'SF Product Sheet'!AM4=500, 'SF Product Sheet'!AO4="Yes"),"£500 Cashback 
Free Standard Valuation up to £500,000
Increased Overpayments Permitted (10% per annum)", IF(AND('SF Product Sheet'!X4="10%",'SF Product Sheet'!AM4=1000, 'SF Product Sheet'!AO4="Yes"),"£1000 Cashback 
Free Standard Valuation up to £500,000
Increased Overpayments Permitted (10% per annum)", IF(AND('SF Product Sheet'!X4="10%",'SF Product Sheet'!AM4=0, 'SF Product Sheet'!AO4="Yes"),"Free Standard Valuation up to £500,000
Increased Overpayments Permitted (10% per annum)", IF(AND('SF Product Sheet'!X4="",'SF Product Sheet'!AM4=0, 'SF Product Sheet'!AO4="No"),"N/A"))))))))</f>
        <v>Increased Overpayments Permitted (10% per annum)</v>
      </c>
    </row>
    <row r="5" spans="1:12">
      <c r="A5" s="107" t="e">
        <f>CONCATENATE("Product Code", " ",
 'SF Product Sheet'!#REF!)</f>
        <v>#REF!</v>
      </c>
      <c r="B5" s="106" t="e">
        <f>'SF Product Sheet'!#REF!</f>
        <v>#REF!</v>
      </c>
      <c r="C5" s="108" t="e">
        <f>CONCATENATE('SF Product Sheet'!#REF!, "%")</f>
        <v>#REF!</v>
      </c>
      <c r="D5" s="109" t="e">
        <f>IF('SF Product Sheet'!#REF!="","",'SF Product Sheet'!#REF!)</f>
        <v>#REF!</v>
      </c>
      <c r="E5" s="110" t="e">
        <f>IF('SF Product Sheet'!#REF!="","",IF('SF Product Sheet'!#REF!=1,"1% of amount repaid",IF('SF Product Sheet'!#REF!=2,"2%, 1% of amount repaid",IF('SF Product Sheet'!#REF!=3,"3%, 2%, 1% of amount repaid",IF('SF Product Sheet'!#REF!=5,"5%, 4%, 3%, 2%, 1% of amount repaid")))))</f>
        <v>#REF!</v>
      </c>
      <c r="F5" s="111" t="e">
        <f>'SF Product Sheet'!#REF!</f>
        <v>#REF!</v>
      </c>
      <c r="G5" s="112" t="e">
        <f>'SF Product Sheet'!#REF!</f>
        <v>#REF!</v>
      </c>
      <c r="H5" s="113" t="e">
        <f>'SF Product Sheet'!#REF!</f>
        <v>#REF!</v>
      </c>
      <c r="I5" s="114" t="e">
        <f>'SF Product Sheet'!#REF!</f>
        <v>#REF!</v>
      </c>
      <c r="J5" s="115" t="e">
        <f>'SF Product Sheet'!#REF!</f>
        <v>#REF!</v>
      </c>
      <c r="K5" s="116" t="e">
        <f>'SF Product Sheet'!#REF!</f>
        <v>#REF!</v>
      </c>
      <c r="L5"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6" spans="1:12" ht="63.75">
      <c r="A6" s="107" t="str">
        <f>CONCATENATE("Product Code", " ",
 'SF Product Sheet'!C5)</f>
        <v>Product Code EFII133</v>
      </c>
      <c r="B6" s="106" t="str">
        <f>'SF Product Sheet'!A5</f>
        <v>5 Year Fixed Rate  - Repayment</v>
      </c>
      <c r="C6" s="108" t="str">
        <f>CONCATENATE('SF Product Sheet'!E5, "%")</f>
        <v>2.75%</v>
      </c>
      <c r="D6" s="109">
        <f>IF('SF Product Sheet'!F5="","",'SF Product Sheet'!F5)</f>
        <v>46599</v>
      </c>
      <c r="E6" s="110" t="str">
        <f>IF('SF Product Sheet'!AA5="","",IF('SF Product Sheet'!AA5=1,"1% of amount repaid",IF('SF Product Sheet'!AA5=2,"2%, 1% of amount repaid",IF('SF Product Sheet'!AA5=3,"3%, 2%, 1% of amount repaid",IF('SF Product Sheet'!AA5=5,"5%, 4%, 3%, 2%, 1% of amount repaid")))))</f>
        <v>5%, 4%, 3%, 2%, 1% of amount repaid</v>
      </c>
      <c r="F6" s="111">
        <f>'SF Product Sheet'!AS5</f>
        <v>3.6</v>
      </c>
      <c r="G6" s="112">
        <f>'SF Product Sheet'!AR5</f>
        <v>85</v>
      </c>
      <c r="H6" s="113">
        <f>'SF Product Sheet'!AX5</f>
        <v>0</v>
      </c>
      <c r="I6" s="114">
        <f>'SF Product Sheet'!BA5</f>
        <v>0</v>
      </c>
      <c r="J6" s="115">
        <f>'SF Product Sheet'!AP5</f>
        <v>50000</v>
      </c>
      <c r="K6" s="116">
        <f>'SF Product Sheet'!AQ5</f>
        <v>750000</v>
      </c>
      <c r="L6" s="117" t="str">
        <f>IF(AND('SF Product Sheet'!X5="10%",'SF Product Sheet'!CB5="Yes"), "Increased Overpayments Permitted (10% per annum)
MIG Paid by NBS", IF(AND('SF Product Sheet'!X5="10%",'SF Product Sheet'!AM5=0, 'SF Product Sheet'!AO5="No"),"Increased Overpayments Permitted (10% per annum)",IF(AND('SF Product Sheet'!X5="10%",'SF Product Sheet'!AM5=500, 'SF Product Sheet'!AO5="No"),"£500 Cashback 
Increased Overpayments Permitted (10% per annum)",IF(AND('SF Product Sheet'!X5="10%",'SF Product Sheet'!AM5=1000, 'SF Product Sheet'!AO5="No"),"£1000 Cashback 
Increased Overpayments Permitted (10% per annum)", IF(AND('SF Product Sheet'!X5="10%",'SF Product Sheet'!AM5=500, 'SF Product Sheet'!AO5="Yes"),"£500 Cashback 
Free Standard Valuation up to £500,000
Increased Overpayments Permitted (10% per annum)", IF(AND('SF Product Sheet'!X5="10%",'SF Product Sheet'!AM5=1000, 'SF Product Sheet'!AO5="Yes"),"£1000 Cashback 
Free Standard Valuation up to £500,000
Increased Overpayments Permitted (10% per annum)", IF(AND('SF Product Sheet'!X5="10%",'SF Product Sheet'!AM5=0, 'SF Product Sheet'!AO5="Yes"),"Free Standard Valuation up to £500,000
Increased Overpayments Permitted (10% per annum)", IF(AND('SF Product Sheet'!X5="",'SF Product Sheet'!AM5=0, 'SF Product Sheet'!AO5="No"),"N/A"))))))))</f>
        <v>£500 Cashback 
Free Standard Valuation up to £500,000
Increased Overpayments Permitted (10% per annum)</v>
      </c>
    </row>
    <row r="7" spans="1:12">
      <c r="A7" s="107" t="str">
        <f>CONCATENATE("Product Code", " ",
 'SF Product Sheet'!C6)</f>
        <v>Product Code EDIS164</v>
      </c>
      <c r="B7" s="106" t="str">
        <f>'SF Product Sheet'!A6</f>
        <v>2 Year Discounted Rate - Repayment</v>
      </c>
      <c r="C7" s="108" t="str">
        <f>CONCATENATE('SF Product Sheet'!E6, "%")</f>
        <v>1.8%</v>
      </c>
      <c r="D7" s="109">
        <f>IF('SF Product Sheet'!F6="","",'SF Product Sheet'!F6)</f>
        <v>45504</v>
      </c>
      <c r="E7" s="110" t="str">
        <f>IF('SF Product Sheet'!AA6="","",IF('SF Product Sheet'!AA6=1,"1% of amount repaid",IF('SF Product Sheet'!AA6=2,"2%, 1% of amount repaid",IF('SF Product Sheet'!AA6=3,"3%, 2%, 1% of amount repaid",IF('SF Product Sheet'!AA6=5,"5%, 4%, 3%, 2%, 1% of amount repaid")))))</f>
        <v>1% of amount repaid</v>
      </c>
      <c r="F7" s="111">
        <f>'SF Product Sheet'!AS6</f>
        <v>3.7</v>
      </c>
      <c r="G7" s="112">
        <f>'SF Product Sheet'!AR6</f>
        <v>90</v>
      </c>
      <c r="H7" s="113">
        <f>'SF Product Sheet'!AX6</f>
        <v>0</v>
      </c>
      <c r="I7" s="114">
        <f>'SF Product Sheet'!BA6</f>
        <v>999</v>
      </c>
      <c r="J7" s="115">
        <f>'SF Product Sheet'!AP6</f>
        <v>30000</v>
      </c>
      <c r="K7" s="116">
        <f>'SF Product Sheet'!AQ6</f>
        <v>750000</v>
      </c>
      <c r="L7" s="117" t="str">
        <f>IF(AND('SF Product Sheet'!X6="10%",'SF Product Sheet'!CB6="Yes"), "Increased Overpayments Permitted (10% per annum)
MIG Paid by NBS", IF(AND('SF Product Sheet'!X6="10%",'SF Product Sheet'!AM6=0, 'SF Product Sheet'!AO6="No"),"Increased Overpayments Permitted (10% per annum)",IF(AND('SF Product Sheet'!X6="10%",'SF Product Sheet'!AM6=500, 'SF Product Sheet'!AO6="No"),"£500 Cashback 
Increased Overpayments Permitted (10% per annum)",IF(AND('SF Product Sheet'!X6="10%",'SF Product Sheet'!AM6=1000, 'SF Product Sheet'!AO6="No"),"£1000 Cashback 
Increased Overpayments Permitted (10% per annum)", IF(AND('SF Product Sheet'!X6="10%",'SF Product Sheet'!AM6=500, 'SF Product Sheet'!AO6="Yes"),"£500 Cashback 
Free Standard Valuation up to £500,000
Increased Overpayments Permitted (10% per annum)", IF(AND('SF Product Sheet'!X6="10%",'SF Product Sheet'!AM6=1000, 'SF Product Sheet'!AO6="Yes"),"£1000 Cashback 
Free Standard Valuation up to £500,000
Increased Overpayments Permitted (10% per annum)", IF(AND('SF Product Sheet'!X6="10%",'SF Product Sheet'!AM6=0, 'SF Product Sheet'!AO6="Yes"),"Free Standard Valuation up to £500,000
Increased Overpayments Permitted (10% per annum)", IF(AND('SF Product Sheet'!X6="",'SF Product Sheet'!AM6=0, 'SF Product Sheet'!AO6="No"),"N/A"))))))))</f>
        <v>Increased Overpayments Permitted (10% per annum)</v>
      </c>
    </row>
    <row r="8" spans="1:12">
      <c r="A8" s="107" t="str">
        <f>CONCATENATE("Product Code", " ",
 'SF Product Sheet'!C7)</f>
        <v>Product Code EFII126</v>
      </c>
      <c r="B8" s="106" t="str">
        <f>'SF Product Sheet'!A7</f>
        <v>2 Year Fixed Rate  - Repayment</v>
      </c>
      <c r="C8" s="108" t="str">
        <f>CONCATENATE('SF Product Sheet'!E7, "%")</f>
        <v>2.3%</v>
      </c>
      <c r="D8" s="109">
        <f>IF('SF Product Sheet'!F7="","",'SF Product Sheet'!F7)</f>
        <v>45504</v>
      </c>
      <c r="E8" s="110" t="str">
        <f>IF('SF Product Sheet'!AA7="","",IF('SF Product Sheet'!AA7=1,"1% of amount repaid",IF('SF Product Sheet'!AA7=2,"2%, 1% of amount repaid",IF('SF Product Sheet'!AA7=3,"3%, 2%, 1% of amount repaid",IF('SF Product Sheet'!AA7=5,"5%, 4%, 3%, 2%, 1% of amount repaid")))))</f>
        <v>2%, 1% of amount repaid</v>
      </c>
      <c r="F8" s="111">
        <f>'SF Product Sheet'!AS7</f>
        <v>3.8</v>
      </c>
      <c r="G8" s="112">
        <f>'SF Product Sheet'!AR7</f>
        <v>90</v>
      </c>
      <c r="H8" s="113">
        <f>'SF Product Sheet'!AX7</f>
        <v>0</v>
      </c>
      <c r="I8" s="114">
        <f>'SF Product Sheet'!BA7</f>
        <v>999</v>
      </c>
      <c r="J8" s="115">
        <f>'SF Product Sheet'!AP7</f>
        <v>30000</v>
      </c>
      <c r="K8" s="116">
        <f>'SF Product Sheet'!AQ7</f>
        <v>750000</v>
      </c>
      <c r="L8" s="117" t="str">
        <f>IF(AND('SF Product Sheet'!X7="10%",'SF Product Sheet'!CB7="Yes"), "Increased Overpayments Permitted (10% per annum)
MIG Paid by NBS", IF(AND('SF Product Sheet'!X7="10%",'SF Product Sheet'!AM7=0, 'SF Product Sheet'!AO7="No"),"Increased Overpayments Permitted (10% per annum)",IF(AND('SF Product Sheet'!X7="10%",'SF Product Sheet'!AM7=500, 'SF Product Sheet'!AO7="No"),"£500 Cashback 
Increased Overpayments Permitted (10% per annum)",IF(AND('SF Product Sheet'!X7="10%",'SF Product Sheet'!AM7=1000, 'SF Product Sheet'!AO7="No"),"£1000 Cashback 
Increased Overpayments Permitted (10% per annum)", IF(AND('SF Product Sheet'!X7="10%",'SF Product Sheet'!AM7=500, 'SF Product Sheet'!AO7="Yes"),"£500 Cashback 
Free Standard Valuation up to £500,000
Increased Overpayments Permitted (10% per annum)", IF(AND('SF Product Sheet'!X7="10%",'SF Product Sheet'!AM7=1000, 'SF Product Sheet'!AO7="Yes"),"£1000 Cashback 
Free Standard Valuation up to £500,000
Increased Overpayments Permitted (10% per annum)", IF(AND('SF Product Sheet'!X7="10%",'SF Product Sheet'!AM7=0, 'SF Product Sheet'!AO7="Yes"),"Free Standard Valuation up to £500,000
Increased Overpayments Permitted (10% per annum)", IF(AND('SF Product Sheet'!X7="",'SF Product Sheet'!AM7=0, 'SF Product Sheet'!AO7="No"),"N/A"))))))))</f>
        <v>Increased Overpayments Permitted (10% per annum)</v>
      </c>
    </row>
    <row r="9" spans="1:12">
      <c r="A9" s="107" t="str">
        <f>CONCATENATE("Product Code", " ",
 'SF Product Sheet'!C8)</f>
        <v>Product Code EFII134</v>
      </c>
      <c r="B9" s="106" t="str">
        <f>'SF Product Sheet'!A8</f>
        <v>5 Year Fixed Rate  - Repayment</v>
      </c>
      <c r="C9" s="108" t="str">
        <f>CONCATENATE('SF Product Sheet'!E8, "%")</f>
        <v>2.75%</v>
      </c>
      <c r="D9" s="109">
        <f>IF('SF Product Sheet'!F8="","",'SF Product Sheet'!F8)</f>
        <v>46599</v>
      </c>
      <c r="E9" s="110" t="str">
        <f>IF('SF Product Sheet'!AA8="","",IF('SF Product Sheet'!AA8=1,"1% of amount repaid",IF('SF Product Sheet'!AA8=2,"2%, 1% of amount repaid",IF('SF Product Sheet'!AA8=3,"3%, 2%, 1% of amount repaid",IF('SF Product Sheet'!AA8=5,"5%, 4%, 3%, 2%, 1% of amount repaid")))))</f>
        <v>5%, 4%, 3%, 2%, 1% of amount repaid</v>
      </c>
      <c r="F9" s="111">
        <f>'SF Product Sheet'!AS8</f>
        <v>3.6</v>
      </c>
      <c r="G9" s="112">
        <f>'SF Product Sheet'!AR8</f>
        <v>90</v>
      </c>
      <c r="H9" s="113">
        <f>'SF Product Sheet'!AX8</f>
        <v>0</v>
      </c>
      <c r="I9" s="114">
        <f>'SF Product Sheet'!BA8</f>
        <v>999</v>
      </c>
      <c r="J9" s="115">
        <f>'SF Product Sheet'!AP8</f>
        <v>30000</v>
      </c>
      <c r="K9" s="116">
        <f>'SF Product Sheet'!AQ8</f>
        <v>750000</v>
      </c>
      <c r="L9" s="117" t="str">
        <f>IF(AND('SF Product Sheet'!X8="10%",'SF Product Sheet'!CB8="Yes"), "Increased Overpayments Permitted (10% per annum)
MIG Paid by NBS", IF(AND('SF Product Sheet'!X8="10%",'SF Product Sheet'!AM8=0, 'SF Product Sheet'!AO8="No"),"Increased Overpayments Permitted (10% per annum)",IF(AND('SF Product Sheet'!X8="10%",'SF Product Sheet'!AM8=500, 'SF Product Sheet'!AO8="No"),"£500 Cashback 
Increased Overpayments Permitted (10% per annum)",IF(AND('SF Product Sheet'!X8="10%",'SF Product Sheet'!AM8=1000, 'SF Product Sheet'!AO8="No"),"£1000 Cashback 
Increased Overpayments Permitted (10% per annum)", IF(AND('SF Product Sheet'!X8="10%",'SF Product Sheet'!AM8=500, 'SF Product Sheet'!AO8="Yes"),"£500 Cashback 
Free Standard Valuation up to £500,000
Increased Overpayments Permitted (10% per annum)", IF(AND('SF Product Sheet'!X8="10%",'SF Product Sheet'!AM8=1000, 'SF Product Sheet'!AO8="Yes"),"£1000 Cashback 
Free Standard Valuation up to £500,000
Increased Overpayments Permitted (10% per annum)", IF(AND('SF Product Sheet'!X8="10%",'SF Product Sheet'!AM8=0, 'SF Product Sheet'!AO8="Yes"),"Free Standard Valuation up to £500,000
Increased Overpayments Permitted (10% per annum)", IF(AND('SF Product Sheet'!X8="",'SF Product Sheet'!AM8=0, 'SF Product Sheet'!AO8="No"),"N/A"))))))))</f>
        <v>Increased Overpayments Permitted (10% per annum)</v>
      </c>
    </row>
    <row r="10" spans="1:12">
      <c r="A10" s="107" t="e">
        <f>CONCATENATE("Product Code", " ",
 'SF Product Sheet'!#REF!)</f>
        <v>#REF!</v>
      </c>
      <c r="B10" s="106" t="e">
        <f>'SF Product Sheet'!#REF!</f>
        <v>#REF!</v>
      </c>
      <c r="C10" s="108" t="e">
        <f>CONCATENATE('SF Product Sheet'!#REF!, "%")</f>
        <v>#REF!</v>
      </c>
      <c r="D10" s="109" t="e">
        <f>IF('SF Product Sheet'!#REF!="","",'SF Product Sheet'!#REF!)</f>
        <v>#REF!</v>
      </c>
      <c r="E10" s="110" t="e">
        <f>IF('SF Product Sheet'!#REF!="","",IF('SF Product Sheet'!#REF!=1,"1% of amount repaid",IF('SF Product Sheet'!#REF!=2,"2%, 1% of amount repaid",IF('SF Product Sheet'!#REF!=3,"3%, 2%, 1% of amount repaid",IF('SF Product Sheet'!#REF!=5,"5%, 4%, 3%, 2%, 1% of amount repaid")))))</f>
        <v>#REF!</v>
      </c>
      <c r="F10" s="111" t="e">
        <f>'SF Product Sheet'!#REF!</f>
        <v>#REF!</v>
      </c>
      <c r="G10" s="112" t="e">
        <f>'SF Product Sheet'!#REF!</f>
        <v>#REF!</v>
      </c>
      <c r="H10" s="113" t="e">
        <f>'SF Product Sheet'!#REF!</f>
        <v>#REF!</v>
      </c>
      <c r="I10" s="114" t="e">
        <f>'SF Product Sheet'!#REF!</f>
        <v>#REF!</v>
      </c>
      <c r="J10" s="115" t="e">
        <f>'SF Product Sheet'!#REF!</f>
        <v>#REF!</v>
      </c>
      <c r="K10" s="116" t="e">
        <f>'SF Product Sheet'!#REF!</f>
        <v>#REF!</v>
      </c>
      <c r="L10"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11" spans="1:12">
      <c r="A11" s="107" t="str">
        <f>CONCATENATE("Product Code", " ",
 'SF Product Sheet'!C9)</f>
        <v>Product Code EDIS165</v>
      </c>
      <c r="B11" s="106" t="str">
        <f>'SF Product Sheet'!A9</f>
        <v>2 Year Discounted Rate - Repayment</v>
      </c>
      <c r="C11" s="108" t="str">
        <f>CONCATENATE('SF Product Sheet'!E9, "%")</f>
        <v>2.35%</v>
      </c>
      <c r="D11" s="109">
        <f>IF('SF Product Sheet'!F9="","",'SF Product Sheet'!F9)</f>
        <v>45504</v>
      </c>
      <c r="E11" s="110" t="str">
        <f>IF('SF Product Sheet'!AA9="","",IF('SF Product Sheet'!AA9=1,"1% of amount repaid",IF('SF Product Sheet'!AA9=2,"2%, 1% of amount repaid",IF('SF Product Sheet'!AA9=3,"3%, 2%, 1% of amount repaid",IF('SF Product Sheet'!AA9=5,"5%, 4%, 3%, 2%, 1% of amount repaid")))))</f>
        <v>1% of amount repaid</v>
      </c>
      <c r="F11" s="111">
        <f>'SF Product Sheet'!AS9</f>
        <v>3.8</v>
      </c>
      <c r="G11" s="112">
        <f>'SF Product Sheet'!AR9</f>
        <v>95</v>
      </c>
      <c r="H11" s="113">
        <f>'SF Product Sheet'!AX9</f>
        <v>0</v>
      </c>
      <c r="I11" s="114">
        <f>'SF Product Sheet'!BA9</f>
        <v>999</v>
      </c>
      <c r="J11" s="115">
        <f>'SF Product Sheet'!AP9</f>
        <v>30000</v>
      </c>
      <c r="K11" s="116">
        <f>'SF Product Sheet'!AQ9</f>
        <v>500000</v>
      </c>
      <c r="L11" s="117" t="str">
        <f>IF(AND('SF Product Sheet'!X9="10%",'SF Product Sheet'!CB9="Yes"), "Increased Overpayments Permitted (10% per annum)
MIG Paid by NBS", IF(AND('SF Product Sheet'!X9="10%",'SF Product Sheet'!AM9=0, 'SF Product Sheet'!AO9="No"),"Increased Overpayments Permitted (10% per annum)",IF(AND('SF Product Sheet'!X9="10%",'SF Product Sheet'!AM9=500, 'SF Product Sheet'!AO9="No"),"£500 Cashback 
Increased Overpayments Permitted (10% per annum)",IF(AND('SF Product Sheet'!X9="10%",'SF Product Sheet'!AM9=1000, 'SF Product Sheet'!AO9="No"),"£1000 Cashback 
Increased Overpayments Permitted (10% per annum)", IF(AND('SF Product Sheet'!X9="10%",'SF Product Sheet'!AM9=500, 'SF Product Sheet'!AO9="Yes"),"£500 Cashback 
Free Standard Valuation up to £500,000
Increased Overpayments Permitted (10% per annum)", IF(AND('SF Product Sheet'!X9="10%",'SF Product Sheet'!AM9=1000, 'SF Product Sheet'!AO9="Yes"),"£1000 Cashback 
Free Standard Valuation up to £500,000
Increased Overpayments Permitted (10% per annum)", IF(AND('SF Product Sheet'!X9="10%",'SF Product Sheet'!AM9=0, 'SF Product Sheet'!AO9="Yes"),"Free Standard Valuation up to £500,000
Increased Overpayments Permitted (10% per annum)", IF(AND('SF Product Sheet'!X9="",'SF Product Sheet'!AM9=0, 'SF Product Sheet'!AO9="No"),"N/A"))))))))</f>
        <v>Increased Overpayments Permitted (10% per annum)</v>
      </c>
    </row>
    <row r="12" spans="1:12">
      <c r="A12" s="107" t="str">
        <f>CONCATENATE("Product Code", " ",
 'SF Product Sheet'!C10)</f>
        <v>Product Code EFII128</v>
      </c>
      <c r="B12" s="106" t="str">
        <f>'SF Product Sheet'!A10</f>
        <v>2 Year Fixed Rate  - Repayment</v>
      </c>
      <c r="C12" s="108" t="str">
        <f>CONCATENATE('SF Product Sheet'!E10, "%")</f>
        <v>2.45%</v>
      </c>
      <c r="D12" s="109">
        <f>IF('SF Product Sheet'!F10="","",'SF Product Sheet'!F10)</f>
        <v>45504</v>
      </c>
      <c r="E12" s="110" t="str">
        <f>IF('SF Product Sheet'!AA10="","",IF('SF Product Sheet'!AA10=1,"1% of amount repaid",IF('SF Product Sheet'!AA10=2,"2%, 1% of amount repaid",IF('SF Product Sheet'!AA10=3,"3%, 2%, 1% of amount repaid",IF('SF Product Sheet'!AA10=5,"5%, 4%, 3%, 2%, 1% of amount repaid")))))</f>
        <v>2%, 1% of amount repaid</v>
      </c>
      <c r="F12" s="111">
        <f>'SF Product Sheet'!AS10</f>
        <v>3.8</v>
      </c>
      <c r="G12" s="112">
        <f>'SF Product Sheet'!AR10</f>
        <v>95</v>
      </c>
      <c r="H12" s="113">
        <f>'SF Product Sheet'!AX10</f>
        <v>0</v>
      </c>
      <c r="I12" s="114">
        <f>'SF Product Sheet'!BA10</f>
        <v>999</v>
      </c>
      <c r="J12" s="115">
        <f>'SF Product Sheet'!AP10</f>
        <v>30000</v>
      </c>
      <c r="K12" s="116">
        <f>'SF Product Sheet'!AQ10</f>
        <v>500000</v>
      </c>
      <c r="L12" s="117" t="str">
        <f>IF(AND('SF Product Sheet'!X10="10%",'SF Product Sheet'!CB10="Yes"), "Increased Overpayments Permitted (10% per annum)
MIG Paid by NBS", IF(AND('SF Product Sheet'!X10="10%",'SF Product Sheet'!AM10=0, 'SF Product Sheet'!AO10="No"),"Increased Overpayments Permitted (10% per annum)",IF(AND('SF Product Sheet'!X10="10%",'SF Product Sheet'!AM10=500, 'SF Product Sheet'!AO10="No"),"£500 Cashback 
Increased Overpayments Permitted (10% per annum)",IF(AND('SF Product Sheet'!X10="10%",'SF Product Sheet'!AM10=1000, 'SF Product Sheet'!AO10="No"),"£1000 Cashback 
Increased Overpayments Permitted (10% per annum)", IF(AND('SF Product Sheet'!X10="10%",'SF Product Sheet'!AM10=500, 'SF Product Sheet'!AO10="Yes"),"£500 Cashback 
Free Standard Valuation up to £500,000
Increased Overpayments Permitted (10% per annum)", IF(AND('SF Product Sheet'!X10="10%",'SF Product Sheet'!AM10=1000, 'SF Product Sheet'!AO10="Yes"),"£1000 Cashback 
Free Standard Valuation up to £500,000
Increased Overpayments Permitted (10% per annum)", IF(AND('SF Product Sheet'!X10="10%",'SF Product Sheet'!AM10=0, 'SF Product Sheet'!AO10="Yes"),"Free Standard Valuation up to £500,000
Increased Overpayments Permitted (10% per annum)", IF(AND('SF Product Sheet'!X10="",'SF Product Sheet'!AM10=0, 'SF Product Sheet'!AO10="No"),"N/A"))))))))</f>
        <v>Increased Overpayments Permitted (10% per annum)</v>
      </c>
    </row>
    <row r="13" spans="1:12" ht="63.75">
      <c r="A13" s="107" t="str">
        <f>CONCATENATE("Product Code", " ",
 'SF Product Sheet'!C11)</f>
        <v>Product Code EFII129</v>
      </c>
      <c r="B13" s="106" t="str">
        <f>'SF Product Sheet'!A11</f>
        <v>2 Year Fixed Rate  - Repayment</v>
      </c>
      <c r="C13" s="108" t="str">
        <f>CONCATENATE('SF Product Sheet'!E11, "%")</f>
        <v>2.79%</v>
      </c>
      <c r="D13" s="109">
        <f>IF('SF Product Sheet'!F11="","",'SF Product Sheet'!F11)</f>
        <v>45504</v>
      </c>
      <c r="E13" s="110" t="str">
        <f>IF('SF Product Sheet'!AA11="","",IF('SF Product Sheet'!AA11=1,"1% of amount repaid",IF('SF Product Sheet'!AA11=2,"2%, 1% of amount repaid",IF('SF Product Sheet'!AA11=3,"3%, 2%, 1% of amount repaid",IF('SF Product Sheet'!AA11=5,"5%, 4%, 3%, 2%, 1% of amount repaid")))))</f>
        <v>2%, 1% of amount repaid</v>
      </c>
      <c r="F13" s="111">
        <f>'SF Product Sheet'!AS11</f>
        <v>3.8</v>
      </c>
      <c r="G13" s="112">
        <f>'SF Product Sheet'!AR11</f>
        <v>95</v>
      </c>
      <c r="H13" s="113">
        <f>'SF Product Sheet'!AX11</f>
        <v>0</v>
      </c>
      <c r="I13" s="114">
        <f>'SF Product Sheet'!BA11</f>
        <v>0</v>
      </c>
      <c r="J13" s="115">
        <f>'SF Product Sheet'!AP11</f>
        <v>50000</v>
      </c>
      <c r="K13" s="116">
        <f>'SF Product Sheet'!AQ11</f>
        <v>500000</v>
      </c>
      <c r="L13" s="117" t="str">
        <f>IF(AND('SF Product Sheet'!X11="10%",'SF Product Sheet'!CB11="Yes"), "Increased Overpayments Permitted (10% per annum)
MIG Paid by NBS", IF(AND('SF Product Sheet'!X11="10%",'SF Product Sheet'!AM11=0, 'SF Product Sheet'!AO11="No"),"Increased Overpayments Permitted (10% per annum)",IF(AND('SF Product Sheet'!X11="10%",'SF Product Sheet'!AM11=500, 'SF Product Sheet'!AO11="No"),"£500 Cashback 
Increased Overpayments Permitted (10% per annum)",IF(AND('SF Product Sheet'!X11="10%",'SF Product Sheet'!AM11=1000, 'SF Product Sheet'!AO11="No"),"£1000 Cashback 
Increased Overpayments Permitted (10% per annum)", IF(AND('SF Product Sheet'!X11="10%",'SF Product Sheet'!AM11=500, 'SF Product Sheet'!AO11="Yes"),"£500 Cashback 
Free Standard Valuation up to £500,000
Increased Overpayments Permitted (10% per annum)", IF(AND('SF Product Sheet'!X11="10%",'SF Product Sheet'!AM11=1000, 'SF Product Sheet'!AO11="Yes"),"£1000 Cashback 
Free Standard Valuation up to £500,000
Increased Overpayments Permitted (10% per annum)", IF(AND('SF Product Sheet'!X11="10%",'SF Product Sheet'!AM11=0, 'SF Product Sheet'!AO11="Yes"),"Free Standard Valuation up to £500,000
Increased Overpayments Permitted (10% per annum)", IF(AND('SF Product Sheet'!X11="",'SF Product Sheet'!AM11=0, 'SF Product Sheet'!AO11="No"),"N/A"))))))))</f>
        <v>£500 Cashback 
Free Standard Valuation up to £500,000
Increased Overpayments Permitted (10% per annum)</v>
      </c>
    </row>
    <row r="14" spans="1:12">
      <c r="A14" s="107" t="str">
        <f>CONCATENATE("Product Code", " ",
 'SF Product Sheet'!C12)</f>
        <v>Product Code EFII136</v>
      </c>
      <c r="B14" s="106" t="str">
        <f>'SF Product Sheet'!A12</f>
        <v>5 Year Fixed Rate  - Repayment</v>
      </c>
      <c r="C14" s="108" t="str">
        <f>CONCATENATE('SF Product Sheet'!E12, "%")</f>
        <v>2.85%</v>
      </c>
      <c r="D14" s="109">
        <f>IF('SF Product Sheet'!F12="","",'SF Product Sheet'!F12)</f>
        <v>46599</v>
      </c>
      <c r="E14" s="110" t="str">
        <f>IF('SF Product Sheet'!AA12="","",IF('SF Product Sheet'!AA12=1,"1% of amount repaid",IF('SF Product Sheet'!AA12=2,"2%, 1% of amount repaid",IF('SF Product Sheet'!AA12=3,"3%, 2%, 1% of amount repaid",IF('SF Product Sheet'!AA12=5,"5%, 4%, 3%, 2%, 1% of amount repaid")))))</f>
        <v>5%, 4%, 3%, 2%, 1% of amount repaid</v>
      </c>
      <c r="F14" s="111">
        <f>'SF Product Sheet'!AS12</f>
        <v>3.7</v>
      </c>
      <c r="G14" s="112">
        <f>'SF Product Sheet'!AR12</f>
        <v>95</v>
      </c>
      <c r="H14" s="113">
        <f>'SF Product Sheet'!AX12</f>
        <v>0</v>
      </c>
      <c r="I14" s="114">
        <f>'SF Product Sheet'!BA12</f>
        <v>999</v>
      </c>
      <c r="J14" s="115">
        <f>'SF Product Sheet'!AP12</f>
        <v>30000</v>
      </c>
      <c r="K14" s="116">
        <f>'SF Product Sheet'!AQ12</f>
        <v>500000</v>
      </c>
      <c r="L14" s="117" t="str">
        <f>IF(AND('SF Product Sheet'!X12="10%",'SF Product Sheet'!CB12="Yes"), "Increased Overpayments Permitted (10% per annum)
MIG Paid by NBS", IF(AND('SF Product Sheet'!X12="10%",'SF Product Sheet'!AM12=0, 'SF Product Sheet'!AO12="No"),"Increased Overpayments Permitted (10% per annum)",IF(AND('SF Product Sheet'!X12="10%",'SF Product Sheet'!AM12=500, 'SF Product Sheet'!AO12="No"),"£500 Cashback 
Increased Overpayments Permitted (10% per annum)",IF(AND('SF Product Sheet'!X12="10%",'SF Product Sheet'!AM12=1000, 'SF Product Sheet'!AO12="No"),"£1000 Cashback 
Increased Overpayments Permitted (10% per annum)", IF(AND('SF Product Sheet'!X12="10%",'SF Product Sheet'!AM12=500, 'SF Product Sheet'!AO12="Yes"),"£500 Cashback 
Free Standard Valuation up to £500,000
Increased Overpayments Permitted (10% per annum)", IF(AND('SF Product Sheet'!X12="10%",'SF Product Sheet'!AM12=1000, 'SF Product Sheet'!AO12="Yes"),"£1000 Cashback 
Free Standard Valuation up to £500,000
Increased Overpayments Permitted (10% per annum)", IF(AND('SF Product Sheet'!X12="10%",'SF Product Sheet'!AM12=0, 'SF Product Sheet'!AO12="Yes"),"Free Standard Valuation up to £500,000
Increased Overpayments Permitted (10% per annum)", IF(AND('SF Product Sheet'!X12="",'SF Product Sheet'!AM12=0, 'SF Product Sheet'!AO12="No"),"N/A"))))))))</f>
        <v>Increased Overpayments Permitted (10% per annum)</v>
      </c>
    </row>
    <row r="15" spans="1:12" ht="63.75">
      <c r="A15" s="107" t="str">
        <f>CONCATENATE("Product Code", " ",
 'SF Product Sheet'!C13)</f>
        <v>Product Code EFII137</v>
      </c>
      <c r="B15" s="106" t="str">
        <f>'SF Product Sheet'!A13</f>
        <v>5 Year Fixed Rate  - Repayment</v>
      </c>
      <c r="C15" s="108" t="str">
        <f>CONCATENATE('SF Product Sheet'!E13, "%")</f>
        <v>3.05%</v>
      </c>
      <c r="D15" s="109">
        <f>IF('SF Product Sheet'!F13="","",'SF Product Sheet'!F13)</f>
        <v>46599</v>
      </c>
      <c r="E15" s="110" t="str">
        <f>IF('SF Product Sheet'!AA13="","",IF('SF Product Sheet'!AA13=1,"1% of amount repaid",IF('SF Product Sheet'!AA13=2,"2%, 1% of amount repaid",IF('SF Product Sheet'!AA13=3,"3%, 2%, 1% of amount repaid",IF('SF Product Sheet'!AA13=5,"5%, 4%, 3%, 2%, 1% of amount repaid")))))</f>
        <v>5%, 4%, 3%, 2%, 1% of amount repaid</v>
      </c>
      <c r="F15" s="111">
        <f>'SF Product Sheet'!AS13</f>
        <v>3.7</v>
      </c>
      <c r="G15" s="112">
        <f>'SF Product Sheet'!AR13</f>
        <v>95</v>
      </c>
      <c r="H15" s="113">
        <f>'SF Product Sheet'!AX13</f>
        <v>0</v>
      </c>
      <c r="I15" s="114">
        <f>'SF Product Sheet'!BA13</f>
        <v>0</v>
      </c>
      <c r="J15" s="115">
        <f>'SF Product Sheet'!AP13</f>
        <v>50000</v>
      </c>
      <c r="K15" s="116">
        <f>'SF Product Sheet'!AQ13</f>
        <v>500000</v>
      </c>
      <c r="L15" s="117" t="str">
        <f>IF(AND('SF Product Sheet'!X13="10%",'SF Product Sheet'!CB13="Yes"), "Increased Overpayments Permitted (10% per annum)
MIG Paid by NBS", IF(AND('SF Product Sheet'!X13="10%",'SF Product Sheet'!AM13=0, 'SF Product Sheet'!AO13="No"),"Increased Overpayments Permitted (10% per annum)",IF(AND('SF Product Sheet'!X13="10%",'SF Product Sheet'!AM13=500, 'SF Product Sheet'!AO13="No"),"£500 Cashback 
Increased Overpayments Permitted (10% per annum)",IF(AND('SF Product Sheet'!X13="10%",'SF Product Sheet'!AM13=1000, 'SF Product Sheet'!AO13="No"),"£1000 Cashback 
Increased Overpayments Permitted (10% per annum)", IF(AND('SF Product Sheet'!X13="10%",'SF Product Sheet'!AM13=500, 'SF Product Sheet'!AO13="Yes"),"£500 Cashback 
Free Standard Valuation up to £500,000
Increased Overpayments Permitted (10% per annum)", IF(AND('SF Product Sheet'!X13="10%",'SF Product Sheet'!AM13=1000, 'SF Product Sheet'!AO13="Yes"),"£1000 Cashback 
Free Standard Valuation up to £500,000
Increased Overpayments Permitted (10% per annum)", IF(AND('SF Product Sheet'!X13="10%",'SF Product Sheet'!AM13=0, 'SF Product Sheet'!AO13="Yes"),"Free Standard Valuation up to £500,000
Increased Overpayments Permitted (10% per annum)", IF(AND('SF Product Sheet'!X13="",'SF Product Sheet'!AM13=0, 'SF Product Sheet'!AO13="No"),"N/A"))))))))</f>
        <v>£500 Cashback 
Free Standard Valuation up to £500,000
Increased Overpayments Permitted (10% per annum)</v>
      </c>
    </row>
    <row r="16" spans="1:12">
      <c r="A16" s="107" t="e">
        <f>CONCATENATE("Product Code", " ",
 'SF Product Sheet'!#REF!)</f>
        <v>#REF!</v>
      </c>
      <c r="B16" s="106" t="e">
        <f>'SF Product Sheet'!#REF!</f>
        <v>#REF!</v>
      </c>
      <c r="C16" s="108" t="e">
        <f>CONCATENATE('SF Product Sheet'!#REF!, "%")</f>
        <v>#REF!</v>
      </c>
      <c r="D16" s="109" t="e">
        <f>IF('SF Product Sheet'!#REF!="","",'SF Product Sheet'!#REF!)</f>
        <v>#REF!</v>
      </c>
      <c r="E16" s="110" t="e">
        <f>IF('SF Product Sheet'!#REF!="","",IF('SF Product Sheet'!#REF!=1,"1% of amount repaid",IF('SF Product Sheet'!#REF!=2,"2%, 1% of amount repaid",IF('SF Product Sheet'!#REF!=3,"3%, 2%, 1% of amount repaid",IF('SF Product Sheet'!#REF!=5,"5%, 4%, 3%, 2%, 1% of amount repaid")))))</f>
        <v>#REF!</v>
      </c>
      <c r="F16" s="111" t="e">
        <f>'SF Product Sheet'!#REF!</f>
        <v>#REF!</v>
      </c>
      <c r="G16" s="112" t="e">
        <f>'SF Product Sheet'!#REF!</f>
        <v>#REF!</v>
      </c>
      <c r="H16" s="113" t="e">
        <f>'SF Product Sheet'!#REF!</f>
        <v>#REF!</v>
      </c>
      <c r="I16" s="114" t="e">
        <f>'SF Product Sheet'!#REF!</f>
        <v>#REF!</v>
      </c>
      <c r="J16" s="115" t="e">
        <f>'SF Product Sheet'!#REF!</f>
        <v>#REF!</v>
      </c>
      <c r="K16" s="116" t="e">
        <f>'SF Product Sheet'!#REF!</f>
        <v>#REF!</v>
      </c>
      <c r="L16"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17" spans="1:12" ht="63.75">
      <c r="A17" s="107" t="str">
        <f>CONCATENATE("Product Code", " ",
 'SF Product Sheet'!C14)</f>
        <v>Product Code EFII140</v>
      </c>
      <c r="B17" s="106" t="str">
        <f>'SF Product Sheet'!A14</f>
        <v xml:space="preserve">5 Year Fixed Rate - North East Exclusive Repayment </v>
      </c>
      <c r="C17" s="108" t="str">
        <f>CONCATENATE('SF Product Sheet'!E14, "%")</f>
        <v>3.05%</v>
      </c>
      <c r="D17" s="109">
        <f>IF('SF Product Sheet'!F14="","",'SF Product Sheet'!F14)</f>
        <v>46599</v>
      </c>
      <c r="E17" s="110" t="str">
        <f>IF('SF Product Sheet'!AA14="","",IF('SF Product Sheet'!AA14=1,"1% of amount repaid",IF('SF Product Sheet'!AA14=2,"2%, 1% of amount repaid",IF('SF Product Sheet'!AA14=3,"3%, 2%, 1% of amount repaid",IF('SF Product Sheet'!AA14=5,"5%, 4%, 3%, 2%, 1% of amount repaid")))))</f>
        <v>5%, 4%, 3%, 2%, 1% of amount repaid</v>
      </c>
      <c r="F17" s="111">
        <f>'SF Product Sheet'!AS14</f>
        <v>3.7</v>
      </c>
      <c r="G17" s="112">
        <f>'SF Product Sheet'!AR14</f>
        <v>95</v>
      </c>
      <c r="H17" s="113">
        <f>'SF Product Sheet'!AX14</f>
        <v>0</v>
      </c>
      <c r="I17" s="114">
        <f>'SF Product Sheet'!BA14</f>
        <v>0</v>
      </c>
      <c r="J17" s="115">
        <f>'SF Product Sheet'!AP14</f>
        <v>50000</v>
      </c>
      <c r="K17" s="116">
        <f>'SF Product Sheet'!AQ14</f>
        <v>500000</v>
      </c>
      <c r="L17" s="117" t="str">
        <f>IF(AND('SF Product Sheet'!X14="10%",'SF Product Sheet'!CB14="Yes"), "Increased Overpayments Permitted (10% per annum)
MIG Paid by NBS", IF(AND('SF Product Sheet'!X14="10%",'SF Product Sheet'!AM14=0, 'SF Product Sheet'!AO14="No"),"Increased Overpayments Permitted (10% per annum)",IF(AND('SF Product Sheet'!X14="10%",'SF Product Sheet'!AM14=500, 'SF Product Sheet'!AO14="No"),"£500 Cashback 
Increased Overpayments Permitted (10% per annum)",IF(AND('SF Product Sheet'!X14="10%",'SF Product Sheet'!AM14=1000, 'SF Product Sheet'!AO14="No"),"£1000 Cashback 
Increased Overpayments Permitted (10% per annum)", IF(AND('SF Product Sheet'!X14="10%",'SF Product Sheet'!AM14=500, 'SF Product Sheet'!AO14="Yes"),"£500 Cashback 
Free Standard Valuation up to £500,000
Increased Overpayments Permitted (10% per annum)", IF(AND('SF Product Sheet'!X14="10%",'SF Product Sheet'!AM14=1000, 'SF Product Sheet'!AO14="Yes"),"£1000 Cashback 
Free Standard Valuation up to £500,000
Increased Overpayments Permitted (10% per annum)", IF(AND('SF Product Sheet'!X14="10%",'SF Product Sheet'!AM14=0, 'SF Product Sheet'!AO14="Yes"),"Free Standard Valuation up to £500,000
Increased Overpayments Permitted (10% per annum)", IF(AND('SF Product Sheet'!X14="",'SF Product Sheet'!AM14=0, 'SF Product Sheet'!AO14="No"),"N/A"))))))))</f>
        <v>£1000 Cashback 
Free Standard Valuation up to £500,000
Increased Overpayments Permitted (10% per annum)</v>
      </c>
    </row>
    <row r="18" spans="1:12" ht="63.75">
      <c r="A18" s="107" t="str">
        <f>CONCATENATE("Product Code", " ",
 'SF Product Sheet'!C15)</f>
        <v>Product Code LISA010</v>
      </c>
      <c r="B18" s="106" t="str">
        <f>'SF Product Sheet'!A15</f>
        <v xml:space="preserve">2 Year Fixed Rate - Lifetime ISA Exclusive Repayment </v>
      </c>
      <c r="C18" s="108" t="str">
        <f>CONCATENATE('SF Product Sheet'!E15, "%")</f>
        <v>2.79%</v>
      </c>
      <c r="D18" s="109">
        <f>IF('SF Product Sheet'!F15="","",'SF Product Sheet'!F15)</f>
        <v>45504</v>
      </c>
      <c r="E18" s="110" t="str">
        <f>IF('SF Product Sheet'!AA15="","",IF('SF Product Sheet'!AA15=1,"1% of amount repaid",IF('SF Product Sheet'!AA15=2,"2%, 1% of amount repaid",IF('SF Product Sheet'!AA15=3,"3%, 2%, 1% of amount repaid",IF('SF Product Sheet'!AA15=5,"5%, 4%, 3%, 2%, 1% of amount repaid")))))</f>
        <v>2%, 1% of amount repaid</v>
      </c>
      <c r="F18" s="111">
        <f>'SF Product Sheet'!AS15</f>
        <v>3.8</v>
      </c>
      <c r="G18" s="112">
        <f>'SF Product Sheet'!AR15</f>
        <v>95</v>
      </c>
      <c r="H18" s="113">
        <f>'SF Product Sheet'!AX15</f>
        <v>0</v>
      </c>
      <c r="I18" s="114">
        <f>'SF Product Sheet'!BA15</f>
        <v>0</v>
      </c>
      <c r="J18" s="115">
        <f>'SF Product Sheet'!AP15</f>
        <v>50000</v>
      </c>
      <c r="K18" s="116">
        <f>'SF Product Sheet'!AQ15</f>
        <v>500000</v>
      </c>
      <c r="L18" s="117" t="str">
        <f>IF(AND('SF Product Sheet'!X15="10%",'SF Product Sheet'!CB15="Yes"), "Increased Overpayments Permitted (10% per annum)
MIG Paid by NBS", IF(AND('SF Product Sheet'!X15="10%",'SF Product Sheet'!AM15=0, 'SF Product Sheet'!AO15="No"),"Increased Overpayments Permitted (10% per annum)",IF(AND('SF Product Sheet'!X15="10%",'SF Product Sheet'!AM15=500, 'SF Product Sheet'!AO15="No"),"£500 Cashback 
Increased Overpayments Permitted (10% per annum)",IF(AND('SF Product Sheet'!X15="10%",'SF Product Sheet'!AM15=1000, 'SF Product Sheet'!AO15="No"),"£1000 Cashback 
Increased Overpayments Permitted (10% per annum)", IF(AND('SF Product Sheet'!X15="10%",'SF Product Sheet'!AM15=500, 'SF Product Sheet'!AO15="Yes"),"£500 Cashback 
Free Standard Valuation up to £500,000
Increased Overpayments Permitted (10% per annum)", IF(AND('SF Product Sheet'!X15="10%",'SF Product Sheet'!AM15=1000, 'SF Product Sheet'!AO15="Yes"),"£1000 Cashback 
Free Standard Valuation up to £500,000
Increased Overpayments Permitted (10% per annum)", IF(AND('SF Product Sheet'!X15="10%",'SF Product Sheet'!AM15=0, 'SF Product Sheet'!AO15="Yes"),"Free Standard Valuation up to £500,000
Increased Overpayments Permitted (10% per annum)", IF(AND('SF Product Sheet'!X15="",'SF Product Sheet'!AM15=0, 'SF Product Sheet'!AO15="No"),"N/A"))))))))</f>
        <v>£1000 Cashback 
Free Standard Valuation up to £500,000
Increased Overpayments Permitted (10% per annum)</v>
      </c>
    </row>
    <row r="19" spans="1:12" ht="63.75">
      <c r="A19" s="107" t="str">
        <f>CONCATENATE("Product Code", " ",
 'SF Product Sheet'!C16)</f>
        <v>Product Code LISA011</v>
      </c>
      <c r="B19" s="106" t="str">
        <f>'SF Product Sheet'!A16</f>
        <v xml:space="preserve">5 Year Fixed Rate - Lifetime ISA Exclusive Repayment </v>
      </c>
      <c r="C19" s="108" t="str">
        <f>CONCATENATE('SF Product Sheet'!E16, "%")</f>
        <v>3.05%</v>
      </c>
      <c r="D19" s="109">
        <f>IF('SF Product Sheet'!F16="","",'SF Product Sheet'!F16)</f>
        <v>46599</v>
      </c>
      <c r="E19" s="110" t="str">
        <f>IF('SF Product Sheet'!AA16="","",IF('SF Product Sheet'!AA16=1,"1% of amount repaid",IF('SF Product Sheet'!AA16=2,"2%, 1% of amount repaid",IF('SF Product Sheet'!AA16=3,"3%, 2%, 1% of amount repaid",IF('SF Product Sheet'!AA16=5,"5%, 4%, 3%, 2%, 1% of amount repaid")))))</f>
        <v>5%, 4%, 3%, 2%, 1% of amount repaid</v>
      </c>
      <c r="F19" s="111">
        <f>'SF Product Sheet'!AS16</f>
        <v>3.7</v>
      </c>
      <c r="G19" s="112">
        <f>'SF Product Sheet'!AR16</f>
        <v>95</v>
      </c>
      <c r="H19" s="113">
        <f>'SF Product Sheet'!AX16</f>
        <v>0</v>
      </c>
      <c r="I19" s="114">
        <f>'SF Product Sheet'!BA16</f>
        <v>0</v>
      </c>
      <c r="J19" s="115">
        <f>'SF Product Sheet'!AP16</f>
        <v>50000</v>
      </c>
      <c r="K19" s="116">
        <f>'SF Product Sheet'!AQ16</f>
        <v>500000</v>
      </c>
      <c r="L19" s="117" t="str">
        <f>IF(AND('SF Product Sheet'!X16="10%",'SF Product Sheet'!CB16="Yes"), "Increased Overpayments Permitted (10% per annum)
MIG Paid by NBS", IF(AND('SF Product Sheet'!X16="10%",'SF Product Sheet'!AM16=0, 'SF Product Sheet'!AO16="No"),"Increased Overpayments Permitted (10% per annum)",IF(AND('SF Product Sheet'!X16="10%",'SF Product Sheet'!AM16=500, 'SF Product Sheet'!AO16="No"),"£500 Cashback 
Increased Overpayments Permitted (10% per annum)",IF(AND('SF Product Sheet'!X16="10%",'SF Product Sheet'!AM16=1000, 'SF Product Sheet'!AO16="No"),"£1000 Cashback 
Increased Overpayments Permitted (10% per annum)", IF(AND('SF Product Sheet'!X16="10%",'SF Product Sheet'!AM16=500, 'SF Product Sheet'!AO16="Yes"),"£500 Cashback 
Free Standard Valuation up to £500,000
Increased Overpayments Permitted (10% per annum)", IF(AND('SF Product Sheet'!X16="10%",'SF Product Sheet'!AM16=1000, 'SF Product Sheet'!AO16="Yes"),"£1000 Cashback 
Free Standard Valuation up to £500,000
Increased Overpayments Permitted (10% per annum)", IF(AND('SF Product Sheet'!X16="10%",'SF Product Sheet'!AM16=0, 'SF Product Sheet'!AO16="Yes"),"Free Standard Valuation up to £500,000
Increased Overpayments Permitted (10% per annum)", IF(AND('SF Product Sheet'!X16="",'SF Product Sheet'!AM16=0, 'SF Product Sheet'!AO16="No"),"N/A"))))))))</f>
        <v>£1000 Cashback 
Free Standard Valuation up to £500,000
Increased Overpayments Permitted (10% per annum)</v>
      </c>
    </row>
    <row r="20" spans="1:12" ht="38.25">
      <c r="A20" s="107" t="str">
        <f>CONCATENATE("Product Code", " ",
 'SF Product Sheet'!C17)</f>
        <v>Product Code GFHS005</v>
      </c>
      <c r="B20" s="106" t="str">
        <f>'SF Product Sheet'!A17</f>
        <v xml:space="preserve">2 Year Fxed Rate - Repayment </v>
      </c>
      <c r="C20" s="108" t="str">
        <f>CONCATENATE('SF Product Sheet'!E17, "%")</f>
        <v>2.35%</v>
      </c>
      <c r="D20" s="109">
        <f>IF('SF Product Sheet'!F17="","",'SF Product Sheet'!F17)</f>
        <v>45473</v>
      </c>
      <c r="E20" s="110" t="str">
        <f>IF('SF Product Sheet'!AA17="","",IF('SF Product Sheet'!AA17=1,"1% of amount repaid",IF('SF Product Sheet'!AA17=2,"2%, 1% of amount repaid",IF('SF Product Sheet'!AA17=3,"3%, 2%, 1% of amount repaid",IF('SF Product Sheet'!AA17=5,"5%, 4%, 3%, 2%, 1% of amount repaid")))))</f>
        <v>2%, 1% of amount repaid</v>
      </c>
      <c r="F20" s="111">
        <f>'SF Product Sheet'!AS17</f>
        <v>3.7</v>
      </c>
      <c r="G20" s="112">
        <f>'SF Product Sheet'!AR17</f>
        <v>75</v>
      </c>
      <c r="H20" s="113">
        <f>'SF Product Sheet'!AX17</f>
        <v>0</v>
      </c>
      <c r="I20" s="114">
        <f>'SF Product Sheet'!BA17</f>
        <v>0</v>
      </c>
      <c r="J20" s="115">
        <f>'SF Product Sheet'!AP17</f>
        <v>50000</v>
      </c>
      <c r="K20" s="116">
        <f>'SF Product Sheet'!AQ17</f>
        <v>237500</v>
      </c>
      <c r="L20" s="117" t="str">
        <f>IF(AND('SF Product Sheet'!X17="10%",'SF Product Sheet'!CB17="Yes"), "Increased Overpayments Permitted (10% per annum)
MIG Paid by NBS", IF(AND('SF Product Sheet'!X17="10%",'SF Product Sheet'!AM17=0, 'SF Product Sheet'!AO17="No"),"Increased Overpayments Permitted (10% per annum)",IF(AND('SF Product Sheet'!X17="10%",'SF Product Sheet'!AM17=500, 'SF Product Sheet'!AO17="No"),"£500 Cashback 
Increased Overpayments Permitted (10% per annum)",IF(AND('SF Product Sheet'!X17="10%",'SF Product Sheet'!AM17=1000, 'SF Product Sheet'!AO17="No"),"£1000 Cashback 
Increased Overpayments Permitted (10% per annum)", IF(AND('SF Product Sheet'!X17="10%",'SF Product Sheet'!AM17=500, 'SF Product Sheet'!AO17="Yes"),"£500 Cashback 
Free Standard Valuation up to £500,000
Increased Overpayments Permitted (10% per annum)", IF(AND('SF Product Sheet'!X17="10%",'SF Product Sheet'!AM17=1000, 'SF Product Sheet'!AO17="Yes"),"£1000 Cashback 
Free Standard Valuation up to £500,000
Increased Overpayments Permitted (10% per annum)", IF(AND('SF Product Sheet'!X17="10%",'SF Product Sheet'!AM17=0, 'SF Product Sheet'!AO17="Yes"),"Free Standard Valuation up to £500,000
Increased Overpayments Permitted (10% per annum)", IF(AND('SF Product Sheet'!X17="",'SF Product Sheet'!AM17=0, 'SF Product Sheet'!AO17="No"),"N/A"))))))))</f>
        <v>Free Standard Valuation up to £500,000
Increased Overpayments Permitted (10% per annum)</v>
      </c>
    </row>
    <row r="21" spans="1:12" ht="38.25">
      <c r="A21" s="107" t="str">
        <f>CONCATENATE("Product Code", " ",
 'SF Product Sheet'!C18)</f>
        <v>Product Code GFHS006</v>
      </c>
      <c r="B21" s="106" t="str">
        <f>'SF Product Sheet'!A18</f>
        <v xml:space="preserve">5 Year Fxed Rate - Repayment </v>
      </c>
      <c r="C21" s="108" t="str">
        <f>CONCATENATE('SF Product Sheet'!E18, "%")</f>
        <v>2.45%</v>
      </c>
      <c r="D21" s="109">
        <f>IF('SF Product Sheet'!F18="","",'SF Product Sheet'!F18)</f>
        <v>46568</v>
      </c>
      <c r="E21" s="110" t="str">
        <f>IF('SF Product Sheet'!AA18="","",IF('SF Product Sheet'!AA18=1,"1% of amount repaid",IF('SF Product Sheet'!AA18=2,"2%, 1% of amount repaid",IF('SF Product Sheet'!AA18=3,"3%, 2%, 1% of amount repaid",IF('SF Product Sheet'!AA18=5,"5%, 4%, 3%, 2%, 1% of amount repaid")))))</f>
        <v>5%, 4%, 3%, 2%, 1% of amount repaid</v>
      </c>
      <c r="F21" s="111">
        <f>'SF Product Sheet'!AS18</f>
        <v>3.4</v>
      </c>
      <c r="G21" s="112">
        <f>'SF Product Sheet'!AR18</f>
        <v>75</v>
      </c>
      <c r="H21" s="113">
        <f>'SF Product Sheet'!AX18</f>
        <v>0</v>
      </c>
      <c r="I21" s="114">
        <f>'SF Product Sheet'!BA18</f>
        <v>0</v>
      </c>
      <c r="J21" s="115">
        <f>'SF Product Sheet'!AP18</f>
        <v>50000</v>
      </c>
      <c r="K21" s="116">
        <f>'SF Product Sheet'!AQ18</f>
        <v>237500</v>
      </c>
      <c r="L21" s="117" t="str">
        <f>IF(AND('SF Product Sheet'!X18="10%",'SF Product Sheet'!CB18="Yes"), "Increased Overpayments Permitted (10% per annum)
MIG Paid by NBS", IF(AND('SF Product Sheet'!X18="10%",'SF Product Sheet'!AM18=0, 'SF Product Sheet'!AO18="No"),"Increased Overpayments Permitted (10% per annum)",IF(AND('SF Product Sheet'!X18="10%",'SF Product Sheet'!AM18=500, 'SF Product Sheet'!AO18="No"),"£500 Cashback 
Increased Overpayments Permitted (10% per annum)",IF(AND('SF Product Sheet'!X18="10%",'SF Product Sheet'!AM18=1000, 'SF Product Sheet'!AO18="No"),"£1000 Cashback 
Increased Overpayments Permitted (10% per annum)", IF(AND('SF Product Sheet'!X18="10%",'SF Product Sheet'!AM18=500, 'SF Product Sheet'!AO18="Yes"),"£500 Cashback 
Free Standard Valuation up to £500,000
Increased Overpayments Permitted (10% per annum)", IF(AND('SF Product Sheet'!X18="10%",'SF Product Sheet'!AM18=1000, 'SF Product Sheet'!AO18="Yes"),"£1000 Cashback 
Free Standard Valuation up to £500,000
Increased Overpayments Permitted (10% per annum)", IF(AND('SF Product Sheet'!X18="10%",'SF Product Sheet'!AM18=0, 'SF Product Sheet'!AO18="Yes"),"Free Standard Valuation up to £500,000
Increased Overpayments Permitted (10% per annum)", IF(AND('SF Product Sheet'!X18="",'SF Product Sheet'!AM18=0, 'SF Product Sheet'!AO18="No"),"N/A"))))))))</f>
        <v>Free Standard Valuation up to £500,000
Increased Overpayments Permitted (10% per annum)</v>
      </c>
    </row>
    <row r="22" spans="1:12" ht="63.75">
      <c r="A22" s="107" t="str">
        <f>CONCATENATE("Product Code", " ",
 'SF Product Sheet'!C19)</f>
        <v>Product Code DEPU010</v>
      </c>
      <c r="B22" s="106" t="str">
        <f>'SF Product Sheet'!A19</f>
        <v xml:space="preserve">2 Year Fixed Rate - Repayment </v>
      </c>
      <c r="C22" s="108" t="str">
        <f>CONCATENATE('SF Product Sheet'!E19, "%")</f>
        <v>2.79%</v>
      </c>
      <c r="D22" s="109">
        <f>IF('SF Product Sheet'!F19="","",'SF Product Sheet'!F19)</f>
        <v>45504</v>
      </c>
      <c r="E22" s="110" t="str">
        <f>IF('SF Product Sheet'!AA19="","",IF('SF Product Sheet'!AA19=1,"1% of amount repaid",IF('SF Product Sheet'!AA19=2,"2%, 1% of amount repaid",IF('SF Product Sheet'!AA19=3,"3%, 2%, 1% of amount repaid",IF('SF Product Sheet'!AA19=5,"5%, 4%, 3%, 2%, 1% of amount repaid")))))</f>
        <v>2%, 1% of amount repaid</v>
      </c>
      <c r="F22" s="111">
        <f>'SF Product Sheet'!AS19</f>
        <v>3.8</v>
      </c>
      <c r="G22" s="112">
        <f>'SF Product Sheet'!AR19</f>
        <v>95</v>
      </c>
      <c r="H22" s="113">
        <f>'SF Product Sheet'!AX19</f>
        <v>0</v>
      </c>
      <c r="I22" s="114">
        <f>'SF Product Sheet'!BA19</f>
        <v>0</v>
      </c>
      <c r="J22" s="115">
        <f>'SF Product Sheet'!AP19</f>
        <v>50000</v>
      </c>
      <c r="K22" s="116">
        <f>'SF Product Sheet'!AQ19</f>
        <v>570000</v>
      </c>
      <c r="L22" s="117" t="str">
        <f>IF(AND('SF Product Sheet'!X19="10%",'SF Product Sheet'!CB19="Yes"), "Increased Overpayments Permitted (10% per annum)
MIG Paid by NBS", IF(AND('SF Product Sheet'!X19="10%",'SF Product Sheet'!AM19=0, 'SF Product Sheet'!AO19="No"),"Increased Overpayments Permitted (10% per annum)",IF(AND('SF Product Sheet'!X19="10%",'SF Product Sheet'!AM19=500, 'SF Product Sheet'!AO19="No"),"£500 Cashback 
Increased Overpayments Permitted (10% per annum)",IF(AND('SF Product Sheet'!X19="10%",'SF Product Sheet'!AM19=1000, 'SF Product Sheet'!AO19="No"),"£1000 Cashback 
Increased Overpayments Permitted (10% per annum)", IF(AND('SF Product Sheet'!X19="10%",'SF Product Sheet'!AM19=500, 'SF Product Sheet'!AO19="Yes"),"£500 Cashback 
Free Standard Valuation up to £500,000
Increased Overpayments Permitted (10% per annum)", IF(AND('SF Product Sheet'!X19="10%",'SF Product Sheet'!AM19=1000, 'SF Product Sheet'!AO19="Yes"),"£1000 Cashback 
Free Standard Valuation up to £500,000
Increased Overpayments Permitted (10% per annum)", IF(AND('SF Product Sheet'!X19="10%",'SF Product Sheet'!AM19=0, 'SF Product Sheet'!AO19="Yes"),"Free Standard Valuation up to £500,000
Increased Overpayments Permitted (10% per annum)", IF(AND('SF Product Sheet'!X19="",'SF Product Sheet'!AM19=0, 'SF Product Sheet'!AO19="No"),"N/A"))))))))</f>
        <v>£500 Cashback 
Free Standard Valuation up to £500,000
Increased Overpayments Permitted (10% per annum)</v>
      </c>
    </row>
    <row r="23" spans="1:12" ht="63.75">
      <c r="A23" s="107" t="str">
        <f>CONCATENATE("Product Code", " ",
 'SF Product Sheet'!C20)</f>
        <v>Product Code DEPU009</v>
      </c>
      <c r="B23" s="106" t="str">
        <f>'SF Product Sheet'!A20</f>
        <v xml:space="preserve">5 Year Fixed Rate - Repayment </v>
      </c>
      <c r="C23" s="108" t="str">
        <f>CONCATENATE('SF Product Sheet'!E20, "%")</f>
        <v>3.05%</v>
      </c>
      <c r="D23" s="109">
        <f>IF('SF Product Sheet'!F20="","",'SF Product Sheet'!F20)</f>
        <v>46599</v>
      </c>
      <c r="E23" s="110" t="str">
        <f>IF('SF Product Sheet'!AA20="","",IF('SF Product Sheet'!AA20=1,"1% of amount repaid",IF('SF Product Sheet'!AA20=2,"2%, 1% of amount repaid",IF('SF Product Sheet'!AA20=3,"3%, 2%, 1% of amount repaid",IF('SF Product Sheet'!AA20=5,"5%, 4%, 3%, 2%, 1% of amount repaid")))))</f>
        <v>5%, 4%, 3%, 2%, 1% of amount repaid</v>
      </c>
      <c r="F23" s="111">
        <f>'SF Product Sheet'!AS20</f>
        <v>3.7</v>
      </c>
      <c r="G23" s="112">
        <f>'SF Product Sheet'!AR20</f>
        <v>95</v>
      </c>
      <c r="H23" s="113">
        <f>'SF Product Sheet'!AX20</f>
        <v>0</v>
      </c>
      <c r="I23" s="114">
        <f>'SF Product Sheet'!BA20</f>
        <v>0</v>
      </c>
      <c r="J23" s="115">
        <f>'SF Product Sheet'!AP20</f>
        <v>50000</v>
      </c>
      <c r="K23" s="116">
        <f>'SF Product Sheet'!AQ20</f>
        <v>570000</v>
      </c>
      <c r="L23" s="117" t="str">
        <f>IF(AND('SF Product Sheet'!X20="10%",'SF Product Sheet'!CB20="Yes"), "Increased Overpayments Permitted (10% per annum)
MIG Paid by NBS", IF(AND('SF Product Sheet'!X20="10%",'SF Product Sheet'!AM20=0, 'SF Product Sheet'!AO20="No"),"Increased Overpayments Permitted (10% per annum)",IF(AND('SF Product Sheet'!X20="10%",'SF Product Sheet'!AM20=500, 'SF Product Sheet'!AO20="No"),"£500 Cashback 
Increased Overpayments Permitted (10% per annum)",IF(AND('SF Product Sheet'!X20="10%",'SF Product Sheet'!AM20=1000, 'SF Product Sheet'!AO20="No"),"£1000 Cashback 
Increased Overpayments Permitted (10% per annum)", IF(AND('SF Product Sheet'!X20="10%",'SF Product Sheet'!AM20=500, 'SF Product Sheet'!AO20="Yes"),"£500 Cashback 
Free Standard Valuation up to £500,000
Increased Overpayments Permitted (10% per annum)", IF(AND('SF Product Sheet'!X20="10%",'SF Product Sheet'!AM20=1000, 'SF Product Sheet'!AO20="Yes"),"£1000 Cashback 
Free Standard Valuation up to £500,000
Increased Overpayments Permitted (10% per annum)", IF(AND('SF Product Sheet'!X20="10%",'SF Product Sheet'!AM20=0, 'SF Product Sheet'!AO20="Yes"),"Free Standard Valuation up to £500,000
Increased Overpayments Permitted (10% per annum)", IF(AND('SF Product Sheet'!X20="",'SF Product Sheet'!AM20=0, 'SF Product Sheet'!AO20="No"),"N/A"))))))))</f>
        <v>£500 Cashback 
Free Standard Valuation up to £500,000
Increased Overpayments Permitted (10% per annum)</v>
      </c>
    </row>
    <row r="24" spans="1:12">
      <c r="A24" s="107" t="str">
        <f>CONCATENATE("Product Code", " ",
 'SF Product Sheet'!C21)</f>
        <v>Product Code SEMP089</v>
      </c>
      <c r="B24" s="106" t="str">
        <f>'SF Product Sheet'!A21</f>
        <v>2 Year Fixed Rate  - Self Employed Repayment</v>
      </c>
      <c r="C24" s="108" t="str">
        <f>CONCATENATE('SF Product Sheet'!E21, "%")</f>
        <v>2.55%</v>
      </c>
      <c r="D24" s="109">
        <f>IF('SF Product Sheet'!F21="","",'SF Product Sheet'!F21)</f>
        <v>45504</v>
      </c>
      <c r="E24" s="110" t="str">
        <f>IF('SF Product Sheet'!AA21="","",IF('SF Product Sheet'!AA21=1,"1% of amount repaid",IF('SF Product Sheet'!AA21=2,"2%, 1% of amount repaid",IF('SF Product Sheet'!AA21=3,"3%, 2%, 1% of amount repaid",IF('SF Product Sheet'!AA21=5,"5%, 4%, 3%, 2%, 1% of amount repaid")))))</f>
        <v>2%, 1% of amount repaid</v>
      </c>
      <c r="F24" s="111">
        <f>'SF Product Sheet'!AS21</f>
        <v>3.8</v>
      </c>
      <c r="G24" s="112">
        <f>'SF Product Sheet'!AR21</f>
        <v>80</v>
      </c>
      <c r="H24" s="113">
        <f>'SF Product Sheet'!AX21</f>
        <v>0</v>
      </c>
      <c r="I24" s="114">
        <f>'SF Product Sheet'!BA21</f>
        <v>999</v>
      </c>
      <c r="J24" s="115">
        <f>'SF Product Sheet'!AP21</f>
        <v>30000</v>
      </c>
      <c r="K24" s="116">
        <f>'SF Product Sheet'!AQ21</f>
        <v>1500000</v>
      </c>
      <c r="L24" s="117" t="str">
        <f>IF(AND('SF Product Sheet'!X21="10%",'SF Product Sheet'!CB21="Yes"), "Increased Overpayments Permitted (10% per annum)
MIG Paid by NBS", IF(AND('SF Product Sheet'!X21="10%",'SF Product Sheet'!AM21=0, 'SF Product Sheet'!AO21="No"),"Increased Overpayments Permitted (10% per annum)",IF(AND('SF Product Sheet'!X21="10%",'SF Product Sheet'!AM21=500, 'SF Product Sheet'!AO21="No"),"£500 Cashback 
Increased Overpayments Permitted (10% per annum)",IF(AND('SF Product Sheet'!X21="10%",'SF Product Sheet'!AM21=1000, 'SF Product Sheet'!AO21="No"),"£1000 Cashback 
Increased Overpayments Permitted (10% per annum)", IF(AND('SF Product Sheet'!X21="10%",'SF Product Sheet'!AM21=500, 'SF Product Sheet'!AO21="Yes"),"£500 Cashback 
Free Standard Valuation up to £500,000
Increased Overpayments Permitted (10% per annum)", IF(AND('SF Product Sheet'!X21="10%",'SF Product Sheet'!AM21=1000, 'SF Product Sheet'!AO21="Yes"),"£1000 Cashback 
Free Standard Valuation up to £500,000
Increased Overpayments Permitted (10% per annum)", IF(AND('SF Product Sheet'!X21="10%",'SF Product Sheet'!AM21=0, 'SF Product Sheet'!AO21="Yes"),"Free Standard Valuation up to £500,000
Increased Overpayments Permitted (10% per annum)", IF(AND('SF Product Sheet'!X21="",'SF Product Sheet'!AM21=0, 'SF Product Sheet'!AO21="No"),"N/A"))))))))</f>
        <v>Increased Overpayments Permitted (10% per annum)</v>
      </c>
    </row>
    <row r="25" spans="1:12" ht="38.25">
      <c r="A25" s="107" t="str">
        <f>CONCATENATE("Product Code", " ",
 'SF Product Sheet'!C22)</f>
        <v>Product Code SEMP088</v>
      </c>
      <c r="B25" s="106" t="str">
        <f>'SF Product Sheet'!A22</f>
        <v>2 Year Fixed Rate  - Self Employed Repayment</v>
      </c>
      <c r="C25" s="108" t="str">
        <f>CONCATENATE('SF Product Sheet'!E22, "%")</f>
        <v>2.75%</v>
      </c>
      <c r="D25" s="109">
        <f>IF('SF Product Sheet'!F22="","",'SF Product Sheet'!F22)</f>
        <v>45504</v>
      </c>
      <c r="E25" s="110" t="str">
        <f>IF('SF Product Sheet'!AA22="","",IF('SF Product Sheet'!AA22=1,"1% of amount repaid",IF('SF Product Sheet'!AA22=2,"2%, 1% of amount repaid",IF('SF Product Sheet'!AA22=3,"3%, 2%, 1% of amount repaid",IF('SF Product Sheet'!AA22=5,"5%, 4%, 3%, 2%, 1% of amount repaid")))))</f>
        <v>2%, 1% of amount repaid</v>
      </c>
      <c r="F25" s="111">
        <f>'SF Product Sheet'!AS22</f>
        <v>3.8</v>
      </c>
      <c r="G25" s="112">
        <f>'SF Product Sheet'!AR22</f>
        <v>80</v>
      </c>
      <c r="H25" s="113">
        <f>'SF Product Sheet'!AX22</f>
        <v>0</v>
      </c>
      <c r="I25" s="114">
        <f>'SF Product Sheet'!BA22</f>
        <v>0</v>
      </c>
      <c r="J25" s="115">
        <f>'SF Product Sheet'!AP22</f>
        <v>50000</v>
      </c>
      <c r="K25" s="116">
        <f>'SF Product Sheet'!AQ22</f>
        <v>1500000</v>
      </c>
      <c r="L25" s="117" t="str">
        <f>IF(AND('SF Product Sheet'!X22="10%",'SF Product Sheet'!CB22="Yes"), "Increased Overpayments Permitted (10% per annum)
MIG Paid by NBS", IF(AND('SF Product Sheet'!X22="10%",'SF Product Sheet'!AM22=0, 'SF Product Sheet'!AO22="No"),"Increased Overpayments Permitted (10% per annum)",IF(AND('SF Product Sheet'!X22="10%",'SF Product Sheet'!AM22=500, 'SF Product Sheet'!AO22="No"),"£500 Cashback 
Increased Overpayments Permitted (10% per annum)",IF(AND('SF Product Sheet'!X22="10%",'SF Product Sheet'!AM22=1000, 'SF Product Sheet'!AO22="No"),"£1000 Cashback 
Increased Overpayments Permitted (10% per annum)", IF(AND('SF Product Sheet'!X22="10%",'SF Product Sheet'!AM22=500, 'SF Product Sheet'!AO22="Yes"),"£500 Cashback 
Free Standard Valuation up to £500,000
Increased Overpayments Permitted (10% per annum)", IF(AND('SF Product Sheet'!X22="10%",'SF Product Sheet'!AM22=1000, 'SF Product Sheet'!AO22="Yes"),"£1000 Cashback 
Free Standard Valuation up to £500,000
Increased Overpayments Permitted (10% per annum)", IF(AND('SF Product Sheet'!X22="10%",'SF Product Sheet'!AM22=0, 'SF Product Sheet'!AO22="Yes"),"Free Standard Valuation up to £500,000
Increased Overpayments Permitted (10% per annum)", IF(AND('SF Product Sheet'!X22="",'SF Product Sheet'!AM22=0, 'SF Product Sheet'!AO22="No"),"N/A"))))))))</f>
        <v>Free Standard Valuation up to £500,000
Increased Overpayments Permitted (10% per annum)</v>
      </c>
    </row>
    <row r="26" spans="1:12">
      <c r="A26" s="107" t="e">
        <f>CONCATENATE("Product Code", " ",
 'SF Product Sheet'!#REF!)</f>
        <v>#REF!</v>
      </c>
      <c r="B26" s="106" t="e">
        <f>'SF Product Sheet'!#REF!</f>
        <v>#REF!</v>
      </c>
      <c r="C26" s="108" t="e">
        <f>CONCATENATE('SF Product Sheet'!#REF!, "%")</f>
        <v>#REF!</v>
      </c>
      <c r="D26" s="109" t="e">
        <f>IF('SF Product Sheet'!#REF!="","",'SF Product Sheet'!#REF!)</f>
        <v>#REF!</v>
      </c>
      <c r="E26" s="110" t="e">
        <f>IF('SF Product Sheet'!#REF!="","",IF('SF Product Sheet'!#REF!=1,"1% of amount repaid",IF('SF Product Sheet'!#REF!=2,"2%, 1% of amount repaid",IF('SF Product Sheet'!#REF!=3,"3%, 2%, 1% of amount repaid",IF('SF Product Sheet'!#REF!=5,"5%, 4%, 3%, 2%, 1% of amount repaid")))))</f>
        <v>#REF!</v>
      </c>
      <c r="F26" s="111" t="e">
        <f>'SF Product Sheet'!#REF!</f>
        <v>#REF!</v>
      </c>
      <c r="G26" s="112" t="e">
        <f>'SF Product Sheet'!#REF!</f>
        <v>#REF!</v>
      </c>
      <c r="H26" s="113" t="e">
        <f>'SF Product Sheet'!#REF!</f>
        <v>#REF!</v>
      </c>
      <c r="I26" s="114" t="e">
        <f>'SF Product Sheet'!#REF!</f>
        <v>#REF!</v>
      </c>
      <c r="J26" s="115" t="e">
        <f>'SF Product Sheet'!#REF!</f>
        <v>#REF!</v>
      </c>
      <c r="K26" s="116" t="e">
        <f>'SF Product Sheet'!#REF!</f>
        <v>#REF!</v>
      </c>
      <c r="L26" s="117" t="e">
        <f>IF(AND('SF Product Sheet'!#REF!="10%",'SF Product Sheet'!#REF!="Yes"), "Increased Overpayments Permitted (10% per annum)
MIG Paid by NBS", IF(AND('SF Product Sheet'!#REF!="10%",'SF Product Sheet'!#REF!=0, 'SF Product Sheet'!#REF!="No"),"Increased Overpayments Permitted (10% per annum)",IF(AND('SF Product Sheet'!#REF!="10%",'SF Product Sheet'!#REF!=500, 'SF Product Sheet'!#REF!="No"),"£500 Cashback 
Increased Overpayments Permitted (10% per annum)",IF(AND('SF Product Sheet'!#REF!="10%",'SF Product Sheet'!#REF!=1000, 'SF Product Sheet'!#REF!="No"),"£1000 Cashback 
Increased Overpayments Permitted (10% per annum)", IF(AND('SF Product Sheet'!#REF!="10%",'SF Product Sheet'!#REF!=500, 'SF Product Sheet'!#REF!="Yes"),"£500 Cashback 
Free Standard Valuation up to £500,000
Increased Overpayments Permitted (10% per annum)", IF(AND('SF Product Sheet'!#REF!="10%",'SF Product Sheet'!#REF!=1000, 'SF Product Sheet'!#REF!="Yes"),"£1000 Cashback 
Free Standard Valuation up to £500,000
Increased Overpayments Permitted (10% per annum)", IF(AND('SF Product Sheet'!#REF!="10%",'SF Product Sheet'!#REF!=0, 'SF Product Sheet'!#REF!="Yes"),"Free Standard Valuation up to £500,000
Increased Overpayments Permitted (10% per annum)", IF(AND('SF Product Sheet'!#REF!="",'SF Product Sheet'!#REF!=0, 'SF Product Sheet'!#REF!="No"),"N/A"))))))))</f>
        <v>#REF!</v>
      </c>
    </row>
    <row r="27" spans="1:12" ht="38.25">
      <c r="A27" s="107" t="str">
        <f>CONCATENATE("Product Code", " ",
 'SF Product Sheet'!C23)</f>
        <v>Product Code EFII121</v>
      </c>
      <c r="B27" s="106" t="str">
        <f>'SF Product Sheet'!A23</f>
        <v>2 Year Fixed Rate  - Interest Only</v>
      </c>
      <c r="C27" s="108" t="str">
        <f>CONCATENATE('SF Product Sheet'!E23, "%")</f>
        <v>2.75%</v>
      </c>
      <c r="D27" s="109">
        <f>IF('SF Product Sheet'!F23="","",'SF Product Sheet'!F23)</f>
        <v>45504</v>
      </c>
      <c r="E27" s="110" t="str">
        <f>IF('SF Product Sheet'!AA23="","",IF('SF Product Sheet'!AA23=1,"1% of amount repaid",IF('SF Product Sheet'!AA23=2,"2%, 1% of amount repaid",IF('SF Product Sheet'!AA23=3,"3%, 2%, 1% of amount repaid",IF('SF Product Sheet'!AA23=5,"5%, 4%, 3%, 2%, 1% of amount repaid")))))</f>
        <v>2%, 1% of amount repaid</v>
      </c>
      <c r="F27" s="111">
        <f>'SF Product Sheet'!AS23</f>
        <v>3.8</v>
      </c>
      <c r="G27" s="112">
        <f>'SF Product Sheet'!AR23</f>
        <v>80</v>
      </c>
      <c r="H27" s="113">
        <f>'SF Product Sheet'!AX23</f>
        <v>0</v>
      </c>
      <c r="I27" s="114">
        <f>'SF Product Sheet'!BA23</f>
        <v>0</v>
      </c>
      <c r="J27" s="115">
        <f>'SF Product Sheet'!AP23</f>
        <v>50000</v>
      </c>
      <c r="K27" s="116">
        <f>'SF Product Sheet'!AQ23</f>
        <v>1500000</v>
      </c>
      <c r="L27" s="117" t="str">
        <f>IF(AND('SF Product Sheet'!X23="10%",'SF Product Sheet'!CB23="Yes"), "Increased Overpayments Permitted (10% per annum)
MIG Paid by NBS", IF(AND('SF Product Sheet'!X23="10%",'SF Product Sheet'!AM23=0, 'SF Product Sheet'!AO23="No"),"Increased Overpayments Permitted (10% per annum)",IF(AND('SF Product Sheet'!X23="10%",'SF Product Sheet'!AM23=500, 'SF Product Sheet'!AO23="No"),"£500 Cashback 
Increased Overpayments Permitted (10% per annum)",IF(AND('SF Product Sheet'!X23="10%",'SF Product Sheet'!AM23=1000, 'SF Product Sheet'!AO23="No"),"£1000 Cashback 
Increased Overpayments Permitted (10% per annum)", IF(AND('SF Product Sheet'!X23="10%",'SF Product Sheet'!AM23=500, 'SF Product Sheet'!AO23="Yes"),"£500 Cashback 
Free Standard Valuation up to £500,000
Increased Overpayments Permitted (10% per annum)", IF(AND('SF Product Sheet'!X23="10%",'SF Product Sheet'!AM23=1000, 'SF Product Sheet'!AO23="Yes"),"£1000 Cashback 
Free Standard Valuation up to £500,000
Increased Overpayments Permitted (10% per annum)", IF(AND('SF Product Sheet'!X23="10%",'SF Product Sheet'!AM23=0, 'SF Product Sheet'!AO23="Yes"),"Free Standard Valuation up to £500,000
Increased Overpayments Permitted (10% per annum)", IF(AND('SF Product Sheet'!X23="",'SF Product Sheet'!AM23=0, 'SF Product Sheet'!AO23="No"),"N/A"))))))))</f>
        <v>Free Standard Valuation up to £500,000
Increased Overpayments Permitted (10% per annum)</v>
      </c>
    </row>
    <row r="28" spans="1:12">
      <c r="A28" s="107" t="str">
        <f>CONCATENATE("Product Code", " ",
 'SF Product Sheet'!C24)</f>
        <v>Product Code EFII123</v>
      </c>
      <c r="B28" s="106" t="str">
        <f>'SF Product Sheet'!A24</f>
        <v>5 Year Fixed Rate  - Interest Only</v>
      </c>
      <c r="C28" s="108" t="str">
        <f>CONCATENATE('SF Product Sheet'!E24, "%")</f>
        <v>2.79%</v>
      </c>
      <c r="D28" s="109">
        <f>IF('SF Product Sheet'!F24="","",'SF Product Sheet'!F24)</f>
        <v>46599</v>
      </c>
      <c r="E28" s="110" t="str">
        <f>IF('SF Product Sheet'!AA24="","",IF('SF Product Sheet'!AA24=1,"1% of amount repaid",IF('SF Product Sheet'!AA24=2,"2%, 1% of amount repaid",IF('SF Product Sheet'!AA24=3,"3%, 2%, 1% of amount repaid",IF('SF Product Sheet'!AA24=5,"5%, 4%, 3%, 2%, 1% of amount repaid")))))</f>
        <v>5%, 4%, 3%, 2%, 1% of amount repaid</v>
      </c>
      <c r="F28" s="111">
        <f>'SF Product Sheet'!AS24</f>
        <v>3.5</v>
      </c>
      <c r="G28" s="112">
        <f>'SF Product Sheet'!AR24</f>
        <v>80</v>
      </c>
      <c r="H28" s="113">
        <f>'SF Product Sheet'!AX24</f>
        <v>0</v>
      </c>
      <c r="I28" s="114">
        <f>'SF Product Sheet'!BA24</f>
        <v>999</v>
      </c>
      <c r="J28" s="115">
        <f>'SF Product Sheet'!AP24</f>
        <v>30000</v>
      </c>
      <c r="K28" s="116">
        <f>'SF Product Sheet'!AQ24</f>
        <v>1500000</v>
      </c>
      <c r="L28" s="117" t="str">
        <f>IF(AND('SF Product Sheet'!X24="10%",'SF Product Sheet'!CB24="Yes"), "Increased Overpayments Permitted (10% per annum)
MIG Paid by NBS", IF(AND('SF Product Sheet'!X24="10%",'SF Product Sheet'!AM24=0, 'SF Product Sheet'!AO24="No"),"Increased Overpayments Permitted (10% per annum)",IF(AND('SF Product Sheet'!X24="10%",'SF Product Sheet'!AM24=500, 'SF Product Sheet'!AO24="No"),"£500 Cashback 
Increased Overpayments Permitted (10% per annum)",IF(AND('SF Product Sheet'!X24="10%",'SF Product Sheet'!AM24=1000, 'SF Product Sheet'!AO24="No"),"£1000 Cashback 
Increased Overpayments Permitted (10% per annum)", IF(AND('SF Product Sheet'!X24="10%",'SF Product Sheet'!AM24=500, 'SF Product Sheet'!AO24="Yes"),"£500 Cashback 
Free Standard Valuation up to £500,000
Increased Overpayments Permitted (10% per annum)", IF(AND('SF Product Sheet'!X24="10%",'SF Product Sheet'!AM24=1000, 'SF Product Sheet'!AO24="Yes"),"£1000 Cashback 
Free Standard Valuation up to £500,000
Increased Overpayments Permitted (10% per annum)", IF(AND('SF Product Sheet'!X24="10%",'SF Product Sheet'!AM24=0, 'SF Product Sheet'!AO24="Yes"),"Free Standard Valuation up to £500,000
Increased Overpayments Permitted (10% per annum)", IF(AND('SF Product Sheet'!X24="",'SF Product Sheet'!AM24=0, 'SF Product Sheet'!AO24="No"),"N/A"))))))))</f>
        <v>Increased Overpayments Permitted (10% per annum)</v>
      </c>
    </row>
    <row r="29" spans="1:12" ht="38.25">
      <c r="A29" s="107" t="str">
        <f>CONCATENATE("Product Code", " ",
 'SF Product Sheet'!C25)</f>
        <v>Product Code EFII124</v>
      </c>
      <c r="B29" s="106" t="str">
        <f>'SF Product Sheet'!A25</f>
        <v>5 Year Fixed Rate  - Interest Only</v>
      </c>
      <c r="C29" s="108" t="str">
        <f>CONCATENATE('SF Product Sheet'!E25, "%")</f>
        <v>2.85%</v>
      </c>
      <c r="D29" s="109">
        <f>IF('SF Product Sheet'!F25="","",'SF Product Sheet'!F25)</f>
        <v>46599</v>
      </c>
      <c r="E29" s="110" t="str">
        <f>IF('SF Product Sheet'!AA25="","",IF('SF Product Sheet'!AA25=1,"1% of amount repaid",IF('SF Product Sheet'!AA25=2,"2%, 1% of amount repaid",IF('SF Product Sheet'!AA25=3,"3%, 2%, 1% of amount repaid",IF('SF Product Sheet'!AA25=5,"5%, 4%, 3%, 2%, 1% of amount repaid")))))</f>
        <v>5%, 4%, 3%, 2%, 1% of amount repaid</v>
      </c>
      <c r="F29" s="111">
        <f>'SF Product Sheet'!AS25</f>
        <v>3.5</v>
      </c>
      <c r="G29" s="112">
        <f>'SF Product Sheet'!AR25</f>
        <v>80</v>
      </c>
      <c r="H29" s="113">
        <f>'SF Product Sheet'!AX25</f>
        <v>0</v>
      </c>
      <c r="I29" s="114">
        <f>'SF Product Sheet'!BA25</f>
        <v>0</v>
      </c>
      <c r="J29" s="115">
        <f>'SF Product Sheet'!AP25</f>
        <v>50000</v>
      </c>
      <c r="K29" s="116">
        <f>'SF Product Sheet'!AQ25</f>
        <v>1500000</v>
      </c>
      <c r="L29" s="117" t="str">
        <f>IF(AND('SF Product Sheet'!X25="10%",'SF Product Sheet'!CB25="Yes"), "Increased Overpayments Permitted (10% per annum)
MIG Paid by NBS", IF(AND('SF Product Sheet'!X25="10%",'SF Product Sheet'!AM25=0, 'SF Product Sheet'!AO25="No"),"Increased Overpayments Permitted (10% per annum)",IF(AND('SF Product Sheet'!X25="10%",'SF Product Sheet'!AM25=500, 'SF Product Sheet'!AO25="No"),"£500 Cashback 
Increased Overpayments Permitted (10% per annum)",IF(AND('SF Product Sheet'!X25="10%",'SF Product Sheet'!AM25=1000, 'SF Product Sheet'!AO25="No"),"£1000 Cashback 
Increased Overpayments Permitted (10% per annum)", IF(AND('SF Product Sheet'!X25="10%",'SF Product Sheet'!AM25=500, 'SF Product Sheet'!AO25="Yes"),"£500 Cashback 
Free Standard Valuation up to £500,000
Increased Overpayments Permitted (10% per annum)", IF(AND('SF Product Sheet'!X25="10%",'SF Product Sheet'!AM25=1000, 'SF Product Sheet'!AO25="Yes"),"£1000 Cashback 
Free Standard Valuation up to £500,000
Increased Overpayments Permitted (10% per annum)", IF(AND('SF Product Sheet'!X25="10%",'SF Product Sheet'!AM25=0, 'SF Product Sheet'!AO25="Yes"),"Free Standard Valuation up to £500,000
Increased Overpayments Permitted (10% per annum)", IF(AND('SF Product Sheet'!X25="",'SF Product Sheet'!AM25=0, 'SF Product Sheet'!AO25="No"),"N/A"))))))))</f>
        <v>Free Standard Valuation up to £500,000
Increased Overpayments Permitted (10% per annum)</v>
      </c>
    </row>
    <row r="30" spans="1:12" ht="38.25">
      <c r="A30" s="107" t="str">
        <f>CONCATENATE("Product Code", " ",
 'SF Product Sheet'!C26)</f>
        <v>Product Code JMSP096</v>
      </c>
      <c r="B30" s="106" t="str">
        <f>'SF Product Sheet'!A26</f>
        <v xml:space="preserve">2 Year Fixed Rate - Repayment </v>
      </c>
      <c r="C30" s="108" t="str">
        <f>CONCATENATE('SF Product Sheet'!E26, "%")</f>
        <v>2.7%</v>
      </c>
      <c r="D30" s="109">
        <f>IF('SF Product Sheet'!F26="","",'SF Product Sheet'!F26)</f>
        <v>45504</v>
      </c>
      <c r="E30" s="110" t="str">
        <f>IF('SF Product Sheet'!AA26="","",IF('SF Product Sheet'!AA26=1,"1% of amount repaid",IF('SF Product Sheet'!AA26=2,"2%, 1% of amount repaid",IF('SF Product Sheet'!AA26=3,"3%, 2%, 1% of amount repaid",IF('SF Product Sheet'!AA26=5,"5%, 4%, 3%, 2%, 1% of amount repaid")))))</f>
        <v>2%, 1% of amount repaid</v>
      </c>
      <c r="F30" s="111">
        <f>'SF Product Sheet'!AS26</f>
        <v>3.8</v>
      </c>
      <c r="G30" s="112">
        <f>'SF Product Sheet'!AR26</f>
        <v>80</v>
      </c>
      <c r="H30" s="113">
        <f>'SF Product Sheet'!AX26</f>
        <v>0</v>
      </c>
      <c r="I30" s="114">
        <f>'SF Product Sheet'!BA26</f>
        <v>0</v>
      </c>
      <c r="J30" s="115">
        <f>'SF Product Sheet'!AP26</f>
        <v>25000</v>
      </c>
      <c r="K30" s="116">
        <f>'SF Product Sheet'!AQ26</f>
        <v>1500000</v>
      </c>
      <c r="L30" s="117" t="str">
        <f>IF(AND('SF Product Sheet'!X26="10%",'SF Product Sheet'!CB26="Yes"), "Increased Overpayments Permitted (10% per annum)
MIG Paid by NBS", IF(AND('SF Product Sheet'!X26="10%",'SF Product Sheet'!AM26=0, 'SF Product Sheet'!AO26="No"),"Increased Overpayments Permitted (10% per annum)",IF(AND('SF Product Sheet'!X26="10%",'SF Product Sheet'!AM26=500, 'SF Product Sheet'!AO26="No"),"£500 Cashback 
Increased Overpayments Permitted (10% per annum)",IF(AND('SF Product Sheet'!X26="10%",'SF Product Sheet'!AM26=1000, 'SF Product Sheet'!AO26="No"),"£1000 Cashback 
Increased Overpayments Permitted (10% per annum)", IF(AND('SF Product Sheet'!X26="10%",'SF Product Sheet'!AM26=500, 'SF Product Sheet'!AO26="Yes"),"£500 Cashback 
Free Standard Valuation up to £500,000
Increased Overpayments Permitted (10% per annum)", IF(AND('SF Product Sheet'!X26="10%",'SF Product Sheet'!AM26=1000, 'SF Product Sheet'!AO26="Yes"),"£1000 Cashback 
Free Standard Valuation up to £500,000
Increased Overpayments Permitted (10% per annum)", IF(AND('SF Product Sheet'!X26="10%",'SF Product Sheet'!AM26=0, 'SF Product Sheet'!AO26="Yes"),"Free Standard Valuation up to £500,000
Increased Overpayments Permitted (10% per annum)", IF(AND('SF Product Sheet'!X26="",'SF Product Sheet'!AM26=0, 'SF Product Sheet'!AO26="No"),"N/A"))))))))</f>
        <v>Free Standard Valuation up to £500,000
Increased Overpayments Permitted (10% per annum)</v>
      </c>
    </row>
    <row r="31" spans="1:12" ht="38.25">
      <c r="A31" s="107" t="str">
        <f>CONCATENATE("Product Code", " ",
 'SF Product Sheet'!C27)</f>
        <v>Product Code JMSP097</v>
      </c>
      <c r="B31" s="106" t="str">
        <f>'SF Product Sheet'!A27</f>
        <v xml:space="preserve">2 Year Fixed Rate - Repayment </v>
      </c>
      <c r="C31" s="108" t="str">
        <f>CONCATENATE('SF Product Sheet'!E27, "%")</f>
        <v>2.80%</v>
      </c>
      <c r="D31" s="109">
        <f>IF('SF Product Sheet'!F27="","",'SF Product Sheet'!F27)</f>
        <v>45504</v>
      </c>
      <c r="E31" s="110" t="str">
        <f>IF('SF Product Sheet'!AA27="","",IF('SF Product Sheet'!AA27=1,"1% of amount repaid",IF('SF Product Sheet'!AA27=2,"2%, 1% of amount repaid",IF('SF Product Sheet'!AA27=3,"3%, 2%, 1% of amount repaid",IF('SF Product Sheet'!AA27=5,"5%, 4%, 3%, 2%, 1% of amount repaid")))))</f>
        <v>2%, 1% of amount repaid</v>
      </c>
      <c r="F31" s="111">
        <f>'SF Product Sheet'!AS27</f>
        <v>3.8</v>
      </c>
      <c r="G31" s="112">
        <f>'SF Product Sheet'!AR27</f>
        <v>85</v>
      </c>
      <c r="H31" s="113">
        <f>'SF Product Sheet'!AX27</f>
        <v>0</v>
      </c>
      <c r="I31" s="114">
        <f>'SF Product Sheet'!BA27</f>
        <v>0</v>
      </c>
      <c r="J31" s="115">
        <f>'SF Product Sheet'!AP27</f>
        <v>25000</v>
      </c>
      <c r="K31" s="116">
        <f>'SF Product Sheet'!AQ27</f>
        <v>750000</v>
      </c>
      <c r="L31" s="117" t="str">
        <f>IF(AND('SF Product Sheet'!X27="10%",'SF Product Sheet'!CB27="Yes"), "Increased Overpayments Permitted (10% per annum)
MIG Paid by NBS", IF(AND('SF Product Sheet'!X27="10%",'SF Product Sheet'!AM27=0, 'SF Product Sheet'!AO27="No"),"Increased Overpayments Permitted (10% per annum)",IF(AND('SF Product Sheet'!X27="10%",'SF Product Sheet'!AM27=500, 'SF Product Sheet'!AO27="No"),"£500 Cashback 
Increased Overpayments Permitted (10% per annum)",IF(AND('SF Product Sheet'!X27="10%",'SF Product Sheet'!AM27=1000, 'SF Product Sheet'!AO27="No"),"£1000 Cashback 
Increased Overpayments Permitted (10% per annum)", IF(AND('SF Product Sheet'!X27="10%",'SF Product Sheet'!AM27=500, 'SF Product Sheet'!AO27="Yes"),"£500 Cashback 
Free Standard Valuation up to £500,000
Increased Overpayments Permitted (10% per annum)", IF(AND('SF Product Sheet'!X27="10%",'SF Product Sheet'!AM27=1000, 'SF Product Sheet'!AO27="Yes"),"£1000 Cashback 
Free Standard Valuation up to £500,000
Increased Overpayments Permitted (10% per annum)", IF(AND('SF Product Sheet'!X27="10%",'SF Product Sheet'!AM27=0, 'SF Product Sheet'!AO27="Yes"),"Free Standard Valuation up to £500,000
Increased Overpayments Permitted (10% per annum)", IF(AND('SF Product Sheet'!X27="",'SF Product Sheet'!AM27=0, 'SF Product Sheet'!AO27="No"),"N/A"))))))))</f>
        <v>Free Standard Valuation up to £500,000
Increased Overpayments Permitted (10% per annum)</v>
      </c>
    </row>
    <row r="32" spans="1:12" ht="38.25">
      <c r="A32" s="107" t="str">
        <f>CONCATENATE("Product Code", " ",
 'SF Product Sheet'!C28)</f>
        <v>Product Code JMSP098</v>
      </c>
      <c r="B32" s="106" t="str">
        <f>'SF Product Sheet'!A28</f>
        <v xml:space="preserve">2 Year Fixed Rate - Repayment </v>
      </c>
      <c r="C32" s="108" t="str">
        <f>CONCATENATE('SF Product Sheet'!E28, "%")</f>
        <v>2.95%</v>
      </c>
      <c r="D32" s="109">
        <f>IF('SF Product Sheet'!F28="","",'SF Product Sheet'!F28)</f>
        <v>45504</v>
      </c>
      <c r="E32" s="110" t="str">
        <f>IF('SF Product Sheet'!AA28="","",IF('SF Product Sheet'!AA28=1,"1% of amount repaid",IF('SF Product Sheet'!AA28=2,"2%, 1% of amount repaid",IF('SF Product Sheet'!AA28=3,"3%, 2%, 1% of amount repaid",IF('SF Product Sheet'!AA28=5,"5%, 4%, 3%, 2%, 1% of amount repaid")))))</f>
        <v>2%, 1% of amount repaid</v>
      </c>
      <c r="F32" s="111">
        <f>'SF Product Sheet'!AS28</f>
        <v>3.8</v>
      </c>
      <c r="G32" s="112">
        <f>'SF Product Sheet'!AR28</f>
        <v>90</v>
      </c>
      <c r="H32" s="113">
        <f>'SF Product Sheet'!AX28</f>
        <v>0</v>
      </c>
      <c r="I32" s="114">
        <f>'SF Product Sheet'!BA28</f>
        <v>0</v>
      </c>
      <c r="J32" s="115">
        <f>'SF Product Sheet'!AP28</f>
        <v>25000</v>
      </c>
      <c r="K32" s="116">
        <f>'SF Product Sheet'!AQ28</f>
        <v>750000</v>
      </c>
      <c r="L32" s="117" t="str">
        <f>IF(AND('SF Product Sheet'!X28="10%",'SF Product Sheet'!CB28="Yes"), "Increased Overpayments Permitted (10% per annum)
MIG Paid by NBS", IF(AND('SF Product Sheet'!X28="10%",'SF Product Sheet'!AM28=0, 'SF Product Sheet'!AO28="No"),"Increased Overpayments Permitted (10% per annum)",IF(AND('SF Product Sheet'!X28="10%",'SF Product Sheet'!AM28=500, 'SF Product Sheet'!AO28="No"),"£500 Cashback 
Increased Overpayments Permitted (10% per annum)",IF(AND('SF Product Sheet'!X28="10%",'SF Product Sheet'!AM28=1000, 'SF Product Sheet'!AO28="No"),"£1000 Cashback 
Increased Overpayments Permitted (10% per annum)", IF(AND('SF Product Sheet'!X28="10%",'SF Product Sheet'!AM28=500, 'SF Product Sheet'!AO28="Yes"),"£500 Cashback 
Free Standard Valuation up to £500,000
Increased Overpayments Permitted (10% per annum)", IF(AND('SF Product Sheet'!X28="10%",'SF Product Sheet'!AM28=1000, 'SF Product Sheet'!AO28="Yes"),"£1000 Cashback 
Free Standard Valuation up to £500,000
Increased Overpayments Permitted (10% per annum)", IF(AND('SF Product Sheet'!X28="10%",'SF Product Sheet'!AM28=0, 'SF Product Sheet'!AO28="Yes"),"Free Standard Valuation up to £500,000
Increased Overpayments Permitted (10% per annum)", IF(AND('SF Product Sheet'!X28="",'SF Product Sheet'!AM28=0, 'SF Product Sheet'!AO28="No"),"N/A"))))))))</f>
        <v>Free Standard Valuation up to £500,000
Increased Overpayments Permitted (10% per annum)</v>
      </c>
    </row>
    <row r="33" spans="1:12" ht="38.25">
      <c r="A33" s="107" t="str">
        <f>CONCATENATE("Product Code", " ",
 'SF Product Sheet'!C29)</f>
        <v>Product Code JMSP099</v>
      </c>
      <c r="B33" s="106" t="str">
        <f>'SF Product Sheet'!A29</f>
        <v xml:space="preserve">2 Year Fixed Rate - Repayment </v>
      </c>
      <c r="C33" s="108" t="str">
        <f>CONCATENATE('SF Product Sheet'!E29, "%")</f>
        <v>3.05%</v>
      </c>
      <c r="D33" s="109">
        <f>IF('SF Product Sheet'!F29="","",'SF Product Sheet'!F29)</f>
        <v>45504</v>
      </c>
      <c r="E33" s="110" t="str">
        <f>IF('SF Product Sheet'!AA29="","",IF('SF Product Sheet'!AA29=1,"1% of amount repaid",IF('SF Product Sheet'!AA29=2,"2%, 1% of amount repaid",IF('SF Product Sheet'!AA29=3,"3%, 2%, 1% of amount repaid",IF('SF Product Sheet'!AA29=5,"5%, 4%, 3%, 2%, 1% of amount repaid")))))</f>
        <v>2%, 1% of amount repaid</v>
      </c>
      <c r="F33" s="111">
        <f>'SF Product Sheet'!AS29</f>
        <v>3.9</v>
      </c>
      <c r="G33" s="112">
        <f>'SF Product Sheet'!AR29</f>
        <v>95</v>
      </c>
      <c r="H33" s="113">
        <f>'SF Product Sheet'!AX29</f>
        <v>0</v>
      </c>
      <c r="I33" s="114">
        <f>'SF Product Sheet'!BA29</f>
        <v>0</v>
      </c>
      <c r="J33" s="115">
        <f>'SF Product Sheet'!AP29</f>
        <v>25000</v>
      </c>
      <c r="K33" s="116">
        <f>'SF Product Sheet'!AQ29</f>
        <v>500000</v>
      </c>
      <c r="L33" s="117" t="str">
        <f>IF(AND('SF Product Sheet'!X29="10%",'SF Product Sheet'!CB29="Yes"), "Increased Overpayments Permitted (10% per annum)
MIG Paid by NBS", IF(AND('SF Product Sheet'!X29="10%",'SF Product Sheet'!AM29=0, 'SF Product Sheet'!AO29="No"),"Increased Overpayments Permitted (10% per annum)",IF(AND('SF Product Sheet'!X29="10%",'SF Product Sheet'!AM29=500, 'SF Product Sheet'!AO29="No"),"£500 Cashback 
Increased Overpayments Permitted (10% per annum)",IF(AND('SF Product Sheet'!X29="10%",'SF Product Sheet'!AM29=1000, 'SF Product Sheet'!AO29="No"),"£1000 Cashback 
Increased Overpayments Permitted (10% per annum)", IF(AND('SF Product Sheet'!X29="10%",'SF Product Sheet'!AM29=500, 'SF Product Sheet'!AO29="Yes"),"£500 Cashback 
Free Standard Valuation up to £500,000
Increased Overpayments Permitted (10% per annum)", IF(AND('SF Product Sheet'!X29="10%",'SF Product Sheet'!AM29=1000, 'SF Product Sheet'!AO29="Yes"),"£1000 Cashback 
Free Standard Valuation up to £500,000
Increased Overpayments Permitted (10% per annum)", IF(AND('SF Product Sheet'!X29="10%",'SF Product Sheet'!AM29=0, 'SF Product Sheet'!AO29="Yes"),"Free Standard Valuation up to £500,000
Increased Overpayments Permitted (10% per annum)", IF(AND('SF Product Sheet'!X29="",'SF Product Sheet'!AM29=0, 'SF Product Sheet'!AO29="No"),"N/A"))))))))</f>
        <v>Free Standard Valuation up to £500,000
Increased Overpayments Permitted (10% per annum)</v>
      </c>
    </row>
    <row r="34" spans="1:12" ht="25.5">
      <c r="A34" s="107" t="str">
        <f>CONCATENATE("Product Code", " ",
 'SF Product Sheet'!C30)</f>
        <v>Product Code CON - EBTL528
BUS - EBTL529</v>
      </c>
      <c r="B34" s="106" t="str">
        <f>'SF Product Sheet'!A30</f>
        <v xml:space="preserve">2 Year Fixed Rate - Repayment &amp; Interest Only </v>
      </c>
      <c r="C34" s="108" t="str">
        <f>CONCATENATE('SF Product Sheet'!E30, "%")</f>
        <v>2.25%</v>
      </c>
      <c r="D34" s="109">
        <f>IF('SF Product Sheet'!F30="","",'SF Product Sheet'!F30)</f>
        <v>45565</v>
      </c>
      <c r="E34" s="110" t="str">
        <f>IF('SF Product Sheet'!AA30="","",IF('SF Product Sheet'!AA30=1,"1% of amount repaid",IF('SF Product Sheet'!AA30=2,"2%, 1% of amount repaid",IF('SF Product Sheet'!AA30=3,"3%, 2%, 1% of amount repaid",IF('SF Product Sheet'!AA30=5,"5%, 4%, 3%, 2%, 1% of amount repaid")))))</f>
        <v>2%, 1% of amount repaid</v>
      </c>
      <c r="F34" s="111">
        <f>'SF Product Sheet'!AS30</f>
        <v>3.7</v>
      </c>
      <c r="G34" s="112">
        <f>'SF Product Sheet'!AR30</f>
        <v>75</v>
      </c>
      <c r="H34" s="113">
        <f>'SF Product Sheet'!AX30</f>
        <v>0</v>
      </c>
      <c r="I34" s="114">
        <f>'SF Product Sheet'!BA30</f>
        <v>999</v>
      </c>
      <c r="J34" s="115">
        <f>'SF Product Sheet'!AP30</f>
        <v>50000</v>
      </c>
      <c r="K34" s="116">
        <f>'SF Product Sheet'!AQ30</f>
        <v>1000000</v>
      </c>
      <c r="L34" s="117" t="str">
        <f>IF(AND('SF Product Sheet'!X30="10%",'SF Product Sheet'!CB30="Yes"), "Increased Overpayments Permitted (10% per annum)
MIG Paid by NBS", IF(AND('SF Product Sheet'!X30="10%",'SF Product Sheet'!AM30=0, 'SF Product Sheet'!AO30="No"),"Increased Overpayments Permitted (10% per annum)",IF(AND('SF Product Sheet'!X30="10%",'SF Product Sheet'!AM30=500, 'SF Product Sheet'!AO30="No"),"£500 Cashback 
Increased Overpayments Permitted (10% per annum)",IF(AND('SF Product Sheet'!X30="10%",'SF Product Sheet'!AM30=1000, 'SF Product Sheet'!AO30="No"),"£1000 Cashback 
Increased Overpayments Permitted (10% per annum)", IF(AND('SF Product Sheet'!X30="10%",'SF Product Sheet'!AM30=500, 'SF Product Sheet'!AO30="Yes"),"£500 Cashback 
Free Standard Valuation up to £500,000
Increased Overpayments Permitted (10% per annum)", IF(AND('SF Product Sheet'!X30="10%",'SF Product Sheet'!AM30=1000, 'SF Product Sheet'!AO30="Yes"),"£1000 Cashback 
Free Standard Valuation up to £500,000
Increased Overpayments Permitted (10% per annum)", IF(AND('SF Product Sheet'!X30="10%",'SF Product Sheet'!AM30=0, 'SF Product Sheet'!AO30="Yes"),"Free Standard Valuation up to £500,000
Increased Overpayments Permitted (10% per annum)", IF(AND('SF Product Sheet'!X30="",'SF Product Sheet'!AM30=0, 'SF Product Sheet'!AO30="No"),"N/A"))))))))</f>
        <v>Increased Overpayments Permitted (10% per annum)</v>
      </c>
    </row>
    <row r="35" spans="1:12" ht="25.5">
      <c r="A35" s="107" t="str">
        <f>CONCATENATE("Product Code", " ",
 'SF Product Sheet'!C31)</f>
        <v>Product Code CON - EBTL530
BUS - EBTL527</v>
      </c>
      <c r="B35" s="106" t="str">
        <f>'SF Product Sheet'!A31</f>
        <v xml:space="preserve">2 Year Fixed Rate - Repayment &amp; Interest Only </v>
      </c>
      <c r="C35" s="108" t="str">
        <f>CONCATENATE('SF Product Sheet'!E31, "%")</f>
        <v>2.89%</v>
      </c>
      <c r="D35" s="109">
        <f>IF('SF Product Sheet'!F31="","",'SF Product Sheet'!F31)</f>
        <v>45565</v>
      </c>
      <c r="E35" s="110" t="str">
        <f>IF('SF Product Sheet'!AA31="","",IF('SF Product Sheet'!AA31=1,"1% of amount repaid",IF('SF Product Sheet'!AA31=2,"2%, 1% of amount repaid",IF('SF Product Sheet'!AA31=3,"3%, 2%, 1% of amount repaid",IF('SF Product Sheet'!AA31=5,"5%, 4%, 3%, 2%, 1% of amount repaid")))))</f>
        <v>2%, 1% of amount repaid</v>
      </c>
      <c r="F35" s="111">
        <f>'SF Product Sheet'!AS31</f>
        <v>3.9</v>
      </c>
      <c r="G35" s="112">
        <f>'SF Product Sheet'!AR31</f>
        <v>80</v>
      </c>
      <c r="H35" s="113">
        <f>'SF Product Sheet'!AX31</f>
        <v>0</v>
      </c>
      <c r="I35" s="114">
        <f>'SF Product Sheet'!BA31</f>
        <v>999</v>
      </c>
      <c r="J35" s="115">
        <f>'SF Product Sheet'!AP31</f>
        <v>50000</v>
      </c>
      <c r="K35" s="116">
        <f>'SF Product Sheet'!AQ31</f>
        <v>500000</v>
      </c>
      <c r="L35" s="117" t="str">
        <f>IF(AND('SF Product Sheet'!X31="10%",'SF Product Sheet'!CB31="Yes"), "Increased Overpayments Permitted (10% per annum)
MIG Paid by NBS", IF(AND('SF Product Sheet'!X31="10%",'SF Product Sheet'!AM31=0, 'SF Product Sheet'!AO31="No"),"Increased Overpayments Permitted (10% per annum)",IF(AND('SF Product Sheet'!X31="10%",'SF Product Sheet'!AM31=500, 'SF Product Sheet'!AO31="No"),"£500 Cashback 
Increased Overpayments Permitted (10% per annum)",IF(AND('SF Product Sheet'!X31="10%",'SF Product Sheet'!AM31=1000, 'SF Product Sheet'!AO31="No"),"£1000 Cashback 
Increased Overpayments Permitted (10% per annum)", IF(AND('SF Product Sheet'!X31="10%",'SF Product Sheet'!AM31=500, 'SF Product Sheet'!AO31="Yes"),"£500 Cashback 
Free Standard Valuation up to £500,000
Increased Overpayments Permitted (10% per annum)", IF(AND('SF Product Sheet'!X31="10%",'SF Product Sheet'!AM31=1000, 'SF Product Sheet'!AO31="Yes"),"£1000 Cashback 
Free Standard Valuation up to £500,000
Increased Overpayments Permitted (10% per annum)", IF(AND('SF Product Sheet'!X31="10%",'SF Product Sheet'!AM31=0, 'SF Product Sheet'!AO31="Yes"),"Free Standard Valuation up to £500,000
Increased Overpayments Permitted (10% per annum)", IF(AND('SF Product Sheet'!X31="",'SF Product Sheet'!AM31=0, 'SF Product Sheet'!AO31="No"),"N/A"))))))))</f>
        <v>Increased Overpayments Permitted (10% per annum)</v>
      </c>
    </row>
    <row r="36" spans="1:12" ht="63.75">
      <c r="A36" s="107" t="str">
        <f>CONCATENATE("Product Code", " ",
 'SF Product Sheet'!C32)</f>
        <v>Product Code CON - EBTL526
BUS - EBTL531</v>
      </c>
      <c r="B36" s="106" t="str">
        <f>'SF Product Sheet'!A32</f>
        <v>5 Year Fixed Rate - Repayment &amp; Interest Only</v>
      </c>
      <c r="C36" s="108" t="str">
        <f>CONCATENATE('SF Product Sheet'!E32, "%")</f>
        <v>2.45%</v>
      </c>
      <c r="D36" s="109">
        <f>IF('SF Product Sheet'!F32="","",'SF Product Sheet'!F32)</f>
        <v>46660</v>
      </c>
      <c r="E36" s="110" t="str">
        <f>IF('SF Product Sheet'!AA32="","",IF('SF Product Sheet'!AA32=1,"1% of amount repaid",IF('SF Product Sheet'!AA32=2,"2%, 1% of amount repaid",IF('SF Product Sheet'!AA32=3,"3%, 2%, 1% of amount repaid",IF('SF Product Sheet'!AA32=5,"5%, 4%, 3%, 2%, 1% of amount repaid")))))</f>
        <v>5%, 4%, 3%, 2%, 1% of amount repaid</v>
      </c>
      <c r="F36" s="111">
        <f>'SF Product Sheet'!AS32</f>
        <v>3.3</v>
      </c>
      <c r="G36" s="112">
        <f>'SF Product Sheet'!AR32</f>
        <v>75</v>
      </c>
      <c r="H36" s="113">
        <f>'SF Product Sheet'!AX32</f>
        <v>0</v>
      </c>
      <c r="I36" s="114">
        <f>'SF Product Sheet'!BA32</f>
        <v>0</v>
      </c>
      <c r="J36" s="115">
        <f>'SF Product Sheet'!AP32</f>
        <v>50000</v>
      </c>
      <c r="K36" s="116">
        <f>'SF Product Sheet'!AQ32</f>
        <v>1000000</v>
      </c>
      <c r="L36" s="117" t="str">
        <f>IF(AND('SF Product Sheet'!X32="10%",'SF Product Sheet'!CB32="Yes"), "Increased Overpayments Permitted (10% per annum)
MIG Paid by NBS", IF(AND('SF Product Sheet'!X32="10%",'SF Product Sheet'!AM32=0, 'SF Product Sheet'!AO32="No"),"Increased Overpayments Permitted (10% per annum)",IF(AND('SF Product Sheet'!X32="10%",'SF Product Sheet'!AM32=500, 'SF Product Sheet'!AO32="No"),"£500 Cashback 
Increased Overpayments Permitted (10% per annum)",IF(AND('SF Product Sheet'!X32="10%",'SF Product Sheet'!AM32=1000, 'SF Product Sheet'!AO32="No"),"£1000 Cashback 
Increased Overpayments Permitted (10% per annum)", IF(AND('SF Product Sheet'!X32="10%",'SF Product Sheet'!AM32=500, 'SF Product Sheet'!AO32="Yes"),"£500 Cashback 
Free Standard Valuation up to £500,000
Increased Overpayments Permitted (10% per annum)", IF(AND('SF Product Sheet'!X32="10%",'SF Product Sheet'!AM32=1000, 'SF Product Sheet'!AO32="Yes"),"£1000 Cashback 
Free Standard Valuation up to £500,000
Increased Overpayments Permitted (10% per annum)", IF(AND('SF Product Sheet'!X32="10%",'SF Product Sheet'!AM32=0, 'SF Product Sheet'!AO32="Yes"),"Free Standard Valuation up to £500,000
Increased Overpayments Permitted (10% per annum)", IF(AND('SF Product Sheet'!X32="",'SF Product Sheet'!AM32=0, 'SF Product Sheet'!AO32="No"),"N/A"))))))))</f>
        <v>£500 Cashback 
Free Standard Valuation up to £500,000
Increased Overpayments Permitted (10% per annum)</v>
      </c>
    </row>
    <row r="37" spans="1:12" ht="25.5">
      <c r="A37" s="107" t="str">
        <f>CONCATENATE("Product Code", " ",
 'SF Product Sheet'!C33)</f>
        <v>Product Code CON - EBTL532
BUS - EBTL525</v>
      </c>
      <c r="B37" s="106" t="str">
        <f>'SF Product Sheet'!A33</f>
        <v>5 Year Fixed Rate - Repayment &amp; Interest Only</v>
      </c>
      <c r="C37" s="108" t="str">
        <f>CONCATENATE('SF Product Sheet'!E33, "%")</f>
        <v>3.09%</v>
      </c>
      <c r="D37" s="109">
        <f>IF('SF Product Sheet'!F33="","",'SF Product Sheet'!F33)</f>
        <v>46660</v>
      </c>
      <c r="E37" s="110" t="str">
        <f>IF('SF Product Sheet'!AA33="","",IF('SF Product Sheet'!AA33=1,"1% of amount repaid",IF('SF Product Sheet'!AA33=2,"2%, 1% of amount repaid",IF('SF Product Sheet'!AA33=3,"3%, 2%, 1% of amount repaid",IF('SF Product Sheet'!AA33=5,"5%, 4%, 3%, 2%, 1% of amount repaid")))))</f>
        <v>5%, 4%, 3%, 2%, 1% of amount repaid</v>
      </c>
      <c r="F37" s="111">
        <f>'SF Product Sheet'!AS33</f>
        <v>3.7</v>
      </c>
      <c r="G37" s="112">
        <f>'SF Product Sheet'!AR33</f>
        <v>80</v>
      </c>
      <c r="H37" s="113">
        <f>'SF Product Sheet'!AX33</f>
        <v>0</v>
      </c>
      <c r="I37" s="114">
        <f>'SF Product Sheet'!BA33</f>
        <v>999</v>
      </c>
      <c r="J37" s="115">
        <f>'SF Product Sheet'!AP33</f>
        <v>50000</v>
      </c>
      <c r="K37" s="116">
        <f>'SF Product Sheet'!AQ33</f>
        <v>500000</v>
      </c>
      <c r="L37" s="117" t="str">
        <f>IF(AND('SF Product Sheet'!X33="10%",'SF Product Sheet'!CB33="Yes"), "Increased Overpayments Permitted (10% per annum)
MIG Paid by NBS", IF(AND('SF Product Sheet'!X33="10%",'SF Product Sheet'!AM33=0, 'SF Product Sheet'!AO33="No"),"Increased Overpayments Permitted (10% per annum)",IF(AND('SF Product Sheet'!X33="10%",'SF Product Sheet'!AM33=500, 'SF Product Sheet'!AO33="No"),"£500 Cashback 
Increased Overpayments Permitted (10% per annum)",IF(AND('SF Product Sheet'!X33="10%",'SF Product Sheet'!AM33=1000, 'SF Product Sheet'!AO33="No"),"£1000 Cashback 
Increased Overpayments Permitted (10% per annum)", IF(AND('SF Product Sheet'!X33="10%",'SF Product Sheet'!AM33=500, 'SF Product Sheet'!AO33="Yes"),"£500 Cashback 
Free Standard Valuation up to £500,000
Increased Overpayments Permitted (10% per annum)", IF(AND('SF Product Sheet'!X33="10%",'SF Product Sheet'!AM33=1000, 'SF Product Sheet'!AO33="Yes"),"£1000 Cashback 
Free Standard Valuation up to £500,000
Increased Overpayments Permitted (10% per annum)", IF(AND('SF Product Sheet'!X33="10%",'SF Product Sheet'!AM33=0, 'SF Product Sheet'!AO33="Yes"),"Free Standard Valuation up to £500,000
Increased Overpayments Permitted (10% per annum)", IF(AND('SF Product Sheet'!X33="",'SF Product Sheet'!AM33=0, 'SF Product Sheet'!AO33="No"),"N/A"))))))))</f>
        <v>Increased Overpayments Permitted (10% per annum)</v>
      </c>
    </row>
    <row r="38" spans="1:12" ht="63.75">
      <c r="A38" s="107" t="str">
        <f>CONCATENATE("Product Code", " ",
 'SF Product Sheet'!C34)</f>
        <v>Product Code EFII138</v>
      </c>
      <c r="B38" s="106" t="str">
        <f>'SF Product Sheet'!A34</f>
        <v xml:space="preserve">2 Year Fixed Rate - Repayment </v>
      </c>
      <c r="C38" s="108" t="str">
        <f>CONCATENATE('SF Product Sheet'!E34, "%")</f>
        <v>2.8%</v>
      </c>
      <c r="D38" s="109">
        <f>IF('SF Product Sheet'!F34="","",'SF Product Sheet'!F34)</f>
        <v>45504</v>
      </c>
      <c r="E38" s="110" t="str">
        <f>IF('SF Product Sheet'!AA34="","",IF('SF Product Sheet'!AA34=1,"1% of amount repaid",IF('SF Product Sheet'!AA34=2,"2%, 1% of amount repaid",IF('SF Product Sheet'!AA34=3,"3%, 2%, 1% of amount repaid",IF('SF Product Sheet'!AA34=5,"5%, 4%, 3%, 2%, 1% of amount repaid")))))</f>
        <v>2%, 1% of amount repaid</v>
      </c>
      <c r="F38" s="111">
        <f>'SF Product Sheet'!AS34</f>
        <v>3.8</v>
      </c>
      <c r="G38" s="112">
        <f>'SF Product Sheet'!AR34</f>
        <v>75</v>
      </c>
      <c r="H38" s="113">
        <f>'SF Product Sheet'!AX34</f>
        <v>0</v>
      </c>
      <c r="I38" s="114">
        <f>'SF Product Sheet'!BA34</f>
        <v>0</v>
      </c>
      <c r="J38" s="115">
        <f>'SF Product Sheet'!AP34</f>
        <v>50000</v>
      </c>
      <c r="K38" s="116">
        <f>'SF Product Sheet'!AQ34</f>
        <v>450000</v>
      </c>
      <c r="L38" s="117" t="str">
        <f>IF(AND('SF Product Sheet'!X34="10%",'SF Product Sheet'!CB34="Yes"), "Increased Overpayments Permitted (10% per annum)
MIG Paid by NBS", IF(AND('SF Product Sheet'!X34="10%",'SF Product Sheet'!AM34=0, 'SF Product Sheet'!AO34="No"),"Increased Overpayments Permitted (10% per annum)",IF(AND('SF Product Sheet'!X34="10%",'SF Product Sheet'!AM34=500, 'SF Product Sheet'!AO34="No"),"£500 Cashback 
Increased Overpayments Permitted (10% per annum)",IF(AND('SF Product Sheet'!X34="10%",'SF Product Sheet'!AM34=1000, 'SF Product Sheet'!AO34="No"),"£1000 Cashback 
Increased Overpayments Permitted (10% per annum)", IF(AND('SF Product Sheet'!X34="10%",'SF Product Sheet'!AM34=500, 'SF Product Sheet'!AO34="Yes"),"£500 Cashback 
Free Standard Valuation up to £500,000
Increased Overpayments Permitted (10% per annum)", IF(AND('SF Product Sheet'!X34="10%",'SF Product Sheet'!AM34=1000, 'SF Product Sheet'!AO34="Yes"),"£1000 Cashback 
Free Standard Valuation up to £500,000
Increased Overpayments Permitted (10% per annum)", IF(AND('SF Product Sheet'!X34="10%",'SF Product Sheet'!AM34=0, 'SF Product Sheet'!AO34="Yes"),"Free Standard Valuation up to £500,000
Increased Overpayments Permitted (10% per annum)", IF(AND('SF Product Sheet'!X34="",'SF Product Sheet'!AM34=0, 'SF Product Sheet'!AO34="No"),"N/A"))))))))</f>
        <v>£500 Cashback 
Free Standard Valuation up to £500,000
Increased Overpayments Permitted (10% per annum)</v>
      </c>
    </row>
    <row r="39" spans="1:12" ht="63.75">
      <c r="A39" s="107" t="str">
        <f>CONCATENATE("Product Code", " ",
 'SF Product Sheet'!C35)</f>
        <v>Product Code EFII139</v>
      </c>
      <c r="B39" s="106" t="str">
        <f>'SF Product Sheet'!A35</f>
        <v>2 Year Fixed Rate  - Help to Buy (Remortgage Only)</v>
      </c>
      <c r="C39" s="108" t="str">
        <f>CONCATENATE('SF Product Sheet'!E35, "%")</f>
        <v>3.55%</v>
      </c>
      <c r="D39" s="109">
        <f>IF('SF Product Sheet'!F35="","",'SF Product Sheet'!F35)</f>
        <v>45504</v>
      </c>
      <c r="E39" s="110" t="str">
        <f>IF('SF Product Sheet'!AA35="","",IF('SF Product Sheet'!AA35=1,"1% of amount repaid",IF('SF Product Sheet'!AA35=2,"2%, 1% of amount repaid",IF('SF Product Sheet'!AA35=3,"3%, 2%, 1% of amount repaid",IF('SF Product Sheet'!AA35=5,"5%, 4%, 3%, 2%, 1% of amount repaid")))))</f>
        <v>2%, 1% of amount repaid</v>
      </c>
      <c r="F39" s="111">
        <f>'SF Product Sheet'!AS35</f>
        <v>4</v>
      </c>
      <c r="G39" s="112">
        <f>'SF Product Sheet'!AR35</f>
        <v>95</v>
      </c>
      <c r="H39" s="113">
        <f>'SF Product Sheet'!AX35</f>
        <v>0</v>
      </c>
      <c r="I39" s="114">
        <f>'SF Product Sheet'!BA35</f>
        <v>0</v>
      </c>
      <c r="J39" s="115">
        <f>'SF Product Sheet'!AP35</f>
        <v>50000</v>
      </c>
      <c r="K39" s="116">
        <f>'SF Product Sheet'!AQ35</f>
        <v>450000</v>
      </c>
      <c r="L39" s="117" t="str">
        <f>IF(AND('SF Product Sheet'!X35="10%",'SF Product Sheet'!CB35="Yes"), "Increased Overpayments Permitted (10% per annum)
MIG Paid by NBS", IF(AND('SF Product Sheet'!X35="10%",'SF Product Sheet'!AM35=0, 'SF Product Sheet'!AO35="No"),"Increased Overpayments Permitted (10% per annum)",IF(AND('SF Product Sheet'!X35="10%",'SF Product Sheet'!AM35=500, 'SF Product Sheet'!AO35="No"),"£500 Cashback 
Increased Overpayments Permitted (10% per annum)",IF(AND('SF Product Sheet'!X35="10%",'SF Product Sheet'!AM35=1000, 'SF Product Sheet'!AO35="No"),"£1000 Cashback 
Increased Overpayments Permitted (10% per annum)", IF(AND('SF Product Sheet'!X35="10%",'SF Product Sheet'!AM35=500, 'SF Product Sheet'!AO35="Yes"),"£500 Cashback 
Free Standard Valuation up to £500,000
Increased Overpayments Permitted (10% per annum)", IF(AND('SF Product Sheet'!X35="10%",'SF Product Sheet'!AM35=1000, 'SF Product Sheet'!AO35="Yes"),"£1000 Cashback 
Free Standard Valuation up to £500,000
Increased Overpayments Permitted (10% per annum)", IF(AND('SF Product Sheet'!X35="10%",'SF Product Sheet'!AM35=0, 'SF Product Sheet'!AO35="Yes"),"Free Standard Valuation up to £500,000
Increased Overpayments Permitted (10% per annum)", IF(AND('SF Product Sheet'!X35="",'SF Product Sheet'!AM35=0, 'SF Product Sheet'!AO35="No"),"N/A"))))))))</f>
        <v>£1000 Cashback 
Free Standard Valuation up to £500,000
Increased Overpayments Permitted (10% per annum)</v>
      </c>
    </row>
    <row r="40" spans="1:12">
      <c r="A40" s="107" t="str">
        <f>CONCATENATE("Product Code", " ",
 'SF Product Sheet'!C36)</f>
        <v>Product Code EDIS153</v>
      </c>
      <c r="B40" s="106" t="str">
        <f>'SF Product Sheet'!A36</f>
        <v xml:space="preserve">2 Year Discounted Rate - Repayment &amp; Interest Only </v>
      </c>
      <c r="C40" s="108" t="str">
        <f>CONCATENATE('SF Product Sheet'!E36, "%")</f>
        <v>1.75%</v>
      </c>
      <c r="D40" s="109">
        <f>IF('SF Product Sheet'!F36="","",'SF Product Sheet'!F36)</f>
        <v>45351</v>
      </c>
      <c r="E40" s="110" t="str">
        <f>IF('SF Product Sheet'!AA36="","",IF('SF Product Sheet'!AA36=1,"1% of amount repaid",IF('SF Product Sheet'!AA36=2,"2%, 1% of amount repaid",IF('SF Product Sheet'!AA36=3,"3%, 2%, 1% of amount repaid",IF('SF Product Sheet'!AA36=5,"5%, 4%, 3%, 2%, 1% of amount repaid")))))</f>
        <v>2%, 1% of amount repaid</v>
      </c>
      <c r="F40" s="111">
        <f>'SF Product Sheet'!AS36</f>
        <v>3.6</v>
      </c>
      <c r="G40" s="112">
        <f>'SF Product Sheet'!AR36</f>
        <v>65</v>
      </c>
      <c r="H40" s="113">
        <f>'SF Product Sheet'!AX36</f>
        <v>0</v>
      </c>
      <c r="I40" s="114">
        <f>'SF Product Sheet'!BA36</f>
        <v>1499</v>
      </c>
      <c r="J40" s="115">
        <f>'SF Product Sheet'!AP36</f>
        <v>1500001</v>
      </c>
      <c r="K40" s="116">
        <f>'SF Product Sheet'!AQ36</f>
        <v>2000000</v>
      </c>
      <c r="L40" s="117" t="str">
        <f>IF(AND('SF Product Sheet'!X36="10%",'SF Product Sheet'!CB36="Yes"), "Increased Overpayments Permitted (10% per annum)
MIG Paid by NBS", IF(AND('SF Product Sheet'!X36="10%",'SF Product Sheet'!AM36=0, 'SF Product Sheet'!AO36="No"),"Increased Overpayments Permitted (10% per annum)",IF(AND('SF Product Sheet'!X36="10%",'SF Product Sheet'!AM36=500, 'SF Product Sheet'!AO36="No"),"£500 Cashback 
Increased Overpayments Permitted (10% per annum)",IF(AND('SF Product Sheet'!X36="10%",'SF Product Sheet'!AM36=1000, 'SF Product Sheet'!AO36="No"),"£1000 Cashback 
Increased Overpayments Permitted (10% per annum)", IF(AND('SF Product Sheet'!X36="10%",'SF Product Sheet'!AM36=500, 'SF Product Sheet'!AO36="Yes"),"£500 Cashback 
Free Standard Valuation up to £500,000
Increased Overpayments Permitted (10% per annum)", IF(AND('SF Product Sheet'!X36="10%",'SF Product Sheet'!AM36=1000, 'SF Product Sheet'!AO36="Yes"),"£1000 Cashback 
Free Standard Valuation up to £500,000
Increased Overpayments Permitted (10% per annum)", IF(AND('SF Product Sheet'!X36="10%",'SF Product Sheet'!AM36=0, 'SF Product Sheet'!AO36="Yes"),"Free Standard Valuation up to £500,000
Increased Overpayments Permitted (10% per annum)", IF(AND('SF Product Sheet'!X36="",'SF Product Sheet'!AM36=0, 'SF Product Sheet'!AO36="No"),"N/A"))))))))</f>
        <v>Increased Overpayments Permitted (10% per annum)</v>
      </c>
    </row>
    <row r="41" spans="1:12">
      <c r="A41" s="107" t="str">
        <f>CONCATENATE("Product Code", " ",
 'SF Product Sheet'!C37)</f>
        <v>Product Code EDIS154</v>
      </c>
      <c r="B41" s="106" t="str">
        <f>'SF Product Sheet'!A37</f>
        <v xml:space="preserve">2 Year Discounted Rate - Repayment &amp; Interest Only </v>
      </c>
      <c r="C41" s="108" t="str">
        <f>CONCATENATE('SF Product Sheet'!E37, "%")</f>
        <v>1.9%</v>
      </c>
      <c r="D41" s="109">
        <f>IF('SF Product Sheet'!F37="","",'SF Product Sheet'!F37)</f>
        <v>45351</v>
      </c>
      <c r="E41" s="110" t="str">
        <f>IF('SF Product Sheet'!AA37="","",IF('SF Product Sheet'!AA37=1,"1% of amount repaid",IF('SF Product Sheet'!AA37=2,"2%, 1% of amount repaid",IF('SF Product Sheet'!AA37=3,"3%, 2%, 1% of amount repaid",IF('SF Product Sheet'!AA37=5,"5%, 4%, 3%, 2%, 1% of amount repaid")))))</f>
        <v>2%, 1% of amount repaid</v>
      </c>
      <c r="F41" s="111">
        <f>'SF Product Sheet'!AS37</f>
        <v>3.6</v>
      </c>
      <c r="G41" s="112">
        <f>'SF Product Sheet'!AR37</f>
        <v>75</v>
      </c>
      <c r="H41" s="113">
        <f>'SF Product Sheet'!AX37</f>
        <v>0</v>
      </c>
      <c r="I41" s="114">
        <f>'SF Product Sheet'!BA37</f>
        <v>1499</v>
      </c>
      <c r="J41" s="115">
        <f>'SF Product Sheet'!AP37</f>
        <v>1000001</v>
      </c>
      <c r="K41" s="116">
        <f>'SF Product Sheet'!AQ37</f>
        <v>1500000</v>
      </c>
      <c r="L41" s="117" t="str">
        <f>IF(AND('SF Product Sheet'!X37="10%",'SF Product Sheet'!CB37="Yes"), "Increased Overpayments Permitted (10% per annum)
MIG Paid by NBS", IF(AND('SF Product Sheet'!X37="10%",'SF Product Sheet'!AM37=0, 'SF Product Sheet'!AO37="No"),"Increased Overpayments Permitted (10% per annum)",IF(AND('SF Product Sheet'!X37="10%",'SF Product Sheet'!AM37=500, 'SF Product Sheet'!AO37="No"),"£500 Cashback 
Increased Overpayments Permitted (10% per annum)",IF(AND('SF Product Sheet'!X37="10%",'SF Product Sheet'!AM37=1000, 'SF Product Sheet'!AO37="No"),"£1000 Cashback 
Increased Overpayments Permitted (10% per annum)", IF(AND('SF Product Sheet'!X37="10%",'SF Product Sheet'!AM37=500, 'SF Product Sheet'!AO37="Yes"),"£500 Cashback 
Free Standard Valuation up to £500,000
Increased Overpayments Permitted (10% per annum)", IF(AND('SF Product Sheet'!X37="10%",'SF Product Sheet'!AM37=1000, 'SF Product Sheet'!AO37="Yes"),"£1000 Cashback 
Free Standard Valuation up to £500,000
Increased Overpayments Permitted (10% per annum)", IF(AND('SF Product Sheet'!X37="10%",'SF Product Sheet'!AM37=0, 'SF Product Sheet'!AO37="Yes"),"Free Standard Valuation up to £500,000
Increased Overpayments Permitted (10% per annum)", IF(AND('SF Product Sheet'!X37="",'SF Product Sheet'!AM37=0, 'SF Product Sheet'!AO37="No"),"N/A"))))))))</f>
        <v>Increased Overpayments Permitted (10% per annum)</v>
      </c>
    </row>
    <row r="42" spans="1:12">
      <c r="A42" s="107" t="str">
        <f>CONCATENATE("Product Code", " ",
 'SF Product Sheet'!C38)</f>
        <v>Product Code EDIS155</v>
      </c>
      <c r="B42" s="106" t="str">
        <f>'SF Product Sheet'!A38</f>
        <v xml:space="preserve">2 Year Discounted Rate - Repayment &amp; Interest Only  </v>
      </c>
      <c r="C42" s="108" t="str">
        <f>CONCATENATE('SF Product Sheet'!E38, "%")</f>
        <v>2.00%</v>
      </c>
      <c r="D42" s="109">
        <f>IF('SF Product Sheet'!F38="","",'SF Product Sheet'!F38)</f>
        <v>45351</v>
      </c>
      <c r="E42" s="110" t="str">
        <f>IF('SF Product Sheet'!AA38="","",IF('SF Product Sheet'!AA38=1,"1% of amount repaid",IF('SF Product Sheet'!AA38=2,"2%, 1% of amount repaid",IF('SF Product Sheet'!AA38=3,"3%, 2%, 1% of amount repaid",IF('SF Product Sheet'!AA38=5,"5%, 4%, 3%, 2%, 1% of amount repaid")))))</f>
        <v>2%, 1% of amount repaid</v>
      </c>
      <c r="F42" s="111">
        <f>'SF Product Sheet'!AS38</f>
        <v>3.7</v>
      </c>
      <c r="G42" s="112">
        <f>'SF Product Sheet'!AR38</f>
        <v>80</v>
      </c>
      <c r="H42" s="113">
        <f>'SF Product Sheet'!AX38</f>
        <v>0</v>
      </c>
      <c r="I42" s="114">
        <f>'SF Product Sheet'!BA38</f>
        <v>1499</v>
      </c>
      <c r="J42" s="115">
        <f>'SF Product Sheet'!AP38</f>
        <v>500001</v>
      </c>
      <c r="K42" s="116">
        <f>'SF Product Sheet'!AQ38</f>
        <v>1000000</v>
      </c>
      <c r="L42" s="117" t="str">
        <f>IF(AND('SF Product Sheet'!X38="10%",'SF Product Sheet'!CB38="Yes"), "Increased Overpayments Permitted (10% per annum)
MIG Paid by NBS", IF(AND('SF Product Sheet'!X38="10%",'SF Product Sheet'!AM38=0, 'SF Product Sheet'!AO38="No"),"Increased Overpayments Permitted (10% per annum)",IF(AND('SF Product Sheet'!X38="10%",'SF Product Sheet'!AM38=500, 'SF Product Sheet'!AO38="No"),"£500 Cashback 
Increased Overpayments Permitted (10% per annum)",IF(AND('SF Product Sheet'!X38="10%",'SF Product Sheet'!AM38=1000, 'SF Product Sheet'!AO38="No"),"£1000 Cashback 
Increased Overpayments Permitted (10% per annum)", IF(AND('SF Product Sheet'!X38="10%",'SF Product Sheet'!AM38=500, 'SF Product Sheet'!AO38="Yes"),"£500 Cashback 
Free Standard Valuation up to £500,000
Increased Overpayments Permitted (10% per annum)", IF(AND('SF Product Sheet'!X38="10%",'SF Product Sheet'!AM38=1000, 'SF Product Sheet'!AO38="Yes"),"£1000 Cashback 
Free Standard Valuation up to £500,000
Increased Overpayments Permitted (10% per annum)", IF(AND('SF Product Sheet'!X38="10%",'SF Product Sheet'!AM38=0, 'SF Product Sheet'!AO38="Yes"),"Free Standard Valuation up to £500,000
Increased Overpayments Permitted (10% per annum)", IF(AND('SF Product Sheet'!X38="",'SF Product Sheet'!AM38=0, 'SF Product Sheet'!AO38="No"),"N/A"))))))))</f>
        <v>Increased Overpayments Permitted (10% per annum)</v>
      </c>
    </row>
    <row r="43" spans="1:12">
      <c r="A43" s="107" t="str">
        <f>CONCATENATE("Product Code", " ",
 'SF Product Sheet'!C39)</f>
        <v>Product Code EFII082</v>
      </c>
      <c r="B43" s="106" t="str">
        <f>'SF Product Sheet'!A39</f>
        <v xml:space="preserve">2 Year Fixed Rate - Repayment &amp; Interest Only </v>
      </c>
      <c r="C43" s="108" t="str">
        <f>CONCATENATE('SF Product Sheet'!E39, "%")</f>
        <v>2.39%</v>
      </c>
      <c r="D43" s="109">
        <f>IF('SF Product Sheet'!F39="","",'SF Product Sheet'!F39)</f>
        <v>45351</v>
      </c>
      <c r="E43" s="110" t="str">
        <f>IF('SF Product Sheet'!AA39="","",IF('SF Product Sheet'!AA39=1,"1% of amount repaid",IF('SF Product Sheet'!AA39=2,"2%, 1% of amount repaid",IF('SF Product Sheet'!AA39=3,"3%, 2%, 1% of amount repaid",IF('SF Product Sheet'!AA39=5,"5%, 4%, 3%, 2%, 1% of amount repaid")))))</f>
        <v>2%, 1% of amount repaid</v>
      </c>
      <c r="F43" s="111">
        <f>'SF Product Sheet'!AS39</f>
        <v>3.7</v>
      </c>
      <c r="G43" s="112">
        <f>'SF Product Sheet'!AR39</f>
        <v>65</v>
      </c>
      <c r="H43" s="113">
        <f>'SF Product Sheet'!AX39</f>
        <v>0</v>
      </c>
      <c r="I43" s="114">
        <f>'SF Product Sheet'!BA39</f>
        <v>1499</v>
      </c>
      <c r="J43" s="115">
        <f>'SF Product Sheet'!AP39</f>
        <v>1500001</v>
      </c>
      <c r="K43" s="116">
        <f>'SF Product Sheet'!AQ39</f>
        <v>2000000</v>
      </c>
      <c r="L43" s="117" t="str">
        <f>IF(AND('SF Product Sheet'!X39="10%",'SF Product Sheet'!CB39="Yes"), "Increased Overpayments Permitted (10% per annum)
MIG Paid by NBS", IF(AND('SF Product Sheet'!X39="10%",'SF Product Sheet'!AM39=0, 'SF Product Sheet'!AO39="No"),"Increased Overpayments Permitted (10% per annum)",IF(AND('SF Product Sheet'!X39="10%",'SF Product Sheet'!AM39=500, 'SF Product Sheet'!AO39="No"),"£500 Cashback 
Increased Overpayments Permitted (10% per annum)",IF(AND('SF Product Sheet'!X39="10%",'SF Product Sheet'!AM39=1000, 'SF Product Sheet'!AO39="No"),"£1000 Cashback 
Increased Overpayments Permitted (10% per annum)", IF(AND('SF Product Sheet'!X39="10%",'SF Product Sheet'!AM39=500, 'SF Product Sheet'!AO39="Yes"),"£500 Cashback 
Free Standard Valuation up to £500,000
Increased Overpayments Permitted (10% per annum)", IF(AND('SF Product Sheet'!X39="10%",'SF Product Sheet'!AM39=1000, 'SF Product Sheet'!AO39="Yes"),"£1000 Cashback 
Free Standard Valuation up to £500,000
Increased Overpayments Permitted (10% per annum)", IF(AND('SF Product Sheet'!X39="10%",'SF Product Sheet'!AM39=0, 'SF Product Sheet'!AO39="Yes"),"Free Standard Valuation up to £500,000
Increased Overpayments Permitted (10% per annum)", IF(AND('SF Product Sheet'!X39="",'SF Product Sheet'!AM39=0, 'SF Product Sheet'!AO39="No"),"N/A"))))))))</f>
        <v>Increased Overpayments Permitted (10% per annum)</v>
      </c>
    </row>
    <row r="44" spans="1:12">
      <c r="A44" s="107" t="str">
        <f>CONCATENATE("Product Code", " ",
 'SF Product Sheet'!C40)</f>
        <v>Product Code EFII081</v>
      </c>
      <c r="B44" s="106" t="str">
        <f>'SF Product Sheet'!A40</f>
        <v xml:space="preserve">2 Year Fixed Rate - Repayment &amp; Interest Only </v>
      </c>
      <c r="C44" s="108" t="str">
        <f>CONCATENATE('SF Product Sheet'!E40, "%")</f>
        <v>2.40%</v>
      </c>
      <c r="D44" s="109">
        <f>IF('SF Product Sheet'!F40="","",'SF Product Sheet'!F40)</f>
        <v>45351</v>
      </c>
      <c r="E44" s="110" t="str">
        <f>IF('SF Product Sheet'!AA40="","",IF('SF Product Sheet'!AA40=1,"1% of amount repaid",IF('SF Product Sheet'!AA40=2,"2%, 1% of amount repaid",IF('SF Product Sheet'!AA40=3,"3%, 2%, 1% of amount repaid",IF('SF Product Sheet'!AA40=5,"5%, 4%, 3%, 2%, 1% of amount repaid")))))</f>
        <v>2%, 1% of amount repaid</v>
      </c>
      <c r="F44" s="111">
        <f>'SF Product Sheet'!AS40</f>
        <v>3.7</v>
      </c>
      <c r="G44" s="112">
        <f>'SF Product Sheet'!AR40</f>
        <v>75</v>
      </c>
      <c r="H44" s="113">
        <f>'SF Product Sheet'!AX40</f>
        <v>0</v>
      </c>
      <c r="I44" s="114">
        <f>'SF Product Sheet'!BA40</f>
        <v>1499</v>
      </c>
      <c r="J44" s="115">
        <f>'SF Product Sheet'!AP40</f>
        <v>1000001</v>
      </c>
      <c r="K44" s="116">
        <f>'SF Product Sheet'!AQ40</f>
        <v>1500000</v>
      </c>
      <c r="L44" s="117" t="str">
        <f>IF(AND('SF Product Sheet'!X40="10%",'SF Product Sheet'!CB40="Yes"), "Increased Overpayments Permitted (10% per annum)
MIG Paid by NBS", IF(AND('SF Product Sheet'!X40="10%",'SF Product Sheet'!AM40=0, 'SF Product Sheet'!AO40="No"),"Increased Overpayments Permitted (10% per annum)",IF(AND('SF Product Sheet'!X40="10%",'SF Product Sheet'!AM40=500, 'SF Product Sheet'!AO40="No"),"£500 Cashback 
Increased Overpayments Permitted (10% per annum)",IF(AND('SF Product Sheet'!X40="10%",'SF Product Sheet'!AM40=1000, 'SF Product Sheet'!AO40="No"),"£1000 Cashback 
Increased Overpayments Permitted (10% per annum)", IF(AND('SF Product Sheet'!X40="10%",'SF Product Sheet'!AM40=500, 'SF Product Sheet'!AO40="Yes"),"£500 Cashback 
Free Standard Valuation up to £500,000
Increased Overpayments Permitted (10% per annum)", IF(AND('SF Product Sheet'!X40="10%",'SF Product Sheet'!AM40=1000, 'SF Product Sheet'!AO40="Yes"),"£1000 Cashback 
Free Standard Valuation up to £500,000
Increased Overpayments Permitted (10% per annum)", IF(AND('SF Product Sheet'!X40="10%",'SF Product Sheet'!AM40=0, 'SF Product Sheet'!AO40="Yes"),"Free Standard Valuation up to £500,000
Increased Overpayments Permitted (10% per annum)", IF(AND('SF Product Sheet'!X40="",'SF Product Sheet'!AM40=0, 'SF Product Sheet'!AO40="No"),"N/A"))))))))</f>
        <v>Increased Overpayments Permitted (10% per annum)</v>
      </c>
    </row>
    <row r="45" spans="1:12">
      <c r="A45" s="107" t="str">
        <f>CONCATENATE("Product Code", " ",
 'SF Product Sheet'!C41)</f>
        <v>Product Code EFII080</v>
      </c>
      <c r="B45" s="106" t="str">
        <f>'SF Product Sheet'!A41</f>
        <v xml:space="preserve">2 Year Fixed Rate - Repayment &amp; Interest Only </v>
      </c>
      <c r="C45" s="108" t="str">
        <f>CONCATENATE('SF Product Sheet'!E41, "%")</f>
        <v>2.4%</v>
      </c>
      <c r="D45" s="109">
        <f>IF('SF Product Sheet'!F41="","",'SF Product Sheet'!F41)</f>
        <v>45351</v>
      </c>
      <c r="E45" s="110" t="str">
        <f>IF('SF Product Sheet'!AA41="","",IF('SF Product Sheet'!AA41=1,"1% of amount repaid",IF('SF Product Sheet'!AA41=2,"2%, 1% of amount repaid",IF('SF Product Sheet'!AA41=3,"3%, 2%, 1% of amount repaid",IF('SF Product Sheet'!AA41=5,"5%, 4%, 3%, 2%, 1% of amount repaid")))))</f>
        <v>2%, 1% of amount repaid</v>
      </c>
      <c r="F45" s="111">
        <f>'SF Product Sheet'!AS41</f>
        <v>3.7</v>
      </c>
      <c r="G45" s="112">
        <f>'SF Product Sheet'!AR41</f>
        <v>80</v>
      </c>
      <c r="H45" s="113">
        <f>'SF Product Sheet'!AX41</f>
        <v>0</v>
      </c>
      <c r="I45" s="114">
        <f>'SF Product Sheet'!BA41</f>
        <v>1499</v>
      </c>
      <c r="J45" s="115">
        <f>'SF Product Sheet'!AP41</f>
        <v>500001</v>
      </c>
      <c r="K45" s="116">
        <f>'SF Product Sheet'!AQ41</f>
        <v>1000000</v>
      </c>
      <c r="L45" s="117" t="str">
        <f>IF(AND('SF Product Sheet'!X41="10%",'SF Product Sheet'!CB41="Yes"), "Increased Overpayments Permitted (10% per annum)
MIG Paid by NBS", IF(AND('SF Product Sheet'!X41="10%",'SF Product Sheet'!AM41=0, 'SF Product Sheet'!AO41="No"),"Increased Overpayments Permitted (10% per annum)",IF(AND('SF Product Sheet'!X41="10%",'SF Product Sheet'!AM41=500, 'SF Product Sheet'!AO41="No"),"£500 Cashback 
Increased Overpayments Permitted (10% per annum)",IF(AND('SF Product Sheet'!X41="10%",'SF Product Sheet'!AM41=1000, 'SF Product Sheet'!AO41="No"),"£1000 Cashback 
Increased Overpayments Permitted (10% per annum)", IF(AND('SF Product Sheet'!X41="10%",'SF Product Sheet'!AM41=500, 'SF Product Sheet'!AO41="Yes"),"£500 Cashback 
Free Standard Valuation up to £500,000
Increased Overpayments Permitted (10% per annum)", IF(AND('SF Product Sheet'!X41="10%",'SF Product Sheet'!AM41=1000, 'SF Product Sheet'!AO41="Yes"),"£1000 Cashback 
Free Standard Valuation up to £500,000
Increased Overpayments Permitted (10% per annum)", IF(AND('SF Product Sheet'!X41="10%",'SF Product Sheet'!AM41=0, 'SF Product Sheet'!AO41="Yes"),"Free Standard Valuation up to £500,000
Increased Overpayments Permitted (10% per annum)", IF(AND('SF Product Sheet'!X41="",'SF Product Sheet'!AM41=0, 'SF Product Sheet'!AO41="No"),"N/A"))))))))</f>
        <v>Increased Overpayments Permitted (10% per annum)</v>
      </c>
    </row>
    <row r="46" spans="1:12">
      <c r="A46" s="107" t="str">
        <f>CONCATENATE("Product Code", " ",
 'SF Product Sheet'!C42)</f>
        <v>Product Code EFII083</v>
      </c>
      <c r="B46" s="106" t="str">
        <f>'SF Product Sheet'!A42</f>
        <v>5 Year Fixed Rate - Repayment &amp; Interest Only</v>
      </c>
      <c r="C46" s="108" t="str">
        <f>CONCATENATE('SF Product Sheet'!E42, "%")</f>
        <v>2.65%</v>
      </c>
      <c r="D46" s="109">
        <f>IF('SF Product Sheet'!F42="","",'SF Product Sheet'!F42)</f>
        <v>46446</v>
      </c>
      <c r="E46" s="110" t="str">
        <f>IF('SF Product Sheet'!AA42="","",IF('SF Product Sheet'!AA42=1,"1% of amount repaid",IF('SF Product Sheet'!AA42=2,"2%, 1% of amount repaid",IF('SF Product Sheet'!AA42=3,"3%, 2%, 1% of amount repaid",IF('SF Product Sheet'!AA42=5,"5%, 4%, 3%, 2%, 1% of amount repaid")))))</f>
        <v>5%, 4%, 3%, 2%, 1% of amount repaid</v>
      </c>
      <c r="F46" s="111">
        <f>'SF Product Sheet'!AS42</f>
        <v>3.5</v>
      </c>
      <c r="G46" s="112">
        <f>'SF Product Sheet'!AR42</f>
        <v>75</v>
      </c>
      <c r="H46" s="113">
        <f>'SF Product Sheet'!AX42</f>
        <v>0</v>
      </c>
      <c r="I46" s="114">
        <f>'SF Product Sheet'!BA42</f>
        <v>1499</v>
      </c>
      <c r="J46" s="115">
        <f>'SF Product Sheet'!AP42</f>
        <v>1000001</v>
      </c>
      <c r="K46" s="116">
        <f>'SF Product Sheet'!AQ42</f>
        <v>1500000</v>
      </c>
      <c r="L46" s="117" t="str">
        <f>IF(AND('SF Product Sheet'!X42="10%",'SF Product Sheet'!CB42="Yes"), "Increased Overpayments Permitted (10% per annum)
MIG Paid by NBS", IF(AND('SF Product Sheet'!X42="10%",'SF Product Sheet'!AM42=0, 'SF Product Sheet'!AO42="No"),"Increased Overpayments Permitted (10% per annum)",IF(AND('SF Product Sheet'!X42="10%",'SF Product Sheet'!AM42=500, 'SF Product Sheet'!AO42="No"),"£500 Cashback 
Increased Overpayments Permitted (10% per annum)",IF(AND('SF Product Sheet'!X42="10%",'SF Product Sheet'!AM42=1000, 'SF Product Sheet'!AO42="No"),"£1000 Cashback 
Increased Overpayments Permitted (10% per annum)", IF(AND('SF Product Sheet'!X42="10%",'SF Product Sheet'!AM42=500, 'SF Product Sheet'!AO42="Yes"),"£500 Cashback 
Free Standard Valuation up to £500,000
Increased Overpayments Permitted (10% per annum)", IF(AND('SF Product Sheet'!X42="10%",'SF Product Sheet'!AM42=1000, 'SF Product Sheet'!AO42="Yes"),"£1000 Cashback 
Free Standard Valuation up to £500,000
Increased Overpayments Permitted (10% per annum)", IF(AND('SF Product Sheet'!X42="10%",'SF Product Sheet'!AM42=0, 'SF Product Sheet'!AO42="Yes"),"Free Standard Valuation up to £500,000
Increased Overpayments Permitted (10% per annum)", IF(AND('SF Product Sheet'!X42="",'SF Product Sheet'!AM42=0, 'SF Product Sheet'!AO42="No"),"N/A"))))))))</f>
        <v>Increased Overpayments Permitted (10% per annum)</v>
      </c>
    </row>
    <row r="47" spans="1:12">
      <c r="A47" s="107" t="str">
        <f>CONCATENATE("Product Code", " ",
 'SF Product Sheet'!C43)</f>
        <v>Product Code EFII084</v>
      </c>
      <c r="B47" s="106" t="str">
        <f>'SF Product Sheet'!A43</f>
        <v>5 Year Fixed Rate - Repayment &amp; Interest Only</v>
      </c>
      <c r="C47" s="108" t="str">
        <f>CONCATENATE('SF Product Sheet'!E43, "%")</f>
        <v>2.65%</v>
      </c>
      <c r="D47" s="109">
        <f>IF('SF Product Sheet'!F43="","",'SF Product Sheet'!F43)</f>
        <v>46446</v>
      </c>
      <c r="E47" s="110" t="str">
        <f>IF('SF Product Sheet'!AA43="","",IF('SF Product Sheet'!AA43=1,"1% of amount repaid",IF('SF Product Sheet'!AA43=2,"2%, 1% of amount repaid",IF('SF Product Sheet'!AA43=3,"3%, 2%, 1% of amount repaid",IF('SF Product Sheet'!AA43=5,"5%, 4%, 3%, 2%, 1% of amount repaid")))))</f>
        <v>5%, 4%, 3%, 2%, 1% of amount repaid</v>
      </c>
      <c r="F47" s="111">
        <f>'SF Product Sheet'!AS43</f>
        <v>3.5</v>
      </c>
      <c r="G47" s="112">
        <f>'SF Product Sheet'!AR43</f>
        <v>80</v>
      </c>
      <c r="H47" s="113">
        <f>'SF Product Sheet'!AX43</f>
        <v>0</v>
      </c>
      <c r="I47" s="114">
        <f>'SF Product Sheet'!BA43</f>
        <v>1499</v>
      </c>
      <c r="J47" s="115">
        <f>'SF Product Sheet'!AP43</f>
        <v>500001</v>
      </c>
      <c r="K47" s="116">
        <f>'SF Product Sheet'!AQ43</f>
        <v>1000000</v>
      </c>
      <c r="L47" s="117" t="str">
        <f>IF(AND('SF Product Sheet'!X43="10%",'SF Product Sheet'!CB43="Yes"), "Increased Overpayments Permitted (10% per annum)
MIG Paid by NBS", IF(AND('SF Product Sheet'!X43="10%",'SF Product Sheet'!AM43=0, 'SF Product Sheet'!AO43="No"),"Increased Overpayments Permitted (10% per annum)",IF(AND('SF Product Sheet'!X43="10%",'SF Product Sheet'!AM43=500, 'SF Product Sheet'!AO43="No"),"£500 Cashback 
Increased Overpayments Permitted (10% per annum)",IF(AND('SF Product Sheet'!X43="10%",'SF Product Sheet'!AM43=1000, 'SF Product Sheet'!AO43="No"),"£1000 Cashback 
Increased Overpayments Permitted (10% per annum)", IF(AND('SF Product Sheet'!X43="10%",'SF Product Sheet'!AM43=500, 'SF Product Sheet'!AO43="Yes"),"£500 Cashback 
Free Standard Valuation up to £500,000
Increased Overpayments Permitted (10% per annum)", IF(AND('SF Product Sheet'!X43="10%",'SF Product Sheet'!AM43=1000, 'SF Product Sheet'!AO43="Yes"),"£1000 Cashback 
Free Standard Valuation up to £500,000
Increased Overpayments Permitted (10% per annum)", IF(AND('SF Product Sheet'!X43="10%",'SF Product Sheet'!AM43=0, 'SF Product Sheet'!AO43="Yes"),"Free Standard Valuation up to £500,000
Increased Overpayments Permitted (10% per annum)", IF(AND('SF Product Sheet'!X43="",'SF Product Sheet'!AM43=0, 'SF Product Sheet'!AO43="No"),"N/A"))))))))</f>
        <v>Increased Overpayments Permitted (10% per annum)</v>
      </c>
    </row>
    <row r="48" spans="1:12" ht="25.5">
      <c r="A48" s="107" t="str">
        <f>CONCATENATE("Product Code", " ",
 'SF Product Sheet'!C44)</f>
        <v>Product Code SELF195
CUST161</v>
      </c>
      <c r="B48" s="106" t="str">
        <f>'SF Product Sheet'!A44</f>
        <v>2 Year Variable Rate - Repayment &amp; Interest Only (Arrears Payment Only)</v>
      </c>
      <c r="C48" s="108" t="str">
        <f>CONCATENATE('SF Product Sheet'!E44, "%")</f>
        <v>5.49%</v>
      </c>
      <c r="D48" s="109">
        <f>IF('SF Product Sheet'!F44="","",'SF Product Sheet'!F44)</f>
        <v>45473</v>
      </c>
      <c r="E48" s="110" t="str">
        <f>IF('SF Product Sheet'!AA44="","",IF('SF Product Sheet'!AA44=1,"1% of amount repaid",IF('SF Product Sheet'!AA44=2,"2%, 1% of amount repaid",IF('SF Product Sheet'!AA44=3,"3%, 2%, 1% of amount repaid",IF('SF Product Sheet'!AA44=5,"5%, 4%, 3%, 2%, 1% of amount repaid")))))</f>
        <v>1% of amount repaid</v>
      </c>
      <c r="F48" s="111">
        <f>'SF Product Sheet'!AS44</f>
        <v>4.4000000000000004</v>
      </c>
      <c r="G48" s="112">
        <f>'SF Product Sheet'!AR44</f>
        <v>90</v>
      </c>
      <c r="H48" s="113">
        <f>'SF Product Sheet'!AX44</f>
        <v>0</v>
      </c>
      <c r="I48" s="114">
        <f>'SF Product Sheet'!BA44</f>
        <v>999</v>
      </c>
      <c r="J48" s="115">
        <f>'SF Product Sheet'!AP44</f>
        <v>50000</v>
      </c>
      <c r="K48" s="116">
        <f>'SF Product Sheet'!AQ44</f>
        <v>1000000</v>
      </c>
      <c r="L48" s="117" t="str">
        <f>IF(AND('SF Product Sheet'!X44="10%",'SF Product Sheet'!CB44="Yes"), "Increased Overpayments Permitted (10% per annum)
MIG Paid by NBS", IF(AND('SF Product Sheet'!X44="10%",'SF Product Sheet'!AM44=0, 'SF Product Sheet'!AO44="No"),"Increased Overpayments Permitted (10% per annum)",IF(AND('SF Product Sheet'!X44="10%",'SF Product Sheet'!AM44=500, 'SF Product Sheet'!AO44="No"),"£500 Cashback 
Increased Overpayments Permitted (10% per annum)",IF(AND('SF Product Sheet'!X44="10%",'SF Product Sheet'!AM44=1000, 'SF Product Sheet'!AO44="No"),"£1000 Cashback 
Increased Overpayments Permitted (10% per annum)", IF(AND('SF Product Sheet'!X44="10%",'SF Product Sheet'!AM44=500, 'SF Product Sheet'!AO44="Yes"),"£500 Cashback 
Free Standard Valuation up to £500,000
Increased Overpayments Permitted (10% per annum)", IF(AND('SF Product Sheet'!X44="10%",'SF Product Sheet'!AM44=1000, 'SF Product Sheet'!AO44="Yes"),"£1000 Cashback 
Free Standard Valuation up to £500,000
Increased Overpayments Permitted (10% per annum)", IF(AND('SF Product Sheet'!X44="10%",'SF Product Sheet'!AM44=0, 'SF Product Sheet'!AO44="Yes"),"Free Standard Valuation up to £500,000
Increased Overpayments Permitted (10% per annum)", IF(AND('SF Product Sheet'!X44="",'SF Product Sheet'!AM44=0, 'SF Product Sheet'!AO44="No"),"N/A"))))))))</f>
        <v>Increased Overpayments Permitted (10% per annum)</v>
      </c>
    </row>
    <row r="49" spans="1:12" ht="25.5">
      <c r="A49" s="107" t="str">
        <f>CONCATENATE("Product Code", " ",
 'SF Product Sheet'!C45)</f>
        <v>Product Code SELF190
CUST159</v>
      </c>
      <c r="B49" s="106" t="str">
        <f>'SF Product Sheet'!A45</f>
        <v xml:space="preserve">2 Year Variable Rate - Repayment &amp; Interest Only </v>
      </c>
      <c r="C49" s="108" t="str">
        <f>CONCATENATE('SF Product Sheet'!E45, "%")</f>
        <v>5.79%</v>
      </c>
      <c r="D49" s="109">
        <f>IF('SF Product Sheet'!F45="","",'SF Product Sheet'!F45)</f>
        <v>45473</v>
      </c>
      <c r="E49" s="110" t="str">
        <f>IF('SF Product Sheet'!AA45="","",IF('SF Product Sheet'!AA45=1,"1% of amount repaid",IF('SF Product Sheet'!AA45=2,"2%, 1% of amount repaid",IF('SF Product Sheet'!AA45=3,"3%, 2%, 1% of amount repaid",IF('SF Product Sheet'!AA45=5,"5%, 4%, 3%, 2%, 1% of amount repaid")))))</f>
        <v/>
      </c>
      <c r="F49" s="111">
        <f>'SF Product Sheet'!AS45</f>
        <v>4.4000000000000004</v>
      </c>
      <c r="G49" s="112">
        <f>'SF Product Sheet'!AR45</f>
        <v>90</v>
      </c>
      <c r="H49" s="113">
        <f>'SF Product Sheet'!AX45</f>
        <v>0</v>
      </c>
      <c r="I49" s="114">
        <f>'SF Product Sheet'!BA45</f>
        <v>0</v>
      </c>
      <c r="J49" s="115">
        <f>'SF Product Sheet'!AP45</f>
        <v>50000</v>
      </c>
      <c r="K49" s="116">
        <f>'SF Product Sheet'!AQ45</f>
        <v>1000000</v>
      </c>
      <c r="L49" s="117" t="str">
        <f>IF(AND('SF Product Sheet'!X45="10%",'SF Product Sheet'!CB45="Yes"), "Increased Overpayments Permitted (10% per annum)
MIG Paid by NBS", IF(AND('SF Product Sheet'!X45="10%",'SF Product Sheet'!AM45=0, 'SF Product Sheet'!AO45="No"),"Increased Overpayments Permitted (10% per annum)",IF(AND('SF Product Sheet'!X45="10%",'SF Product Sheet'!AM45=500, 'SF Product Sheet'!AO45="No"),"£500 Cashback 
Increased Overpayments Permitted (10% per annum)",IF(AND('SF Product Sheet'!X45="10%",'SF Product Sheet'!AM45=1000, 'SF Product Sheet'!AO45="No"),"£1000 Cashback 
Increased Overpayments Permitted (10% per annum)", IF(AND('SF Product Sheet'!X45="10%",'SF Product Sheet'!AM45=500, 'SF Product Sheet'!AO45="Yes"),"£500 Cashback 
Free Standard Valuation up to £500,000
Increased Overpayments Permitted (10% per annum)", IF(AND('SF Product Sheet'!X45="10%",'SF Product Sheet'!AM45=1000, 'SF Product Sheet'!AO45="Yes"),"£1000 Cashback 
Free Standard Valuation up to £500,000
Increased Overpayments Permitted (10% per annum)", IF(AND('SF Product Sheet'!X45="10%",'SF Product Sheet'!AM45=0, 'SF Product Sheet'!AO45="Yes"),"Free Standard Valuation up to £500,000
Increased Overpayments Permitted (10% per annum)", IF(AND('SF Product Sheet'!X45="",'SF Product Sheet'!AM45=0, 'SF Product Sheet'!AO45="No"),"N/A"))))))))</f>
        <v>Increased Overpayments Permitted (10% per annum)</v>
      </c>
    </row>
    <row r="50" spans="1:12" ht="38.25">
      <c r="A50" s="107" t="str">
        <f>CONCATENATE("Product Code", " ",
 'SF Product Sheet'!C46)</f>
        <v>Product Code SELF194</v>
      </c>
      <c r="B50" s="106" t="str">
        <f>'SF Product Sheet'!A46</f>
        <v xml:space="preserve">2 Year Variable Rate - Repayment &amp; Interest Only (Self Build Only) </v>
      </c>
      <c r="C50" s="108" t="str">
        <f>CONCATENATE('SF Product Sheet'!E46, "%")</f>
        <v>5.69%</v>
      </c>
      <c r="D50" s="109">
        <f>IF('SF Product Sheet'!F46="","",'SF Product Sheet'!F46)</f>
        <v>45473</v>
      </c>
      <c r="E50" s="110" t="str">
        <f>IF('SF Product Sheet'!AA46="","",IF('SF Product Sheet'!AA46=1,"1% of amount repaid",IF('SF Product Sheet'!AA46=2,"2%, 1% of amount repaid",IF('SF Product Sheet'!AA46=3,"3%, 2%, 1% of amount repaid",IF('SF Product Sheet'!AA46=5,"5%, 4%, 3%, 2%, 1% of amount repaid")))))</f>
        <v>1% of amount repaid</v>
      </c>
      <c r="F50" s="111">
        <f>'SF Product Sheet'!AS46</f>
        <v>4.4000000000000004</v>
      </c>
      <c r="G50" s="112">
        <f>'SF Product Sheet'!AR46</f>
        <v>90</v>
      </c>
      <c r="H50" s="113">
        <f>'SF Product Sheet'!AX46</f>
        <v>0</v>
      </c>
      <c r="I50" s="114">
        <f>'SF Product Sheet'!BA46</f>
        <v>0</v>
      </c>
      <c r="J50" s="115">
        <f>'SF Product Sheet'!AP46</f>
        <v>50000</v>
      </c>
      <c r="K50" s="116">
        <f>'SF Product Sheet'!AQ46</f>
        <v>1000000</v>
      </c>
      <c r="L50" s="117" t="str">
        <f>IF(AND('SF Product Sheet'!X46="10%",'SF Product Sheet'!CB46="Yes"), "Increased Overpayments Permitted (10% per annum)
MIG Paid by NBS", IF(AND('SF Product Sheet'!X46="10%",'SF Product Sheet'!AM46=0, 'SF Product Sheet'!AO46="No"),"Increased Overpayments Permitted (10% per annum)",IF(AND('SF Product Sheet'!X46="10%",'SF Product Sheet'!AM46=500, 'SF Product Sheet'!AO46="No"),"£500 Cashback 
Increased Overpayments Permitted (10% per annum)",IF(AND('SF Product Sheet'!X46="10%",'SF Product Sheet'!AM46=1000, 'SF Product Sheet'!AO46="No"),"£1000 Cashback 
Increased Overpayments Permitted (10% per annum)", IF(AND('SF Product Sheet'!X46="10%",'SF Product Sheet'!AM46=500, 'SF Product Sheet'!AO46="Yes"),"£500 Cashback 
Free Standard Valuation up to £500,000
Increased Overpayments Permitted (10% per annum)", IF(AND('SF Product Sheet'!X46="10%",'SF Product Sheet'!AM46=1000, 'SF Product Sheet'!AO46="Yes"),"£1000 Cashback 
Free Standard Valuation up to £500,000
Increased Overpayments Permitted (10% per annum)", IF(AND('SF Product Sheet'!X46="10%",'SF Product Sheet'!AM46=0, 'SF Product Sheet'!AO46="Yes"),"Free Standard Valuation up to £500,000
Increased Overpayments Permitted (10% per annum)", IF(AND('SF Product Sheet'!X46="",'SF Product Sheet'!AM46=0, 'SF Product Sheet'!AO46="No"),"N/A"))))))))</f>
        <v>Increased Overpayments Permitted (10% per annum)
MIG Paid by NBS</v>
      </c>
    </row>
    <row r="51" spans="1:12" ht="25.5">
      <c r="A51" s="107" t="str">
        <f>CONCATENATE("Product Code", " ",
 'SF Product Sheet'!C47)</f>
        <v>Product Code SELF187
CUST164</v>
      </c>
      <c r="B51" s="106" t="str">
        <f>'SF Product Sheet'!A47</f>
        <v>2 Year Variable Rate - Repayment &amp; Interest Only (Accelerate)</v>
      </c>
      <c r="C51" s="108" t="str">
        <f>CONCATENATE('SF Product Sheet'!E47, "%")</f>
        <v>5.59%</v>
      </c>
      <c r="D51" s="109">
        <f>IF('SF Product Sheet'!F47="","",'SF Product Sheet'!F47)</f>
        <v>45473</v>
      </c>
      <c r="E51" s="110" t="str">
        <f>IF('SF Product Sheet'!AA47="","",IF('SF Product Sheet'!AA47=1,"1% of amount repaid",IF('SF Product Sheet'!AA47=2,"2%, 1% of amount repaid",IF('SF Product Sheet'!AA47=3,"3%, 2%, 1% of amount repaid",IF('SF Product Sheet'!AA47=5,"5%, 4%, 3%, 2%, 1% of amount repaid")))))</f>
        <v>1% of amount repaid</v>
      </c>
      <c r="F51" s="111">
        <f>'SF Product Sheet'!AS47</f>
        <v>4.4000000000000004</v>
      </c>
      <c r="G51" s="112">
        <f>'SF Product Sheet'!AR47</f>
        <v>90</v>
      </c>
      <c r="H51" s="113">
        <f>'SF Product Sheet'!AX47</f>
        <v>0</v>
      </c>
      <c r="I51" s="114">
        <f>'SF Product Sheet'!BA47</f>
        <v>999</v>
      </c>
      <c r="J51" s="115">
        <f>'SF Product Sheet'!AP47</f>
        <v>50000</v>
      </c>
      <c r="K51" s="116">
        <f>'SF Product Sheet'!AQ47</f>
        <v>1000000</v>
      </c>
      <c r="L51" s="117" t="str">
        <f>IF(AND('SF Product Sheet'!X47="10%",'SF Product Sheet'!CB47="Yes"), "Increased Overpayments Permitted (10% per annum)
MIG Paid by NBS", IF(AND('SF Product Sheet'!X47="10%",'SF Product Sheet'!AM47=0, 'SF Product Sheet'!AO47="No"),"Increased Overpayments Permitted (10% per annum)",IF(AND('SF Product Sheet'!X47="10%",'SF Product Sheet'!AM47=500, 'SF Product Sheet'!AO47="No"),"£500 Cashback 
Increased Overpayments Permitted (10% per annum)",IF(AND('SF Product Sheet'!X47="10%",'SF Product Sheet'!AM47=1000, 'SF Product Sheet'!AO47="No"),"£1000 Cashback 
Increased Overpayments Permitted (10% per annum)", IF(AND('SF Product Sheet'!X47="10%",'SF Product Sheet'!AM47=500, 'SF Product Sheet'!AO47="Yes"),"£500 Cashback 
Free Standard Valuation up to £500,000
Increased Overpayments Permitted (10% per annum)", IF(AND('SF Product Sheet'!X47="10%",'SF Product Sheet'!AM47=1000, 'SF Product Sheet'!AO47="Yes"),"£1000 Cashback 
Free Standard Valuation up to £500,000
Increased Overpayments Permitted (10% per annum)", IF(AND('SF Product Sheet'!X47="10%",'SF Product Sheet'!AM47=0, 'SF Product Sheet'!AO47="Yes"),"Free Standard Valuation up to £500,000
Increased Overpayments Permitted (10% per annum)", IF(AND('SF Product Sheet'!X47="",'SF Product Sheet'!AM47=0, 'SF Product Sheet'!AO47="No"),"N/A"))))))))</f>
        <v>Increased Overpayments Permitted (10% per annum)</v>
      </c>
    </row>
    <row r="52" spans="1:12" ht="25.5">
      <c r="A52" s="107" t="str">
        <f>CONCATENATE("Product Code", " ",
 'SF Product Sheet'!C48)</f>
        <v>Product Code SELF191
CUST163</v>
      </c>
      <c r="B52" s="106" t="str">
        <f>'SF Product Sheet'!A48</f>
        <v>2 Year Variable Rate - Self Build &amp; Custom Build</v>
      </c>
      <c r="C52" s="108" t="str">
        <f>CONCATENATE('SF Product Sheet'!E48, "%")</f>
        <v>5.79%</v>
      </c>
      <c r="D52" s="109">
        <f>IF('SF Product Sheet'!F48="","",'SF Product Sheet'!F48)</f>
        <v>45473</v>
      </c>
      <c r="E52" s="110" t="str">
        <f>IF('SF Product Sheet'!AA48="","",IF('SF Product Sheet'!AA48=1,"1% of amount repaid",IF('SF Product Sheet'!AA48=2,"2%, 1% of amount repaid",IF('SF Product Sheet'!AA48=3,"3%, 2%, 1% of amount repaid",IF('SF Product Sheet'!AA48=5,"5%, 4%, 3%, 2%, 1% of amount repaid")))))</f>
        <v/>
      </c>
      <c r="F52" s="111">
        <f>'SF Product Sheet'!AS48</f>
        <v>4.4000000000000004</v>
      </c>
      <c r="G52" s="112">
        <f>'SF Product Sheet'!AR48</f>
        <v>90</v>
      </c>
      <c r="H52" s="113">
        <f>'SF Product Sheet'!AX48</f>
        <v>0</v>
      </c>
      <c r="I52" s="114">
        <f>'SF Product Sheet'!BA48</f>
        <v>0</v>
      </c>
      <c r="J52" s="115">
        <f>'SF Product Sheet'!AP48</f>
        <v>50000</v>
      </c>
      <c r="K52" s="116">
        <f>'SF Product Sheet'!AQ48</f>
        <v>1000000</v>
      </c>
      <c r="L52" s="117" t="str">
        <f>IF(AND('SF Product Sheet'!X48="10%",'SF Product Sheet'!CB48="Yes"), "Increased Overpayments Permitted (10% per annum)
MIG Paid by NBS", IF(AND('SF Product Sheet'!X48="10%",'SF Product Sheet'!AM48=0, 'SF Product Sheet'!AO48="No"),"Increased Overpayments Permitted (10% per annum)",IF(AND('SF Product Sheet'!X48="10%",'SF Product Sheet'!AM48=500, 'SF Product Sheet'!AO48="No"),"£500 Cashback 
Increased Overpayments Permitted (10% per annum)",IF(AND('SF Product Sheet'!X48="10%",'SF Product Sheet'!AM48=1000, 'SF Product Sheet'!AO48="No"),"£1000 Cashback 
Increased Overpayments Permitted (10% per annum)", IF(AND('SF Product Sheet'!X48="10%",'SF Product Sheet'!AM48=500, 'SF Product Sheet'!AO48="Yes"),"£500 Cashback 
Free Standard Valuation up to £500,000
Increased Overpayments Permitted (10% per annum)", IF(AND('SF Product Sheet'!X48="10%",'SF Product Sheet'!AM48=1000, 'SF Product Sheet'!AO48="Yes"),"£1000 Cashback 
Free Standard Valuation up to £500,000
Increased Overpayments Permitted (10% per annum)", IF(AND('SF Product Sheet'!X48="10%",'SF Product Sheet'!AM48=0, 'SF Product Sheet'!AO48="Yes"),"Free Standard Valuation up to £500,000
Increased Overpayments Permitted (10% per annum)", IF(AND('SF Product Sheet'!X48="",'SF Product Sheet'!AM48=0, 'SF Product Sheet'!AO48="No"),"N/A"))))))))</f>
        <v>Increased Overpayments Permitted (10% per annum)</v>
      </c>
    </row>
    <row r="53" spans="1:12">
      <c r="A53" s="107" t="str">
        <f>CONCATENATE("Product Code", " ",
 'SF Product Sheet'!C49)</f>
        <v xml:space="preserve">Product Code </v>
      </c>
      <c r="B53" s="106">
        <f>'SF Product Sheet'!A49</f>
        <v>0</v>
      </c>
      <c r="C53" s="108" t="str">
        <f>CONCATENATE('SF Product Sheet'!E49, "%")</f>
        <v>%</v>
      </c>
      <c r="D53" s="109" t="str">
        <f>IF('SF Product Sheet'!F49="","",'SF Product Sheet'!F49)</f>
        <v/>
      </c>
      <c r="E53" s="110" t="str">
        <f>IF('SF Product Sheet'!AA49="","",IF('SF Product Sheet'!AA49=1,"1% of amount repaid",IF('SF Product Sheet'!AA49=2,"2%, 1% of amount repaid",IF('SF Product Sheet'!AA49=3,"3%, 2%, 1% of amount repaid",IF('SF Product Sheet'!AA49=5,"5%, 4%, 3%, 2%, 1% of amount repaid")))))</f>
        <v/>
      </c>
      <c r="F53" s="111">
        <f>'SF Product Sheet'!AS49</f>
        <v>0</v>
      </c>
      <c r="G53" s="112">
        <f>'SF Product Sheet'!AR49</f>
        <v>0</v>
      </c>
      <c r="H53" s="113">
        <f>'SF Product Sheet'!AX49</f>
        <v>0</v>
      </c>
      <c r="I53" s="114">
        <f>'SF Product Sheet'!BA49</f>
        <v>0</v>
      </c>
      <c r="J53" s="115">
        <f>'SF Product Sheet'!AP49</f>
        <v>0</v>
      </c>
      <c r="K53" s="116">
        <f>'SF Product Sheet'!AQ49</f>
        <v>0</v>
      </c>
      <c r="L53" s="117" t="b">
        <f>IF(AND('SF Product Sheet'!X49="10%",'SF Product Sheet'!CB49="Yes"), "Increased Overpayments Permitted (10% per annum)
MIG Paid by NBS", IF(AND('SF Product Sheet'!X49="10%",'SF Product Sheet'!AM49=0, 'SF Product Sheet'!AO49="No"),"Increased Overpayments Permitted (10% per annum)",IF(AND('SF Product Sheet'!X49="10%",'SF Product Sheet'!AM49=500, 'SF Product Sheet'!AO49="No"),"£500 Cashback 
Increased Overpayments Permitted (10% per annum)",IF(AND('SF Product Sheet'!X49="10%",'SF Product Sheet'!AM49=1000, 'SF Product Sheet'!AO49="No"),"£1000 Cashback 
Increased Overpayments Permitted (10% per annum)", IF(AND('SF Product Sheet'!X49="10%",'SF Product Sheet'!AM49=500, 'SF Product Sheet'!AO49="Yes"),"£500 Cashback 
Free Standard Valuation up to £500,000
Increased Overpayments Permitted (10% per annum)", IF(AND('SF Product Sheet'!X49="10%",'SF Product Sheet'!AM49=1000, 'SF Product Sheet'!AO49="Yes"),"£1000 Cashback 
Free Standard Valuation up to £500,000
Increased Overpayments Permitted (10% per annum)", IF(AND('SF Product Sheet'!X49="10%",'SF Product Sheet'!AM49=0, 'SF Product Sheet'!AO49="Yes"),"Free Standard Valuation up to £500,000
Increased Overpayments Permitted (10% per annum)", IF(AND('SF Product Sheet'!X49="",'SF Product Sheet'!AM49=0, 'SF Product Sheet'!AO49="No"),"N/A"))))))))</f>
        <v>0</v>
      </c>
    </row>
    <row r="54" spans="1:12">
      <c r="A54" s="107" t="str">
        <f>CONCATENATE("Product Code", " ",
 'SF Product Sheet'!C50)</f>
        <v xml:space="preserve">Product Code </v>
      </c>
      <c r="B54" s="106">
        <f>'SF Product Sheet'!A50</f>
        <v>0</v>
      </c>
      <c r="C54" s="108" t="str">
        <f>CONCATENATE('SF Product Sheet'!E50, "%")</f>
        <v>%</v>
      </c>
      <c r="D54" s="109" t="str">
        <f>IF('SF Product Sheet'!F50="","",'SF Product Sheet'!F50)</f>
        <v/>
      </c>
      <c r="E54" s="110" t="str">
        <f>IF('SF Product Sheet'!AA50="","",IF('SF Product Sheet'!AA50=1,"1% of amount repaid",IF('SF Product Sheet'!AA50=2,"2%, 1% of amount repaid",IF('SF Product Sheet'!AA50=3,"3%, 2%, 1% of amount repaid",IF('SF Product Sheet'!AA50=5,"5%, 4%, 3%, 2%, 1% of amount repaid")))))</f>
        <v/>
      </c>
      <c r="F54" s="111">
        <f>'SF Product Sheet'!AS50</f>
        <v>0</v>
      </c>
      <c r="G54" s="112">
        <f>'SF Product Sheet'!AR50</f>
        <v>0</v>
      </c>
      <c r="H54" s="113">
        <f>'SF Product Sheet'!AX50</f>
        <v>0</v>
      </c>
      <c r="I54" s="114">
        <f>'SF Product Sheet'!BA50</f>
        <v>0</v>
      </c>
      <c r="J54" s="115">
        <f>'SF Product Sheet'!AP50</f>
        <v>0</v>
      </c>
      <c r="K54" s="116">
        <f>'SF Product Sheet'!AQ50</f>
        <v>0</v>
      </c>
      <c r="L54" s="117" t="b">
        <f>IF(AND('SF Product Sheet'!X50="10%",'SF Product Sheet'!CB50="Yes"), "Increased Overpayments Permitted (10% per annum)
MIG Paid by NBS", IF(AND('SF Product Sheet'!X50="10%",'SF Product Sheet'!AM50=0, 'SF Product Sheet'!AO50="No"),"Increased Overpayments Permitted (10% per annum)",IF(AND('SF Product Sheet'!X50="10%",'SF Product Sheet'!AM50=500, 'SF Product Sheet'!AO50="No"),"£500 Cashback 
Increased Overpayments Permitted (10% per annum)",IF(AND('SF Product Sheet'!X50="10%",'SF Product Sheet'!AM50=1000, 'SF Product Sheet'!AO50="No"),"£1000 Cashback 
Increased Overpayments Permitted (10% per annum)", IF(AND('SF Product Sheet'!X50="10%",'SF Product Sheet'!AM50=500, 'SF Product Sheet'!AO50="Yes"),"£500 Cashback 
Free Standard Valuation up to £500,000
Increased Overpayments Permitted (10% per annum)", IF(AND('SF Product Sheet'!X50="10%",'SF Product Sheet'!AM50=1000, 'SF Product Sheet'!AO50="Yes"),"£1000 Cashback 
Free Standard Valuation up to £500,000
Increased Overpayments Permitted (10% per annum)", IF(AND('SF Product Sheet'!X50="10%",'SF Product Sheet'!AM50=0, 'SF Product Sheet'!AO50="Yes"),"Free Standard Valuation up to £500,000
Increased Overpayments Permitted (10% per annum)", IF(AND('SF Product Sheet'!X50="",'SF Product Sheet'!AM50=0, 'SF Product Sheet'!AO50="No"),"N/A"))))))))</f>
        <v>0</v>
      </c>
    </row>
    <row r="55" spans="1:12">
      <c r="A55" s="107" t="str">
        <f>CONCATENATE("Product Code", " ",
 'SF Product Sheet'!C51)</f>
        <v xml:space="preserve">Product Code </v>
      </c>
      <c r="B55" s="106">
        <f>'SF Product Sheet'!A51</f>
        <v>0</v>
      </c>
      <c r="C55" s="108" t="str">
        <f>CONCATENATE('SF Product Sheet'!E51, "%")</f>
        <v>%</v>
      </c>
      <c r="D55" s="109" t="str">
        <f>IF('SF Product Sheet'!F51="","",'SF Product Sheet'!F51)</f>
        <v/>
      </c>
      <c r="E55" s="110" t="str">
        <f>IF('SF Product Sheet'!AA51="","",IF('SF Product Sheet'!AA51=1,"1% of amount repaid",IF('SF Product Sheet'!AA51=2,"2%, 1% of amount repaid",IF('SF Product Sheet'!AA51=3,"3%, 2%, 1% of amount repaid",IF('SF Product Sheet'!AA51=5,"5%, 4%, 3%, 2%, 1% of amount repaid")))))</f>
        <v/>
      </c>
      <c r="F55" s="111">
        <f>'SF Product Sheet'!AS51</f>
        <v>0</v>
      </c>
      <c r="G55" s="112">
        <f>'SF Product Sheet'!AR51</f>
        <v>0</v>
      </c>
      <c r="H55" s="113">
        <f>'SF Product Sheet'!AX51</f>
        <v>0</v>
      </c>
      <c r="I55" s="114">
        <f>'SF Product Sheet'!BA51</f>
        <v>0</v>
      </c>
      <c r="J55" s="115">
        <f>'SF Product Sheet'!AP51</f>
        <v>0</v>
      </c>
      <c r="K55" s="116">
        <f>'SF Product Sheet'!AQ51</f>
        <v>0</v>
      </c>
      <c r="L55" s="117" t="b">
        <f>IF(AND('SF Product Sheet'!X51="10%",'SF Product Sheet'!CB51="Yes"), "Increased Overpayments Permitted (10% per annum)
MIG Paid by NBS", IF(AND('SF Product Sheet'!X51="10%",'SF Product Sheet'!AM51=0, 'SF Product Sheet'!AO51="No"),"Increased Overpayments Permitted (10% per annum)",IF(AND('SF Product Sheet'!X51="10%",'SF Product Sheet'!AM51=500, 'SF Product Sheet'!AO51="No"),"£500 Cashback 
Increased Overpayments Permitted (10% per annum)",IF(AND('SF Product Sheet'!X51="10%",'SF Product Sheet'!AM51=1000, 'SF Product Sheet'!AO51="No"),"£1000 Cashback 
Increased Overpayments Permitted (10% per annum)", IF(AND('SF Product Sheet'!X51="10%",'SF Product Sheet'!AM51=500, 'SF Product Sheet'!AO51="Yes"),"£500 Cashback 
Free Standard Valuation up to £500,000
Increased Overpayments Permitted (10% per annum)", IF(AND('SF Product Sheet'!X51="10%",'SF Product Sheet'!AM51=1000, 'SF Product Sheet'!AO51="Yes"),"£1000 Cashback 
Free Standard Valuation up to £500,000
Increased Overpayments Permitted (10% per annum)", IF(AND('SF Product Sheet'!X51="10%",'SF Product Sheet'!AM51=0, 'SF Product Sheet'!AO51="Yes"),"Free Standard Valuation up to £500,000
Increased Overpayments Permitted (10% per annum)", IF(AND('SF Product Sheet'!X51="",'SF Product Sheet'!AM51=0, 'SF Product Sheet'!AO51="No"),"N/A"))))))))</f>
        <v>0</v>
      </c>
    </row>
    <row r="56" spans="1:12">
      <c r="A56" s="107" t="str">
        <f>CONCATENATE("Product Code", " ",
 'SF Product Sheet'!C52)</f>
        <v xml:space="preserve">Product Code </v>
      </c>
      <c r="B56" s="106">
        <f>'SF Product Sheet'!A52</f>
        <v>0</v>
      </c>
      <c r="C56" s="108" t="str">
        <f>CONCATENATE('SF Product Sheet'!E52, "%")</f>
        <v>%</v>
      </c>
      <c r="D56" s="109" t="str">
        <f>IF('SF Product Sheet'!F52="","",'SF Product Sheet'!F52)</f>
        <v/>
      </c>
      <c r="E56" s="110" t="str">
        <f>IF('SF Product Sheet'!AA52="","",IF('SF Product Sheet'!AA52=1,"1% of amount repaid",IF('SF Product Sheet'!AA52=2,"2%, 1% of amount repaid",IF('SF Product Sheet'!AA52=3,"3%, 2%, 1% of amount repaid",IF('SF Product Sheet'!AA52=5,"5%, 4%, 3%, 2%, 1% of amount repaid")))))</f>
        <v/>
      </c>
      <c r="F56" s="111">
        <f>'SF Product Sheet'!AS52</f>
        <v>0</v>
      </c>
      <c r="G56" s="112">
        <f>'SF Product Sheet'!AR52</f>
        <v>0</v>
      </c>
      <c r="H56" s="113">
        <f>'SF Product Sheet'!AX52</f>
        <v>0</v>
      </c>
      <c r="I56" s="114">
        <f>'SF Product Sheet'!BA52</f>
        <v>0</v>
      </c>
      <c r="J56" s="115">
        <f>'SF Product Sheet'!AP52</f>
        <v>0</v>
      </c>
      <c r="K56" s="116">
        <f>'SF Product Sheet'!AQ52</f>
        <v>0</v>
      </c>
      <c r="L56" s="117" t="b">
        <f>IF(AND('SF Product Sheet'!X52="10%",'SF Product Sheet'!CB52="Yes"), "Increased Overpayments Permitted (10% per annum)
MIG Paid by NBS", IF(AND('SF Product Sheet'!X52="10%",'SF Product Sheet'!AM52=0, 'SF Product Sheet'!AO52="No"),"Increased Overpayments Permitted (10% per annum)",IF(AND('SF Product Sheet'!X52="10%",'SF Product Sheet'!AM52=500, 'SF Product Sheet'!AO52="No"),"£500 Cashback 
Increased Overpayments Permitted (10% per annum)",IF(AND('SF Product Sheet'!X52="10%",'SF Product Sheet'!AM52=1000, 'SF Product Sheet'!AO52="No"),"£1000 Cashback 
Increased Overpayments Permitted (10% per annum)", IF(AND('SF Product Sheet'!X52="10%",'SF Product Sheet'!AM52=500, 'SF Product Sheet'!AO52="Yes"),"£500 Cashback 
Free Standard Valuation up to £500,000
Increased Overpayments Permitted (10% per annum)", IF(AND('SF Product Sheet'!X52="10%",'SF Product Sheet'!AM52=1000, 'SF Product Sheet'!AO52="Yes"),"£1000 Cashback 
Free Standard Valuation up to £500,000
Increased Overpayments Permitted (10% per annum)", IF(AND('SF Product Sheet'!X52="10%",'SF Product Sheet'!AM52=0, 'SF Product Sheet'!AO52="Yes"),"Free Standard Valuation up to £500,000
Increased Overpayments Permitted (10% per annum)", IF(AND('SF Product Sheet'!X52="",'SF Product Sheet'!AM52=0, 'SF Product Sheet'!AO52="No"),"N/A"))))))))</f>
        <v>0</v>
      </c>
    </row>
    <row r="57" spans="1:12">
      <c r="A57" s="107" t="str">
        <f>CONCATENATE("Product Code", " ",
 'SF Product Sheet'!C53)</f>
        <v xml:space="preserve">Product Code </v>
      </c>
      <c r="B57" s="106">
        <f>'SF Product Sheet'!A53</f>
        <v>0</v>
      </c>
      <c r="C57" s="108" t="str">
        <f>CONCATENATE('SF Product Sheet'!E53, "%")</f>
        <v>%</v>
      </c>
      <c r="D57" s="109" t="str">
        <f>IF('SF Product Sheet'!F53="","",'SF Product Sheet'!F53)</f>
        <v/>
      </c>
      <c r="E57" s="110" t="str">
        <f>IF('SF Product Sheet'!AA53="","",IF('SF Product Sheet'!AA53=1,"1% of amount repaid",IF('SF Product Sheet'!AA53=2,"2%, 1% of amount repaid",IF('SF Product Sheet'!AA53=3,"3%, 2%, 1% of amount repaid",IF('SF Product Sheet'!AA53=5,"5%, 4%, 3%, 2%, 1% of amount repaid")))))</f>
        <v/>
      </c>
      <c r="F57" s="111">
        <f>'SF Product Sheet'!AS53</f>
        <v>0</v>
      </c>
      <c r="G57" s="112">
        <f>'SF Product Sheet'!AR53</f>
        <v>0</v>
      </c>
      <c r="H57" s="113">
        <f>'SF Product Sheet'!AX53</f>
        <v>0</v>
      </c>
      <c r="I57" s="114">
        <f>'SF Product Sheet'!BA53</f>
        <v>0</v>
      </c>
      <c r="J57" s="115">
        <f>'SF Product Sheet'!AP53</f>
        <v>0</v>
      </c>
      <c r="K57" s="116">
        <f>'SF Product Sheet'!AQ53</f>
        <v>0</v>
      </c>
      <c r="L57" s="117" t="b">
        <f>IF(AND('SF Product Sheet'!X53="10%",'SF Product Sheet'!CB53="Yes"), "Increased Overpayments Permitted (10% per annum)
MIG Paid by NBS", IF(AND('SF Product Sheet'!X53="10%",'SF Product Sheet'!AM53=0, 'SF Product Sheet'!AO53="No"),"Increased Overpayments Permitted (10% per annum)",IF(AND('SF Product Sheet'!X53="10%",'SF Product Sheet'!AM53=500, 'SF Product Sheet'!AO53="No"),"£500 Cashback 
Increased Overpayments Permitted (10% per annum)",IF(AND('SF Product Sheet'!X53="10%",'SF Product Sheet'!AM53=1000, 'SF Product Sheet'!AO53="No"),"£1000 Cashback 
Increased Overpayments Permitted (10% per annum)", IF(AND('SF Product Sheet'!X53="10%",'SF Product Sheet'!AM53=500, 'SF Product Sheet'!AO53="Yes"),"£500 Cashback 
Free Standard Valuation up to £500,000
Increased Overpayments Permitted (10% per annum)", IF(AND('SF Product Sheet'!X53="10%",'SF Product Sheet'!AM53=1000, 'SF Product Sheet'!AO53="Yes"),"£1000 Cashback 
Free Standard Valuation up to £500,000
Increased Overpayments Permitted (10% per annum)", IF(AND('SF Product Sheet'!X53="10%",'SF Product Sheet'!AM53=0, 'SF Product Sheet'!AO53="Yes"),"Free Standard Valuation up to £500,000
Increased Overpayments Permitted (10% per annum)", IF(AND('SF Product Sheet'!X53="",'SF Product Sheet'!AM53=0, 'SF Product Sheet'!AO53="No"),"N/A"))))))))</f>
        <v>0</v>
      </c>
    </row>
    <row r="58" spans="1:12">
      <c r="A58" s="107" t="str">
        <f>CONCATENATE("Product Code", " ",
 'SF Product Sheet'!C54)</f>
        <v xml:space="preserve">Product Code </v>
      </c>
      <c r="B58" s="106">
        <f>'SF Product Sheet'!A54</f>
        <v>0</v>
      </c>
      <c r="C58" s="108" t="str">
        <f>CONCATENATE('SF Product Sheet'!E54, "%")</f>
        <v>%</v>
      </c>
      <c r="D58" s="109" t="str">
        <f>IF('SF Product Sheet'!F54="","",'SF Product Sheet'!F54)</f>
        <v/>
      </c>
      <c r="E58" s="110" t="str">
        <f>IF('SF Product Sheet'!AA54="","",IF('SF Product Sheet'!AA54=1,"1% of amount repaid",IF('SF Product Sheet'!AA54=2,"2%, 1% of amount repaid",IF('SF Product Sheet'!AA54=3,"3%, 2%, 1% of amount repaid",IF('SF Product Sheet'!AA54=5,"5%, 4%, 3%, 2%, 1% of amount repaid")))))</f>
        <v/>
      </c>
      <c r="F58" s="111">
        <f>'SF Product Sheet'!AS54</f>
        <v>0</v>
      </c>
      <c r="G58" s="112">
        <f>'SF Product Sheet'!AR54</f>
        <v>0</v>
      </c>
      <c r="H58" s="113">
        <f>'SF Product Sheet'!AX54</f>
        <v>0</v>
      </c>
      <c r="I58" s="114">
        <f>'SF Product Sheet'!BA54</f>
        <v>0</v>
      </c>
      <c r="J58" s="115">
        <f>'SF Product Sheet'!AP54</f>
        <v>0</v>
      </c>
      <c r="K58" s="116">
        <f>'SF Product Sheet'!AQ54</f>
        <v>0</v>
      </c>
      <c r="L58" s="117" t="b">
        <f>IF(AND('SF Product Sheet'!X54="10%",'SF Product Sheet'!CB54="Yes"), "Increased Overpayments Permitted (10% per annum)
MIG Paid by NBS", IF(AND('SF Product Sheet'!X54="10%",'SF Product Sheet'!AM54=0, 'SF Product Sheet'!AO54="No"),"Increased Overpayments Permitted (10% per annum)",IF(AND('SF Product Sheet'!X54="10%",'SF Product Sheet'!AM54=500, 'SF Product Sheet'!AO54="No"),"£500 Cashback 
Increased Overpayments Permitted (10% per annum)",IF(AND('SF Product Sheet'!X54="10%",'SF Product Sheet'!AM54=1000, 'SF Product Sheet'!AO54="No"),"£1000 Cashback 
Increased Overpayments Permitted (10% per annum)", IF(AND('SF Product Sheet'!X54="10%",'SF Product Sheet'!AM54=500, 'SF Product Sheet'!AO54="Yes"),"£500 Cashback 
Free Standard Valuation up to £500,000
Increased Overpayments Permitted (10% per annum)", IF(AND('SF Product Sheet'!X54="10%",'SF Product Sheet'!AM54=1000, 'SF Product Sheet'!AO54="Yes"),"£1000 Cashback 
Free Standard Valuation up to £500,000
Increased Overpayments Permitted (10% per annum)", IF(AND('SF Product Sheet'!X54="10%",'SF Product Sheet'!AM54=0, 'SF Product Sheet'!AO54="Yes"),"Free Standard Valuation up to £500,000
Increased Overpayments Permitted (10% per annum)", IF(AND('SF Product Sheet'!X54="",'SF Product Sheet'!AM54=0, 'SF Product Sheet'!AO54="No"),"N/A"))))))))</f>
        <v>0</v>
      </c>
    </row>
    <row r="59" spans="1:12">
      <c r="A59" s="107" t="str">
        <f>CONCATENATE("Product Code", " ",
 'SF Product Sheet'!C55)</f>
        <v xml:space="preserve">Product Code </v>
      </c>
      <c r="B59" s="106">
        <f>'SF Product Sheet'!A55</f>
        <v>0</v>
      </c>
      <c r="C59" s="108" t="str">
        <f>CONCATENATE('SF Product Sheet'!E55, "%")</f>
        <v>%</v>
      </c>
      <c r="D59" s="109" t="str">
        <f>IF('SF Product Sheet'!F55="","",'SF Product Sheet'!F55)</f>
        <v/>
      </c>
      <c r="E59" s="110" t="str">
        <f>IF('SF Product Sheet'!AA55="","",IF('SF Product Sheet'!AA55=1,"1% of amount repaid",IF('SF Product Sheet'!AA55=2,"2%, 1% of amount repaid",IF('SF Product Sheet'!AA55=3,"3%, 2%, 1% of amount repaid",IF('SF Product Sheet'!AA55=5,"5%, 4%, 3%, 2%, 1% of amount repaid")))))</f>
        <v/>
      </c>
      <c r="F59" s="111">
        <f>'SF Product Sheet'!AS55</f>
        <v>0</v>
      </c>
      <c r="G59" s="112">
        <f>'SF Product Sheet'!AR55</f>
        <v>0</v>
      </c>
      <c r="H59" s="113">
        <f>'SF Product Sheet'!AX55</f>
        <v>0</v>
      </c>
      <c r="I59" s="114">
        <f>'SF Product Sheet'!BA55</f>
        <v>0</v>
      </c>
      <c r="J59" s="115">
        <f>'SF Product Sheet'!AP55</f>
        <v>0</v>
      </c>
      <c r="K59" s="116">
        <f>'SF Product Sheet'!AQ55</f>
        <v>0</v>
      </c>
      <c r="L59" s="117" t="b">
        <f>IF(AND('SF Product Sheet'!X55="10%",'SF Product Sheet'!CB55="Yes"), "Increased Overpayments Permitted (10% per annum)
MIG Paid by NBS", IF(AND('SF Product Sheet'!X55="10%",'SF Product Sheet'!AM55=0, 'SF Product Sheet'!AO55="No"),"Increased Overpayments Permitted (10% per annum)",IF(AND('SF Product Sheet'!X55="10%",'SF Product Sheet'!AM55=500, 'SF Product Sheet'!AO55="No"),"£500 Cashback 
Increased Overpayments Permitted (10% per annum)",IF(AND('SF Product Sheet'!X55="10%",'SF Product Sheet'!AM55=1000, 'SF Product Sheet'!AO55="No"),"£1000 Cashback 
Increased Overpayments Permitted (10% per annum)", IF(AND('SF Product Sheet'!X55="10%",'SF Product Sheet'!AM55=500, 'SF Product Sheet'!AO55="Yes"),"£500 Cashback 
Free Standard Valuation up to £500,000
Increased Overpayments Permitted (10% per annum)", IF(AND('SF Product Sheet'!X55="10%",'SF Product Sheet'!AM55=1000, 'SF Product Sheet'!AO55="Yes"),"£1000 Cashback 
Free Standard Valuation up to £500,000
Increased Overpayments Permitted (10% per annum)", IF(AND('SF Product Sheet'!X55="10%",'SF Product Sheet'!AM55=0, 'SF Product Sheet'!AO55="Yes"),"Free Standard Valuation up to £500,000
Increased Overpayments Permitted (10% per annum)", IF(AND('SF Product Sheet'!X55="",'SF Product Sheet'!AM55=0, 'SF Product Sheet'!AO55="No"),"N/A"))))))))</f>
        <v>0</v>
      </c>
    </row>
    <row r="60" spans="1:12">
      <c r="A60" s="107" t="str">
        <f>CONCATENATE("Product Code", " ",
 'SF Product Sheet'!C56)</f>
        <v xml:space="preserve">Product Code </v>
      </c>
      <c r="B60" s="106">
        <f>'SF Product Sheet'!A56</f>
        <v>0</v>
      </c>
      <c r="C60" s="108" t="str">
        <f>CONCATENATE('SF Product Sheet'!E56, "%")</f>
        <v>%</v>
      </c>
      <c r="D60" s="109" t="str">
        <f>IF('SF Product Sheet'!F56="","",'SF Product Sheet'!F56)</f>
        <v/>
      </c>
      <c r="E60" s="110" t="str">
        <f>IF('SF Product Sheet'!AA56="","",IF('SF Product Sheet'!AA56=1,"1% of amount repaid",IF('SF Product Sheet'!AA56=2,"2%, 1% of amount repaid",IF('SF Product Sheet'!AA56=3,"3%, 2%, 1% of amount repaid",IF('SF Product Sheet'!AA56=5,"5%, 4%, 3%, 2%, 1% of amount repaid")))))</f>
        <v/>
      </c>
      <c r="F60" s="111">
        <f>'SF Product Sheet'!AS56</f>
        <v>0</v>
      </c>
      <c r="G60" s="112">
        <f>'SF Product Sheet'!AR56</f>
        <v>0</v>
      </c>
      <c r="H60" s="113">
        <f>'SF Product Sheet'!AX56</f>
        <v>0</v>
      </c>
      <c r="I60" s="114">
        <f>'SF Product Sheet'!BA56</f>
        <v>0</v>
      </c>
      <c r="J60" s="115">
        <f>'SF Product Sheet'!AP56</f>
        <v>0</v>
      </c>
      <c r="K60" s="116">
        <f>'SF Product Sheet'!AQ56</f>
        <v>0</v>
      </c>
      <c r="L60" s="117" t="b">
        <f>IF(AND('SF Product Sheet'!X56="10%",'SF Product Sheet'!CB56="Yes"), "Increased Overpayments Permitted (10% per annum)
MIG Paid by NBS", IF(AND('SF Product Sheet'!X56="10%",'SF Product Sheet'!AM56=0, 'SF Product Sheet'!AO56="No"),"Increased Overpayments Permitted (10% per annum)",IF(AND('SF Product Sheet'!X56="10%",'SF Product Sheet'!AM56=500, 'SF Product Sheet'!AO56="No"),"£500 Cashback 
Increased Overpayments Permitted (10% per annum)",IF(AND('SF Product Sheet'!X56="10%",'SF Product Sheet'!AM56=1000, 'SF Product Sheet'!AO56="No"),"£1000 Cashback 
Increased Overpayments Permitted (10% per annum)", IF(AND('SF Product Sheet'!X56="10%",'SF Product Sheet'!AM56=500, 'SF Product Sheet'!AO56="Yes"),"£500 Cashback 
Free Standard Valuation up to £500,000
Increased Overpayments Permitted (10% per annum)", IF(AND('SF Product Sheet'!X56="10%",'SF Product Sheet'!AM56=1000, 'SF Product Sheet'!AO56="Yes"),"£1000 Cashback 
Free Standard Valuation up to £500,000
Increased Overpayments Permitted (10% per annum)", IF(AND('SF Product Sheet'!X56="10%",'SF Product Sheet'!AM56=0, 'SF Product Sheet'!AO56="Yes"),"Free Standard Valuation up to £500,000
Increased Overpayments Permitted (10% per annum)", IF(AND('SF Product Sheet'!X56="",'SF Product Sheet'!AM56=0, 'SF Product Sheet'!AO56="No"),"N/A"))))))))</f>
        <v>0</v>
      </c>
    </row>
    <row r="61" spans="1:12">
      <c r="A61" s="107" t="str">
        <f>CONCATENATE("Product Code", " ",
 'SF Product Sheet'!C57)</f>
        <v xml:space="preserve">Product Code </v>
      </c>
      <c r="B61" s="106">
        <f>'SF Product Sheet'!A57</f>
        <v>0</v>
      </c>
      <c r="C61" s="108" t="str">
        <f>CONCATENATE('SF Product Sheet'!E57, "%")</f>
        <v>%</v>
      </c>
      <c r="D61" s="109" t="str">
        <f>IF('SF Product Sheet'!F57="","",'SF Product Sheet'!F57)</f>
        <v/>
      </c>
      <c r="E61" s="110" t="str">
        <f>IF('SF Product Sheet'!AA57="","",IF('SF Product Sheet'!AA57=1,"1% of amount repaid",IF('SF Product Sheet'!AA57=2,"2%, 1% of amount repaid",IF('SF Product Sheet'!AA57=3,"3%, 2%, 1% of amount repaid",IF('SF Product Sheet'!AA57=5,"5%, 4%, 3%, 2%, 1% of amount repaid")))))</f>
        <v/>
      </c>
      <c r="F61" s="111">
        <f>'SF Product Sheet'!AS57</f>
        <v>0</v>
      </c>
      <c r="G61" s="112">
        <f>'SF Product Sheet'!AR57</f>
        <v>0</v>
      </c>
      <c r="H61" s="113">
        <f>'SF Product Sheet'!AX57</f>
        <v>0</v>
      </c>
      <c r="I61" s="114">
        <f>'SF Product Sheet'!BA57</f>
        <v>0</v>
      </c>
      <c r="J61" s="115">
        <f>'SF Product Sheet'!AP57</f>
        <v>0</v>
      </c>
      <c r="K61" s="116">
        <f>'SF Product Sheet'!AQ57</f>
        <v>0</v>
      </c>
      <c r="L61" s="117" t="b">
        <f>IF(AND('SF Product Sheet'!X57="10%",'SF Product Sheet'!CB57="Yes"), "Increased Overpayments Permitted (10% per annum)
MIG Paid by NBS", IF(AND('SF Product Sheet'!X57="10%",'SF Product Sheet'!AM57=0, 'SF Product Sheet'!AO57="No"),"Increased Overpayments Permitted (10% per annum)",IF(AND('SF Product Sheet'!X57="10%",'SF Product Sheet'!AM57=500, 'SF Product Sheet'!AO57="No"),"£500 Cashback 
Increased Overpayments Permitted (10% per annum)",IF(AND('SF Product Sheet'!X57="10%",'SF Product Sheet'!AM57=1000, 'SF Product Sheet'!AO57="No"),"£1000 Cashback 
Increased Overpayments Permitted (10% per annum)", IF(AND('SF Product Sheet'!X57="10%",'SF Product Sheet'!AM57=500, 'SF Product Sheet'!AO57="Yes"),"£500 Cashback 
Free Standard Valuation up to £500,000
Increased Overpayments Permitted (10% per annum)", IF(AND('SF Product Sheet'!X57="10%",'SF Product Sheet'!AM57=1000, 'SF Product Sheet'!AO57="Yes"),"£1000 Cashback 
Free Standard Valuation up to £500,000
Increased Overpayments Permitted (10% per annum)", IF(AND('SF Product Sheet'!X57="10%",'SF Product Sheet'!AM57=0, 'SF Product Sheet'!AO57="Yes"),"Free Standard Valuation up to £500,000
Increased Overpayments Permitted (10% per annum)", IF(AND('SF Product Sheet'!X57="",'SF Product Sheet'!AM57=0, 'SF Product Sheet'!AO57="No"),"N/A"))))))))</f>
        <v>0</v>
      </c>
    </row>
    <row r="62" spans="1:12">
      <c r="A62" s="107" t="str">
        <f>CONCATENATE("Product Code", " ",
 'SF Product Sheet'!C58)</f>
        <v xml:space="preserve">Product Code </v>
      </c>
      <c r="B62" s="106">
        <f>'SF Product Sheet'!A58</f>
        <v>0</v>
      </c>
      <c r="C62" s="108" t="str">
        <f>CONCATENATE('SF Product Sheet'!E58, "%")</f>
        <v>%</v>
      </c>
      <c r="D62" s="109" t="str">
        <f>IF('SF Product Sheet'!F58="","",'SF Product Sheet'!F58)</f>
        <v/>
      </c>
      <c r="E62" s="110" t="str">
        <f>IF('SF Product Sheet'!AA58="","",IF('SF Product Sheet'!AA58=1,"1% of amount repaid",IF('SF Product Sheet'!AA58=2,"2%, 1% of amount repaid",IF('SF Product Sheet'!AA58=3,"3%, 2%, 1% of amount repaid",IF('SF Product Sheet'!AA58=5,"5%, 4%, 3%, 2%, 1% of amount repaid")))))</f>
        <v/>
      </c>
      <c r="F62" s="111">
        <f>'SF Product Sheet'!AS58</f>
        <v>0</v>
      </c>
      <c r="G62" s="112">
        <f>'SF Product Sheet'!AR58</f>
        <v>0</v>
      </c>
      <c r="H62" s="113">
        <f>'SF Product Sheet'!AX58</f>
        <v>0</v>
      </c>
      <c r="I62" s="114">
        <f>'SF Product Sheet'!BA58</f>
        <v>0</v>
      </c>
      <c r="J62" s="115">
        <f>'SF Product Sheet'!AP58</f>
        <v>0</v>
      </c>
      <c r="K62" s="116">
        <f>'SF Product Sheet'!AQ58</f>
        <v>0</v>
      </c>
      <c r="L62" s="117" t="b">
        <f>IF(AND('SF Product Sheet'!X58="10%",'SF Product Sheet'!CB58="Yes"), "Increased Overpayments Permitted (10% per annum)
MIG Paid by NBS", IF(AND('SF Product Sheet'!X58="10%",'SF Product Sheet'!AM58=0, 'SF Product Sheet'!AO58="No"),"Increased Overpayments Permitted (10% per annum)",IF(AND('SF Product Sheet'!X58="10%",'SF Product Sheet'!AM58=500, 'SF Product Sheet'!AO58="No"),"£500 Cashback 
Increased Overpayments Permitted (10% per annum)",IF(AND('SF Product Sheet'!X58="10%",'SF Product Sheet'!AM58=1000, 'SF Product Sheet'!AO58="No"),"£1000 Cashback 
Increased Overpayments Permitted (10% per annum)", IF(AND('SF Product Sheet'!X58="10%",'SF Product Sheet'!AM58=500, 'SF Product Sheet'!AO58="Yes"),"£500 Cashback 
Free Standard Valuation up to £500,000
Increased Overpayments Permitted (10% per annum)", IF(AND('SF Product Sheet'!X58="10%",'SF Product Sheet'!AM58=1000, 'SF Product Sheet'!AO58="Yes"),"£1000 Cashback 
Free Standard Valuation up to £500,000
Increased Overpayments Permitted (10% per annum)", IF(AND('SF Product Sheet'!X58="10%",'SF Product Sheet'!AM58=0, 'SF Product Sheet'!AO58="Yes"),"Free Standard Valuation up to £500,000
Increased Overpayments Permitted (10% per annum)", IF(AND('SF Product Sheet'!X58="",'SF Product Sheet'!AM58=0, 'SF Product Sheet'!AO58="No"),"N/A"))))))))</f>
        <v>0</v>
      </c>
    </row>
    <row r="63" spans="1:12">
      <c r="A63" s="107" t="str">
        <f>CONCATENATE("Product Code", " ",
 'SF Product Sheet'!C59)</f>
        <v xml:space="preserve">Product Code </v>
      </c>
      <c r="B63" s="106">
        <f>'SF Product Sheet'!A59</f>
        <v>0</v>
      </c>
      <c r="C63" s="108" t="str">
        <f>CONCATENATE('SF Product Sheet'!E59, "%")</f>
        <v>%</v>
      </c>
      <c r="D63" s="109" t="str">
        <f>IF('SF Product Sheet'!F59="","",'SF Product Sheet'!F59)</f>
        <v/>
      </c>
      <c r="E63" s="110" t="str">
        <f>IF('SF Product Sheet'!AA59="","",IF('SF Product Sheet'!AA59=1,"1% of amount repaid",IF('SF Product Sheet'!AA59=2,"2%, 1% of amount repaid",IF('SF Product Sheet'!AA59=3,"3%, 2%, 1% of amount repaid",IF('SF Product Sheet'!AA59=5,"5%, 4%, 3%, 2%, 1% of amount repaid")))))</f>
        <v/>
      </c>
      <c r="F63" s="111">
        <f>'SF Product Sheet'!AS59</f>
        <v>0</v>
      </c>
      <c r="G63" s="112">
        <f>'SF Product Sheet'!AR59</f>
        <v>0</v>
      </c>
      <c r="H63" s="113">
        <f>'SF Product Sheet'!AX59</f>
        <v>0</v>
      </c>
      <c r="I63" s="114">
        <f>'SF Product Sheet'!BA59</f>
        <v>0</v>
      </c>
      <c r="J63" s="115">
        <f>'SF Product Sheet'!AP59</f>
        <v>0</v>
      </c>
      <c r="K63" s="116">
        <f>'SF Product Sheet'!AQ59</f>
        <v>0</v>
      </c>
      <c r="L63" s="117" t="b">
        <f>IF(AND('SF Product Sheet'!X59="10%",'SF Product Sheet'!CB59="Yes"), "Increased Overpayments Permitted (10% per annum)
MIG Paid by NBS", IF(AND('SF Product Sheet'!X59="10%",'SF Product Sheet'!AM59=0, 'SF Product Sheet'!AO59="No"),"Increased Overpayments Permitted (10% per annum)",IF(AND('SF Product Sheet'!X59="10%",'SF Product Sheet'!AM59=500, 'SF Product Sheet'!AO59="No"),"£500 Cashback 
Increased Overpayments Permitted (10% per annum)",IF(AND('SF Product Sheet'!X59="10%",'SF Product Sheet'!AM59=1000, 'SF Product Sheet'!AO59="No"),"£1000 Cashback 
Increased Overpayments Permitted (10% per annum)", IF(AND('SF Product Sheet'!X59="10%",'SF Product Sheet'!AM59=500, 'SF Product Sheet'!AO59="Yes"),"£500 Cashback 
Free Standard Valuation up to £500,000
Increased Overpayments Permitted (10% per annum)", IF(AND('SF Product Sheet'!X59="10%",'SF Product Sheet'!AM59=1000, 'SF Product Sheet'!AO59="Yes"),"£1000 Cashback 
Free Standard Valuation up to £500,000
Increased Overpayments Permitted (10% per annum)", IF(AND('SF Product Sheet'!X59="10%",'SF Product Sheet'!AM59=0, 'SF Product Sheet'!AO59="Yes"),"Free Standard Valuation up to £500,000
Increased Overpayments Permitted (10% per annum)", IF(AND('SF Product Sheet'!X59="",'SF Product Sheet'!AM59=0, 'SF Product Sheet'!AO59="No"),"N/A"))))))))</f>
        <v>0</v>
      </c>
    </row>
    <row r="64" spans="1:12">
      <c r="A64" s="107" t="str">
        <f>CONCATENATE("Product Code", " ",
 'SF Product Sheet'!C60)</f>
        <v xml:space="preserve">Product Code </v>
      </c>
      <c r="B64" s="106">
        <f>'SF Product Sheet'!A60</f>
        <v>0</v>
      </c>
      <c r="C64" s="108" t="str">
        <f>CONCATENATE('SF Product Sheet'!E60, "%")</f>
        <v>%</v>
      </c>
      <c r="D64" s="109" t="str">
        <f>IF('SF Product Sheet'!F60="","",'SF Product Sheet'!F60)</f>
        <v/>
      </c>
      <c r="E64" s="110" t="str">
        <f>IF('SF Product Sheet'!AA60="","",IF('SF Product Sheet'!AA60=1,"1% of amount repaid",IF('SF Product Sheet'!AA60=2,"2%, 1% of amount repaid",IF('SF Product Sheet'!AA60=3,"3%, 2%, 1% of amount repaid",IF('SF Product Sheet'!AA60=5,"5%, 4%, 3%, 2%, 1% of amount repaid")))))</f>
        <v/>
      </c>
      <c r="F64" s="111">
        <f>'SF Product Sheet'!AS60</f>
        <v>0</v>
      </c>
      <c r="G64" s="112">
        <f>'SF Product Sheet'!AR60</f>
        <v>0</v>
      </c>
      <c r="H64" s="113">
        <f>'SF Product Sheet'!AX60</f>
        <v>0</v>
      </c>
      <c r="I64" s="114">
        <f>'SF Product Sheet'!BA60</f>
        <v>0</v>
      </c>
      <c r="J64" s="115">
        <f>'SF Product Sheet'!AP60</f>
        <v>0</v>
      </c>
      <c r="K64" s="116">
        <f>'SF Product Sheet'!AQ60</f>
        <v>0</v>
      </c>
      <c r="L64" s="117" t="b">
        <f>IF(AND('SF Product Sheet'!X60="10%",'SF Product Sheet'!CB60="Yes"), "Increased Overpayments Permitted (10% per annum)
MIG Paid by NBS", IF(AND('SF Product Sheet'!X60="10%",'SF Product Sheet'!AM60=0, 'SF Product Sheet'!AO60="No"),"Increased Overpayments Permitted (10% per annum)",IF(AND('SF Product Sheet'!X60="10%",'SF Product Sheet'!AM60=500, 'SF Product Sheet'!AO60="No"),"£500 Cashback 
Increased Overpayments Permitted (10% per annum)",IF(AND('SF Product Sheet'!X60="10%",'SF Product Sheet'!AM60=1000, 'SF Product Sheet'!AO60="No"),"£1000 Cashback 
Increased Overpayments Permitted (10% per annum)", IF(AND('SF Product Sheet'!X60="10%",'SF Product Sheet'!AM60=500, 'SF Product Sheet'!AO60="Yes"),"£500 Cashback 
Free Standard Valuation up to £500,000
Increased Overpayments Permitted (10% per annum)", IF(AND('SF Product Sheet'!X60="10%",'SF Product Sheet'!AM60=1000, 'SF Product Sheet'!AO60="Yes"),"£1000 Cashback 
Free Standard Valuation up to £500,000
Increased Overpayments Permitted (10% per annum)", IF(AND('SF Product Sheet'!X60="10%",'SF Product Sheet'!AM60=0, 'SF Product Sheet'!AO60="Yes"),"Free Standard Valuation up to £500,000
Increased Overpayments Permitted (10% per annum)", IF(AND('SF Product Sheet'!X60="",'SF Product Sheet'!AM60=0, 'SF Product Sheet'!AO60="No"),"N/A"))))))))</f>
        <v>0</v>
      </c>
    </row>
  </sheetData>
  <pageMargins left="0.7" right="0.7" top="0.75" bottom="0.75" header="0.3" footer="0.3"/>
  <headerFooter>
    <oddFooter>&amp;C_x000D_&amp;1#&amp;"Calibri"&amp;10&amp;K000000 Document classification: L3 - Normal.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9"/>
  <sheetViews>
    <sheetView topLeftCell="A9" workbookViewId="0">
      <selection activeCell="B19" sqref="B19"/>
    </sheetView>
  </sheetViews>
  <sheetFormatPr defaultRowHeight="15"/>
  <cols>
    <col min="1" max="1" width="16.85546875" bestFit="1" customWidth="1"/>
    <col min="4" max="4" width="30.7109375" customWidth="1"/>
  </cols>
  <sheetData>
    <row r="1" spans="1:5">
      <c r="A1" s="17" t="s">
        <v>494</v>
      </c>
      <c r="B1" s="17" t="s">
        <v>495</v>
      </c>
      <c r="C1" s="17"/>
      <c r="D1" s="17" t="s">
        <v>150</v>
      </c>
      <c r="E1" s="17" t="s">
        <v>496</v>
      </c>
    </row>
    <row r="2" spans="1:5">
      <c r="A2">
        <v>60</v>
      </c>
      <c r="B2" s="12">
        <v>1500000</v>
      </c>
      <c r="D2" s="13" t="s">
        <v>152</v>
      </c>
      <c r="E2" s="14">
        <v>30000</v>
      </c>
    </row>
    <row r="3" spans="1:5">
      <c r="A3">
        <v>65</v>
      </c>
      <c r="B3" s="12">
        <v>1500000</v>
      </c>
      <c r="D3" s="13" t="s">
        <v>509</v>
      </c>
      <c r="E3" s="14">
        <v>50000</v>
      </c>
    </row>
    <row r="4" spans="1:5">
      <c r="A4">
        <v>70</v>
      </c>
      <c r="B4" s="12">
        <v>1500000</v>
      </c>
      <c r="D4" s="13" t="s">
        <v>516</v>
      </c>
      <c r="E4" s="14">
        <v>50000</v>
      </c>
    </row>
    <row r="5" spans="1:5">
      <c r="A5">
        <v>75</v>
      </c>
      <c r="B5" s="12">
        <v>1500000</v>
      </c>
      <c r="D5" s="13" t="s">
        <v>520</v>
      </c>
      <c r="E5" s="14">
        <v>25000</v>
      </c>
    </row>
    <row r="6" spans="1:5">
      <c r="A6">
        <v>80</v>
      </c>
      <c r="B6" s="12">
        <v>1000000</v>
      </c>
      <c r="D6" s="13" t="s">
        <v>525</v>
      </c>
      <c r="E6" s="14">
        <v>50000</v>
      </c>
    </row>
    <row r="7" spans="1:5">
      <c r="A7">
        <v>85</v>
      </c>
      <c r="B7" s="12">
        <v>750000</v>
      </c>
      <c r="D7" s="13" t="s">
        <v>529</v>
      </c>
      <c r="E7" s="14">
        <v>1000</v>
      </c>
    </row>
    <row r="8" spans="1:5">
      <c r="A8">
        <v>90</v>
      </c>
      <c r="B8" s="12">
        <v>750000</v>
      </c>
      <c r="D8" s="13" t="s">
        <v>230</v>
      </c>
      <c r="E8" s="14">
        <v>25000</v>
      </c>
    </row>
    <row r="9" spans="1:5">
      <c r="A9">
        <v>95</v>
      </c>
      <c r="B9" s="12">
        <v>500000</v>
      </c>
    </row>
    <row r="10" spans="1:5">
      <c r="A10" s="13" t="s">
        <v>533</v>
      </c>
      <c r="B10" s="14">
        <v>500000</v>
      </c>
    </row>
    <row r="11" spans="1:5">
      <c r="A11" s="13" t="s">
        <v>536</v>
      </c>
      <c r="B11" s="14">
        <v>750000</v>
      </c>
    </row>
    <row r="12" spans="1:5">
      <c r="A12" s="13" t="s">
        <v>538</v>
      </c>
      <c r="B12" s="12">
        <v>1000000</v>
      </c>
    </row>
    <row r="13" spans="1:5">
      <c r="A13" s="13" t="s">
        <v>540</v>
      </c>
      <c r="B13" s="14">
        <v>450000</v>
      </c>
    </row>
    <row r="14" spans="1:5">
      <c r="A14" s="13" t="s">
        <v>542</v>
      </c>
      <c r="B14" s="14">
        <v>600000</v>
      </c>
    </row>
    <row r="15" spans="1:5">
      <c r="A15" s="13" t="s">
        <v>544</v>
      </c>
      <c r="B15" s="14">
        <v>2000000</v>
      </c>
    </row>
    <row r="16" spans="1:5">
      <c r="A16" s="13" t="s">
        <v>547</v>
      </c>
      <c r="B16" s="14">
        <v>1500000</v>
      </c>
    </row>
    <row r="17" spans="1:2">
      <c r="A17" s="13" t="s">
        <v>550</v>
      </c>
      <c r="B17" s="14">
        <v>1000000</v>
      </c>
    </row>
    <row r="18" spans="1:2">
      <c r="A18" s="13" t="s">
        <v>488</v>
      </c>
      <c r="B18" s="12">
        <v>399000</v>
      </c>
    </row>
    <row r="19" spans="1:2">
      <c r="A19" t="s">
        <v>570</v>
      </c>
      <c r="B19" s="12">
        <v>750000</v>
      </c>
    </row>
  </sheetData>
  <pageMargins left="0.7" right="0.7" top="0.75" bottom="0.75" header="0.3" footer="0.3"/>
  <pageSetup paperSize="9" orientation="portrait" r:id="rId1"/>
  <headerFooter>
    <oddFooter>&amp;C_x000D_&amp;1#&amp;"Calibri"&amp;10&amp;K000000 Document classification: L3 - Normal.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30d80e3-d789-417c-902e-3378c9f980cf">
      <UserInfo>
        <DisplayName>Ryan Quinn</DisplayName>
        <AccountId>23</AccountId>
        <AccountType/>
      </UserInfo>
      <UserInfo>
        <DisplayName>Karen Fisher</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161C6B69100C44AEF03FF632D1F804" ma:contentTypeVersion="8" ma:contentTypeDescription="Create a new document." ma:contentTypeScope="" ma:versionID="d0b3593b079988e105f60a496d93ec29">
  <xsd:schema xmlns:xsd="http://www.w3.org/2001/XMLSchema" xmlns:xs="http://www.w3.org/2001/XMLSchema" xmlns:p="http://schemas.microsoft.com/office/2006/metadata/properties" xmlns:ns2="6776a5d1-d990-4f97-b9f2-154b26a237dd" xmlns:ns3="630d80e3-d789-417c-902e-3378c9f980cf" targetNamespace="http://schemas.microsoft.com/office/2006/metadata/properties" ma:root="true" ma:fieldsID="77688503cd0c767894627d87b9a8ff53" ns2:_="" ns3:_="">
    <xsd:import namespace="6776a5d1-d990-4f97-b9f2-154b26a237dd"/>
    <xsd:import namespace="630d80e3-d789-417c-902e-3378c9f980c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76a5d1-d990-4f97-b9f2-154b26a237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0d80e3-d789-417c-902e-3378c9f980c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E4F6BA-6FD8-40FC-99EB-24486A7E7214}">
  <ds:schemaRefs>
    <ds:schemaRef ds:uri="http://schemas.microsoft.com/sharepoint/v3/contenttype/forms"/>
  </ds:schemaRefs>
</ds:datastoreItem>
</file>

<file path=customXml/itemProps2.xml><?xml version="1.0" encoding="utf-8"?>
<ds:datastoreItem xmlns:ds="http://schemas.openxmlformats.org/officeDocument/2006/customXml" ds:itemID="{02F0A8F4-B067-4872-AED6-A50F577B470D}">
  <ds:schemaRefs>
    <ds:schemaRef ds:uri="http://schemas.microsoft.com/office/2006/metadata/properties"/>
    <ds:schemaRef ds:uri="http://schemas.microsoft.com/office/infopath/2007/PartnerControls"/>
    <ds:schemaRef ds:uri="630d80e3-d789-417c-902e-3378c9f980cf"/>
  </ds:schemaRefs>
</ds:datastoreItem>
</file>

<file path=customXml/itemProps3.xml><?xml version="1.0" encoding="utf-8"?>
<ds:datastoreItem xmlns:ds="http://schemas.openxmlformats.org/officeDocument/2006/customXml" ds:itemID="{542C0C23-66D4-4888-A664-2EB43D013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76a5d1-d990-4f97-b9f2-154b26a237dd"/>
    <ds:schemaRef ds:uri="630d80e3-d789-417c-902e-3378c9f980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ea41624-9f7f-4319-b2e4-66017cb993ac}" enabled="1" method="Standard" siteId="{34e93469-cae0-46a4-9a74-b6a1e041500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Copy &amp; Paste</vt:lpstr>
      <vt:lpstr>Kontent</vt:lpstr>
      <vt:lpstr>Product Launch Brief - PM</vt:lpstr>
      <vt:lpstr>Withdrawals - PM</vt:lpstr>
      <vt:lpstr>Sourcing Systems</vt:lpstr>
      <vt:lpstr>APRCs</vt:lpstr>
      <vt:lpstr>SF Product Sheet</vt:lpstr>
      <vt:lpstr>Product Guide</vt:lpstr>
      <vt:lpstr>APRC Lookups</vt:lpstr>
      <vt:lpstr>Lookups (Hidden)</vt:lpstr>
      <vt:lpstr>Product Guide Data (Hidden)</vt:lpstr>
      <vt:lpstr>MaxMin Loans</vt:lpstr>
      <vt:lpstr>Guide</vt:lpstr>
      <vt:lpstr>lookup</vt:lpstr>
      <vt:lpstr>Max</vt:lpstr>
      <vt:lpstr>Min</vt:lpstr>
      <vt:lpstr>'Product Guide'!Print_Area</vt:lpstr>
      <vt:lpstr>Product</vt:lpstr>
    </vt:vector>
  </TitlesOfParts>
  <Manager/>
  <Company>Newcastle Building Society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Maloney</dc:creator>
  <cp:keywords/>
  <dc:description/>
  <cp:lastModifiedBy>Christopher Holmes</cp:lastModifiedBy>
  <cp:revision/>
  <dcterms:created xsi:type="dcterms:W3CDTF">2021-04-14T15:07:21Z</dcterms:created>
  <dcterms:modified xsi:type="dcterms:W3CDTF">2024-09-19T17:42:03Z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0x01010058161C6B69100C44AEF03FF632D1F804</vt:lpwstr>
  </property>
</Properties>
</file>