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notas\MATRIZ NUEVA\"/>
    </mc:Choice>
  </mc:AlternateContent>
  <bookViews>
    <workbookView xWindow="-120" yWindow="-120" windowWidth="20730" windowHeight="11160" firstSheet="4" activeTab="7"/>
  </bookViews>
  <sheets>
    <sheet name="DATOS" sheetId="1" r:id="rId1"/>
    <sheet name="NOTAS 1ER TRIMESTRE" sheetId="2" r:id="rId2"/>
    <sheet name="J.CURSO 1ER TRIMESTRE" sheetId="5" r:id="rId3"/>
    <sheet name="NOTAS 2DO TRIMESTRE" sheetId="6" r:id="rId4"/>
    <sheet name="J.CURSO 2DO TRIMESTRE " sheetId="7" r:id="rId5"/>
    <sheet name="NOTAS 3 ER TRIMESTRE" sheetId="8" r:id="rId6"/>
    <sheet name="J.CURSO 3 ER TRIMESTRE" sheetId="9" r:id="rId7"/>
    <sheet name="FINAL 7mo y 10mo" sheetId="10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9" l="1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16" i="9"/>
  <c r="S61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16" i="7"/>
  <c r="R61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17" i="5"/>
  <c r="R16" i="5"/>
  <c r="N17" i="6" l="1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16" i="6"/>
  <c r="N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15" i="6"/>
  <c r="N17" i="2" l="1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16" i="2"/>
  <c r="N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15" i="2"/>
  <c r="L54" i="10" l="1"/>
  <c r="AC10" i="10" l="1"/>
  <c r="AC11" i="10"/>
  <c r="AD11" i="10" s="1"/>
  <c r="AC12" i="10"/>
  <c r="AC13" i="10"/>
  <c r="AD13" i="10" s="1"/>
  <c r="AC14" i="10"/>
  <c r="AD14" i="10" s="1"/>
  <c r="AC15" i="10"/>
  <c r="AD15" i="10" s="1"/>
  <c r="AC16" i="10"/>
  <c r="AC17" i="10"/>
  <c r="AD17" i="10" s="1"/>
  <c r="AC18" i="10"/>
  <c r="AD18" i="10" s="1"/>
  <c r="AC19" i="10"/>
  <c r="AD19" i="10" s="1"/>
  <c r="AC20" i="10"/>
  <c r="AD20" i="10" s="1"/>
  <c r="AC21" i="10"/>
  <c r="AD21" i="10" s="1"/>
  <c r="AC22" i="10"/>
  <c r="AC23" i="10"/>
  <c r="AD23" i="10" s="1"/>
  <c r="AC24" i="10"/>
  <c r="AD24" i="10" s="1"/>
  <c r="AC25" i="10"/>
  <c r="AD25" i="10" s="1"/>
  <c r="AC26" i="10"/>
  <c r="AD26" i="10" s="1"/>
  <c r="AC27" i="10"/>
  <c r="AD27" i="10" s="1"/>
  <c r="AC28" i="10"/>
  <c r="AC29" i="10"/>
  <c r="AD29" i="10" s="1"/>
  <c r="AC30" i="10"/>
  <c r="AC31" i="10"/>
  <c r="AD31" i="10" s="1"/>
  <c r="AC32" i="10"/>
  <c r="AC33" i="10"/>
  <c r="AD33" i="10" s="1"/>
  <c r="AC34" i="10"/>
  <c r="AC35" i="10"/>
  <c r="AC36" i="10"/>
  <c r="AD36" i="10" s="1"/>
  <c r="AC37" i="10"/>
  <c r="AD37" i="10" s="1"/>
  <c r="AC38" i="10"/>
  <c r="AD38" i="10" s="1"/>
  <c r="AC39" i="10"/>
  <c r="AD39" i="10" s="1"/>
  <c r="AC40" i="10"/>
  <c r="AD40" i="10" s="1"/>
  <c r="AC41" i="10"/>
  <c r="AD41" i="10" s="1"/>
  <c r="AC42" i="10"/>
  <c r="AC43" i="10"/>
  <c r="AC44" i="10"/>
  <c r="AC45" i="10"/>
  <c r="AD45" i="10" s="1"/>
  <c r="AC46" i="10"/>
  <c r="AD46" i="10" s="1"/>
  <c r="AC47" i="10"/>
  <c r="AD47" i="10" s="1"/>
  <c r="AC48" i="10"/>
  <c r="AC49" i="10"/>
  <c r="AD49" i="10" s="1"/>
  <c r="AC50" i="10"/>
  <c r="AD50" i="10" s="1"/>
  <c r="AC51" i="10"/>
  <c r="AD51" i="10" s="1"/>
  <c r="AC52" i="10"/>
  <c r="AD52" i="10" s="1"/>
  <c r="AC53" i="10"/>
  <c r="AD53" i="10" s="1"/>
  <c r="AC9" i="10"/>
  <c r="AD9" i="10" s="1"/>
  <c r="F74" i="10"/>
  <c r="F73" i="10"/>
  <c r="B74" i="10"/>
  <c r="B73" i="10"/>
  <c r="P9" i="10"/>
  <c r="T9" i="10" s="1"/>
  <c r="U9" i="10" s="1"/>
  <c r="S9" i="10"/>
  <c r="P10" i="10"/>
  <c r="Q10" i="10" s="1"/>
  <c r="S10" i="10"/>
  <c r="P11" i="10"/>
  <c r="T11" i="10" s="1"/>
  <c r="U11" i="10" s="1"/>
  <c r="S11" i="10"/>
  <c r="P12" i="10"/>
  <c r="Q12" i="10" s="1"/>
  <c r="S12" i="10"/>
  <c r="P13" i="10"/>
  <c r="Q13" i="10" s="1"/>
  <c r="S13" i="10"/>
  <c r="P14" i="10"/>
  <c r="Q14" i="10" s="1"/>
  <c r="S14" i="10"/>
  <c r="P15" i="10"/>
  <c r="T15" i="10" s="1"/>
  <c r="U15" i="10" s="1"/>
  <c r="S15" i="10"/>
  <c r="P16" i="10"/>
  <c r="Q16" i="10" s="1"/>
  <c r="S16" i="10"/>
  <c r="P17" i="10"/>
  <c r="Q17" i="10" s="1"/>
  <c r="S17" i="10"/>
  <c r="P18" i="10"/>
  <c r="Q18" i="10" s="1"/>
  <c r="S18" i="10"/>
  <c r="P19" i="10"/>
  <c r="T19" i="10" s="1"/>
  <c r="U19" i="10" s="1"/>
  <c r="S19" i="10"/>
  <c r="P20" i="10"/>
  <c r="Q20" i="10" s="1"/>
  <c r="S20" i="10"/>
  <c r="P21" i="10"/>
  <c r="Q21" i="10" s="1"/>
  <c r="S21" i="10"/>
  <c r="P22" i="10"/>
  <c r="Q22" i="10" s="1"/>
  <c r="S22" i="10"/>
  <c r="P23" i="10"/>
  <c r="T23" i="10" s="1"/>
  <c r="U23" i="10" s="1"/>
  <c r="S23" i="10"/>
  <c r="P24" i="10"/>
  <c r="T24" i="10" s="1"/>
  <c r="U24" i="10" s="1"/>
  <c r="S24" i="10"/>
  <c r="P25" i="10"/>
  <c r="Q25" i="10" s="1"/>
  <c r="S25" i="10"/>
  <c r="P26" i="10"/>
  <c r="Q26" i="10" s="1"/>
  <c r="S26" i="10"/>
  <c r="P27" i="10"/>
  <c r="T27" i="10" s="1"/>
  <c r="U27" i="10" s="1"/>
  <c r="S27" i="10"/>
  <c r="P28" i="10"/>
  <c r="Q28" i="10" s="1"/>
  <c r="S28" i="10"/>
  <c r="P29" i="10"/>
  <c r="Q29" i="10" s="1"/>
  <c r="S29" i="10"/>
  <c r="P30" i="10"/>
  <c r="Q30" i="10" s="1"/>
  <c r="S30" i="10"/>
  <c r="P31" i="10"/>
  <c r="T31" i="10" s="1"/>
  <c r="U31" i="10" s="1"/>
  <c r="S31" i="10"/>
  <c r="P32" i="10"/>
  <c r="T32" i="10" s="1"/>
  <c r="U32" i="10" s="1"/>
  <c r="S32" i="10"/>
  <c r="P33" i="10"/>
  <c r="Q33" i="10" s="1"/>
  <c r="S33" i="10"/>
  <c r="P34" i="10"/>
  <c r="Q34" i="10" s="1"/>
  <c r="S34" i="10"/>
  <c r="P35" i="10"/>
  <c r="T35" i="10" s="1"/>
  <c r="U35" i="10" s="1"/>
  <c r="S35" i="10"/>
  <c r="P36" i="10"/>
  <c r="Q36" i="10" s="1"/>
  <c r="S36" i="10"/>
  <c r="P37" i="10"/>
  <c r="Q37" i="10" s="1"/>
  <c r="S37" i="10"/>
  <c r="P38" i="10"/>
  <c r="Q38" i="10" s="1"/>
  <c r="S38" i="10"/>
  <c r="P39" i="10"/>
  <c r="T39" i="10" s="1"/>
  <c r="U39" i="10" s="1"/>
  <c r="S39" i="10"/>
  <c r="P40" i="10"/>
  <c r="T40" i="10" s="1"/>
  <c r="U40" i="10" s="1"/>
  <c r="S40" i="10"/>
  <c r="P41" i="10"/>
  <c r="Q41" i="10" s="1"/>
  <c r="S41" i="10"/>
  <c r="P42" i="10"/>
  <c r="Q42" i="10" s="1"/>
  <c r="S42" i="10"/>
  <c r="P43" i="10"/>
  <c r="T43" i="10" s="1"/>
  <c r="U43" i="10" s="1"/>
  <c r="S43" i="10"/>
  <c r="P44" i="10"/>
  <c r="Q44" i="10" s="1"/>
  <c r="S44" i="10"/>
  <c r="P45" i="10"/>
  <c r="Q45" i="10" s="1"/>
  <c r="S45" i="10"/>
  <c r="P46" i="10"/>
  <c r="Q46" i="10" s="1"/>
  <c r="S46" i="10"/>
  <c r="P47" i="10"/>
  <c r="T47" i="10" s="1"/>
  <c r="U47" i="10" s="1"/>
  <c r="S47" i="10"/>
  <c r="P48" i="10"/>
  <c r="T48" i="10" s="1"/>
  <c r="U48" i="10" s="1"/>
  <c r="S48" i="10"/>
  <c r="P49" i="10"/>
  <c r="Q49" i="10" s="1"/>
  <c r="S49" i="10"/>
  <c r="P50" i="10"/>
  <c r="T50" i="10" s="1"/>
  <c r="U50" i="10" s="1"/>
  <c r="S50" i="10"/>
  <c r="P51" i="10"/>
  <c r="T51" i="10" s="1"/>
  <c r="U51" i="10" s="1"/>
  <c r="S51" i="10"/>
  <c r="P52" i="10"/>
  <c r="Q52" i="10" s="1"/>
  <c r="S52" i="10"/>
  <c r="P53" i="10"/>
  <c r="Q53" i="10" s="1"/>
  <c r="S53" i="10"/>
  <c r="AD10" i="10"/>
  <c r="AD12" i="10"/>
  <c r="AD16" i="10"/>
  <c r="AD22" i="10"/>
  <c r="AD28" i="10"/>
  <c r="AD30" i="10"/>
  <c r="AD32" i="10"/>
  <c r="AD34" i="10"/>
  <c r="AD35" i="10"/>
  <c r="AD42" i="10"/>
  <c r="AD43" i="10"/>
  <c r="AD44" i="10"/>
  <c r="AD48" i="10"/>
  <c r="F16" i="2"/>
  <c r="M16" i="2"/>
  <c r="G17" i="5" s="1"/>
  <c r="L17" i="5"/>
  <c r="M17" i="5" s="1"/>
  <c r="N17" i="5"/>
  <c r="O17" i="5" s="1"/>
  <c r="F16" i="6"/>
  <c r="C17" i="7" s="1"/>
  <c r="M16" i="6"/>
  <c r="G17" i="7" s="1"/>
  <c r="L17" i="7"/>
  <c r="M17" i="7" s="1"/>
  <c r="N17" i="7"/>
  <c r="O17" i="7" s="1"/>
  <c r="F16" i="8"/>
  <c r="M16" i="8"/>
  <c r="L17" i="9"/>
  <c r="M17" i="9" s="1"/>
  <c r="N17" i="9"/>
  <c r="O17" i="9" s="1"/>
  <c r="F17" i="2"/>
  <c r="C18" i="5" s="1"/>
  <c r="M17" i="2"/>
  <c r="G18" i="5" s="1"/>
  <c r="L18" i="5"/>
  <c r="M18" i="5" s="1"/>
  <c r="N18" i="5"/>
  <c r="O18" i="5" s="1"/>
  <c r="F17" i="6"/>
  <c r="C18" i="7" s="1"/>
  <c r="M17" i="6"/>
  <c r="G18" i="7" s="1"/>
  <c r="L18" i="7"/>
  <c r="M18" i="7" s="1"/>
  <c r="N18" i="7"/>
  <c r="O18" i="7" s="1"/>
  <c r="F17" i="8"/>
  <c r="M17" i="8"/>
  <c r="L18" i="9"/>
  <c r="M18" i="9" s="1"/>
  <c r="N18" i="9"/>
  <c r="O18" i="9" s="1"/>
  <c r="F18" i="2"/>
  <c r="C19" i="5" s="1"/>
  <c r="M18" i="2"/>
  <c r="G19" i="5" s="1"/>
  <c r="L19" i="5"/>
  <c r="M19" i="5" s="1"/>
  <c r="N19" i="5"/>
  <c r="O19" i="5" s="1"/>
  <c r="F18" i="6"/>
  <c r="C19" i="7" s="1"/>
  <c r="M18" i="6"/>
  <c r="L19" i="7"/>
  <c r="M19" i="7" s="1"/>
  <c r="N19" i="7"/>
  <c r="O19" i="7" s="1"/>
  <c r="F18" i="8"/>
  <c r="M18" i="8"/>
  <c r="L19" i="9"/>
  <c r="M19" i="9" s="1"/>
  <c r="N19" i="9"/>
  <c r="O19" i="9" s="1"/>
  <c r="F19" i="2"/>
  <c r="C20" i="5" s="1"/>
  <c r="M19" i="2"/>
  <c r="G20" i="5" s="1"/>
  <c r="L20" i="5"/>
  <c r="M20" i="5" s="1"/>
  <c r="N20" i="5"/>
  <c r="O20" i="5" s="1"/>
  <c r="F19" i="6"/>
  <c r="C20" i="7" s="1"/>
  <c r="M19" i="6"/>
  <c r="G20" i="7" s="1"/>
  <c r="L20" i="7"/>
  <c r="M20" i="7" s="1"/>
  <c r="N20" i="7"/>
  <c r="O20" i="7" s="1"/>
  <c r="F19" i="8"/>
  <c r="M19" i="8"/>
  <c r="L20" i="9"/>
  <c r="M20" i="9" s="1"/>
  <c r="N20" i="9"/>
  <c r="O20" i="9" s="1"/>
  <c r="F20" i="2"/>
  <c r="M20" i="2"/>
  <c r="G21" i="5" s="1"/>
  <c r="L21" i="5"/>
  <c r="M21" i="5" s="1"/>
  <c r="N21" i="5"/>
  <c r="O21" i="5" s="1"/>
  <c r="F20" i="6"/>
  <c r="C21" i="7" s="1"/>
  <c r="M20" i="6"/>
  <c r="G21" i="7" s="1"/>
  <c r="L21" i="7"/>
  <c r="M21" i="7" s="1"/>
  <c r="N21" i="7"/>
  <c r="O21" i="7" s="1"/>
  <c r="F20" i="8"/>
  <c r="M20" i="8"/>
  <c r="L21" i="9"/>
  <c r="M21" i="9" s="1"/>
  <c r="N21" i="9"/>
  <c r="O21" i="9" s="1"/>
  <c r="F21" i="2"/>
  <c r="C22" i="5" s="1"/>
  <c r="M21" i="2"/>
  <c r="G22" i="5" s="1"/>
  <c r="L22" i="5"/>
  <c r="M22" i="5" s="1"/>
  <c r="N22" i="5"/>
  <c r="O22" i="5" s="1"/>
  <c r="F21" i="6"/>
  <c r="C22" i="7" s="1"/>
  <c r="M21" i="6"/>
  <c r="O21" i="6" s="1"/>
  <c r="I22" i="7" s="1"/>
  <c r="L22" i="7"/>
  <c r="M22" i="7" s="1"/>
  <c r="N22" i="7"/>
  <c r="O22" i="7" s="1"/>
  <c r="F21" i="8"/>
  <c r="M21" i="8"/>
  <c r="L22" i="9"/>
  <c r="M22" i="9" s="1"/>
  <c r="N22" i="9"/>
  <c r="O22" i="9" s="1"/>
  <c r="F22" i="2"/>
  <c r="C23" i="5" s="1"/>
  <c r="M22" i="2"/>
  <c r="G23" i="5" s="1"/>
  <c r="L23" i="5"/>
  <c r="M23" i="5" s="1"/>
  <c r="N23" i="5"/>
  <c r="O23" i="5" s="1"/>
  <c r="F22" i="6"/>
  <c r="C23" i="7" s="1"/>
  <c r="M22" i="6"/>
  <c r="G23" i="7" s="1"/>
  <c r="L23" i="7"/>
  <c r="M23" i="7" s="1"/>
  <c r="N23" i="7"/>
  <c r="O23" i="7" s="1"/>
  <c r="F22" i="8"/>
  <c r="M22" i="8"/>
  <c r="L23" i="9"/>
  <c r="M23" i="9" s="1"/>
  <c r="N23" i="9"/>
  <c r="O23" i="9" s="1"/>
  <c r="F23" i="2"/>
  <c r="M23" i="2"/>
  <c r="G24" i="5" s="1"/>
  <c r="L24" i="5"/>
  <c r="M24" i="5" s="1"/>
  <c r="N24" i="5"/>
  <c r="O24" i="5" s="1"/>
  <c r="F23" i="6"/>
  <c r="C24" i="7" s="1"/>
  <c r="M23" i="6"/>
  <c r="G24" i="7" s="1"/>
  <c r="L24" i="7"/>
  <c r="M24" i="7" s="1"/>
  <c r="N24" i="7"/>
  <c r="O24" i="7" s="1"/>
  <c r="F23" i="8"/>
  <c r="M23" i="8"/>
  <c r="L24" i="9"/>
  <c r="M24" i="9" s="1"/>
  <c r="N24" i="9"/>
  <c r="O24" i="9" s="1"/>
  <c r="F24" i="2"/>
  <c r="C25" i="5" s="1"/>
  <c r="M24" i="2"/>
  <c r="G25" i="5" s="1"/>
  <c r="L25" i="5"/>
  <c r="M25" i="5" s="1"/>
  <c r="N25" i="5"/>
  <c r="O25" i="5" s="1"/>
  <c r="F24" i="6"/>
  <c r="C25" i="7" s="1"/>
  <c r="M24" i="6"/>
  <c r="G25" i="7" s="1"/>
  <c r="L25" i="7"/>
  <c r="M25" i="7" s="1"/>
  <c r="N25" i="7"/>
  <c r="O25" i="7" s="1"/>
  <c r="F24" i="8"/>
  <c r="M24" i="8"/>
  <c r="L25" i="9"/>
  <c r="M25" i="9" s="1"/>
  <c r="N25" i="9"/>
  <c r="O25" i="9" s="1"/>
  <c r="F25" i="2"/>
  <c r="C26" i="5" s="1"/>
  <c r="M25" i="2"/>
  <c r="G26" i="5" s="1"/>
  <c r="L26" i="5"/>
  <c r="M26" i="5" s="1"/>
  <c r="N26" i="5"/>
  <c r="O26" i="5" s="1"/>
  <c r="F25" i="6"/>
  <c r="C26" i="7" s="1"/>
  <c r="M25" i="6"/>
  <c r="G26" i="7" s="1"/>
  <c r="L26" i="7"/>
  <c r="M26" i="7" s="1"/>
  <c r="N26" i="7"/>
  <c r="O26" i="7" s="1"/>
  <c r="F25" i="8"/>
  <c r="M25" i="8"/>
  <c r="L26" i="9"/>
  <c r="M26" i="9" s="1"/>
  <c r="N26" i="9"/>
  <c r="O26" i="9" s="1"/>
  <c r="F26" i="2"/>
  <c r="C27" i="5" s="1"/>
  <c r="M26" i="2"/>
  <c r="G27" i="5" s="1"/>
  <c r="L27" i="5"/>
  <c r="M27" i="5" s="1"/>
  <c r="N27" i="5"/>
  <c r="O27" i="5" s="1"/>
  <c r="F26" i="6"/>
  <c r="C27" i="7" s="1"/>
  <c r="M26" i="6"/>
  <c r="L27" i="7"/>
  <c r="M27" i="7" s="1"/>
  <c r="N27" i="7"/>
  <c r="O27" i="7" s="1"/>
  <c r="F26" i="8"/>
  <c r="M26" i="8"/>
  <c r="L27" i="9"/>
  <c r="M27" i="9" s="1"/>
  <c r="N27" i="9"/>
  <c r="O27" i="9" s="1"/>
  <c r="F27" i="2"/>
  <c r="M27" i="2"/>
  <c r="G28" i="5" s="1"/>
  <c r="L28" i="5"/>
  <c r="M28" i="5" s="1"/>
  <c r="N28" i="5"/>
  <c r="O28" i="5" s="1"/>
  <c r="F27" i="6"/>
  <c r="C28" i="7" s="1"/>
  <c r="M27" i="6"/>
  <c r="G28" i="7" s="1"/>
  <c r="L28" i="7"/>
  <c r="M28" i="7" s="1"/>
  <c r="N28" i="7"/>
  <c r="O28" i="7" s="1"/>
  <c r="F27" i="8"/>
  <c r="M27" i="8"/>
  <c r="L28" i="9"/>
  <c r="M28" i="9" s="1"/>
  <c r="N28" i="9"/>
  <c r="O28" i="9" s="1"/>
  <c r="F28" i="2"/>
  <c r="C29" i="5" s="1"/>
  <c r="M28" i="2"/>
  <c r="G29" i="5" s="1"/>
  <c r="L29" i="5"/>
  <c r="M29" i="5" s="1"/>
  <c r="N29" i="5"/>
  <c r="O29" i="5" s="1"/>
  <c r="F28" i="6"/>
  <c r="C29" i="7" s="1"/>
  <c r="M28" i="6"/>
  <c r="O28" i="6" s="1"/>
  <c r="I29" i="7" s="1"/>
  <c r="L29" i="7"/>
  <c r="M29" i="7" s="1"/>
  <c r="N29" i="7"/>
  <c r="O29" i="7" s="1"/>
  <c r="F28" i="8"/>
  <c r="M28" i="8"/>
  <c r="L29" i="9"/>
  <c r="M29" i="9" s="1"/>
  <c r="N29" i="9"/>
  <c r="O29" i="9" s="1"/>
  <c r="F29" i="2"/>
  <c r="C30" i="5" s="1"/>
  <c r="M29" i="2"/>
  <c r="G30" i="5" s="1"/>
  <c r="L30" i="5"/>
  <c r="M30" i="5" s="1"/>
  <c r="N30" i="5"/>
  <c r="O30" i="5" s="1"/>
  <c r="F29" i="6"/>
  <c r="C30" i="7" s="1"/>
  <c r="M29" i="6"/>
  <c r="L30" i="7"/>
  <c r="M30" i="7" s="1"/>
  <c r="N30" i="7"/>
  <c r="O30" i="7" s="1"/>
  <c r="F29" i="8"/>
  <c r="M29" i="8"/>
  <c r="L30" i="9"/>
  <c r="M30" i="9" s="1"/>
  <c r="N30" i="9"/>
  <c r="O30" i="9" s="1"/>
  <c r="F30" i="2"/>
  <c r="H30" i="2" s="1"/>
  <c r="E31" i="5" s="1"/>
  <c r="M30" i="2"/>
  <c r="G31" i="5" s="1"/>
  <c r="L31" i="5"/>
  <c r="M31" i="5" s="1"/>
  <c r="N31" i="5"/>
  <c r="O31" i="5" s="1"/>
  <c r="F30" i="6"/>
  <c r="C31" i="7" s="1"/>
  <c r="M30" i="6"/>
  <c r="G31" i="7" s="1"/>
  <c r="L31" i="7"/>
  <c r="M31" i="7" s="1"/>
  <c r="N31" i="7"/>
  <c r="O31" i="7" s="1"/>
  <c r="F30" i="8"/>
  <c r="M30" i="8"/>
  <c r="L31" i="9"/>
  <c r="M31" i="9" s="1"/>
  <c r="N31" i="9"/>
  <c r="O31" i="9" s="1"/>
  <c r="F31" i="2"/>
  <c r="M31" i="2"/>
  <c r="O31" i="2" s="1"/>
  <c r="I32" i="5" s="1"/>
  <c r="L32" i="5"/>
  <c r="M32" i="5" s="1"/>
  <c r="N32" i="5"/>
  <c r="O32" i="5" s="1"/>
  <c r="F31" i="6"/>
  <c r="C32" i="7" s="1"/>
  <c r="M31" i="6"/>
  <c r="G32" i="7" s="1"/>
  <c r="L32" i="7"/>
  <c r="M32" i="7" s="1"/>
  <c r="N32" i="7"/>
  <c r="O32" i="7" s="1"/>
  <c r="F31" i="8"/>
  <c r="M31" i="8"/>
  <c r="L32" i="9"/>
  <c r="M32" i="9" s="1"/>
  <c r="N32" i="9"/>
  <c r="O32" i="9" s="1"/>
  <c r="F32" i="2"/>
  <c r="C33" i="5" s="1"/>
  <c r="M32" i="2"/>
  <c r="G33" i="5" s="1"/>
  <c r="L33" i="5"/>
  <c r="M33" i="5" s="1"/>
  <c r="N33" i="5"/>
  <c r="O33" i="5" s="1"/>
  <c r="F32" i="6"/>
  <c r="C33" i="7" s="1"/>
  <c r="M32" i="6"/>
  <c r="O32" i="6" s="1"/>
  <c r="I33" i="7" s="1"/>
  <c r="L33" i="7"/>
  <c r="M33" i="7" s="1"/>
  <c r="N33" i="7"/>
  <c r="O33" i="7" s="1"/>
  <c r="F32" i="8"/>
  <c r="M32" i="8"/>
  <c r="L33" i="9"/>
  <c r="M33" i="9" s="1"/>
  <c r="N33" i="9"/>
  <c r="O33" i="9" s="1"/>
  <c r="F33" i="2"/>
  <c r="C34" i="5" s="1"/>
  <c r="M33" i="2"/>
  <c r="G34" i="5" s="1"/>
  <c r="L34" i="5"/>
  <c r="M34" i="5" s="1"/>
  <c r="N34" i="5"/>
  <c r="O34" i="5" s="1"/>
  <c r="F33" i="6"/>
  <c r="C34" i="7" s="1"/>
  <c r="M33" i="6"/>
  <c r="L34" i="7"/>
  <c r="M34" i="7" s="1"/>
  <c r="N34" i="7"/>
  <c r="O34" i="7" s="1"/>
  <c r="F33" i="8"/>
  <c r="M33" i="8"/>
  <c r="L34" i="9"/>
  <c r="M34" i="9" s="1"/>
  <c r="N34" i="9"/>
  <c r="O34" i="9" s="1"/>
  <c r="F34" i="2"/>
  <c r="H34" i="2" s="1"/>
  <c r="E35" i="5" s="1"/>
  <c r="M34" i="2"/>
  <c r="G35" i="5" s="1"/>
  <c r="L35" i="5"/>
  <c r="M35" i="5" s="1"/>
  <c r="N35" i="5"/>
  <c r="O35" i="5" s="1"/>
  <c r="F34" i="6"/>
  <c r="C35" i="7" s="1"/>
  <c r="M34" i="6"/>
  <c r="G35" i="7" s="1"/>
  <c r="L35" i="7"/>
  <c r="M35" i="7"/>
  <c r="N35" i="7"/>
  <c r="O35" i="7" s="1"/>
  <c r="F34" i="8"/>
  <c r="M34" i="8"/>
  <c r="L35" i="9"/>
  <c r="M35" i="9" s="1"/>
  <c r="N35" i="9"/>
  <c r="O35" i="9" s="1"/>
  <c r="F35" i="2"/>
  <c r="M35" i="2"/>
  <c r="G36" i="5" s="1"/>
  <c r="L36" i="5"/>
  <c r="M36" i="5" s="1"/>
  <c r="N36" i="5"/>
  <c r="O36" i="5" s="1"/>
  <c r="F35" i="6"/>
  <c r="C36" i="7" s="1"/>
  <c r="M35" i="6"/>
  <c r="G36" i="7" s="1"/>
  <c r="L36" i="7"/>
  <c r="M36" i="7" s="1"/>
  <c r="N36" i="7"/>
  <c r="O36" i="7" s="1"/>
  <c r="F35" i="8"/>
  <c r="M35" i="8"/>
  <c r="L36" i="9"/>
  <c r="M36" i="9" s="1"/>
  <c r="N36" i="9"/>
  <c r="O36" i="9" s="1"/>
  <c r="F36" i="2"/>
  <c r="C37" i="5" s="1"/>
  <c r="M36" i="2"/>
  <c r="G37" i="5" s="1"/>
  <c r="L37" i="5"/>
  <c r="M37" i="5" s="1"/>
  <c r="N37" i="5"/>
  <c r="O37" i="5" s="1"/>
  <c r="F36" i="6"/>
  <c r="C37" i="7" s="1"/>
  <c r="M36" i="6"/>
  <c r="L37" i="7"/>
  <c r="M37" i="7" s="1"/>
  <c r="N37" i="7"/>
  <c r="O37" i="7" s="1"/>
  <c r="F36" i="8"/>
  <c r="M36" i="8"/>
  <c r="L37" i="9"/>
  <c r="M37" i="9" s="1"/>
  <c r="N37" i="9"/>
  <c r="O37" i="9" s="1"/>
  <c r="F37" i="2"/>
  <c r="C38" i="5" s="1"/>
  <c r="M37" i="2"/>
  <c r="G38" i="5" s="1"/>
  <c r="L38" i="5"/>
  <c r="M38" i="5" s="1"/>
  <c r="N38" i="5"/>
  <c r="O38" i="5"/>
  <c r="F37" i="6"/>
  <c r="C38" i="7" s="1"/>
  <c r="M37" i="6"/>
  <c r="L38" i="7"/>
  <c r="M38" i="7" s="1"/>
  <c r="N38" i="7"/>
  <c r="O38" i="7" s="1"/>
  <c r="F37" i="8"/>
  <c r="M37" i="8"/>
  <c r="L38" i="9"/>
  <c r="M38" i="9" s="1"/>
  <c r="N38" i="9"/>
  <c r="O38" i="9" s="1"/>
  <c r="F38" i="2"/>
  <c r="C39" i="5" s="1"/>
  <c r="M38" i="2"/>
  <c r="G39" i="5" s="1"/>
  <c r="L39" i="5"/>
  <c r="M39" i="5" s="1"/>
  <c r="N39" i="5"/>
  <c r="O39" i="5" s="1"/>
  <c r="F38" i="6"/>
  <c r="H38" i="6" s="1"/>
  <c r="E39" i="7" s="1"/>
  <c r="M38" i="6"/>
  <c r="G39" i="7" s="1"/>
  <c r="L39" i="7"/>
  <c r="M39" i="7"/>
  <c r="N39" i="7"/>
  <c r="O39" i="7" s="1"/>
  <c r="F38" i="8"/>
  <c r="M38" i="8"/>
  <c r="L39" i="9"/>
  <c r="M39" i="9" s="1"/>
  <c r="N39" i="9"/>
  <c r="O39" i="9" s="1"/>
  <c r="F39" i="2"/>
  <c r="M39" i="2"/>
  <c r="L40" i="5"/>
  <c r="M40" i="5" s="1"/>
  <c r="N40" i="5"/>
  <c r="O40" i="5" s="1"/>
  <c r="F39" i="6"/>
  <c r="C40" i="7" s="1"/>
  <c r="M39" i="6"/>
  <c r="G40" i="7" s="1"/>
  <c r="L40" i="7"/>
  <c r="M40" i="7" s="1"/>
  <c r="N40" i="7"/>
  <c r="O40" i="7" s="1"/>
  <c r="F39" i="8"/>
  <c r="M39" i="8"/>
  <c r="L40" i="9"/>
  <c r="M40" i="9" s="1"/>
  <c r="N40" i="9"/>
  <c r="O40" i="9" s="1"/>
  <c r="F40" i="2"/>
  <c r="C41" i="5" s="1"/>
  <c r="M40" i="2"/>
  <c r="L41" i="5"/>
  <c r="M41" i="5" s="1"/>
  <c r="N41" i="5"/>
  <c r="O41" i="5" s="1"/>
  <c r="F40" i="6"/>
  <c r="C41" i="7" s="1"/>
  <c r="M40" i="6"/>
  <c r="O40" i="6" s="1"/>
  <c r="I41" i="7" s="1"/>
  <c r="L41" i="7"/>
  <c r="M41" i="7" s="1"/>
  <c r="N41" i="7"/>
  <c r="O41" i="7" s="1"/>
  <c r="F40" i="8"/>
  <c r="M40" i="8"/>
  <c r="L41" i="9"/>
  <c r="M41" i="9" s="1"/>
  <c r="N41" i="9"/>
  <c r="O41" i="9" s="1"/>
  <c r="F41" i="2"/>
  <c r="C42" i="5" s="1"/>
  <c r="M41" i="2"/>
  <c r="O41" i="2" s="1"/>
  <c r="I42" i="5" s="1"/>
  <c r="G42" i="5"/>
  <c r="L42" i="5"/>
  <c r="M42" i="5" s="1"/>
  <c r="N42" i="5"/>
  <c r="O42" i="5" s="1"/>
  <c r="F41" i="6"/>
  <c r="C42" i="7" s="1"/>
  <c r="M41" i="6"/>
  <c r="L42" i="7"/>
  <c r="M42" i="7" s="1"/>
  <c r="N42" i="7"/>
  <c r="O42" i="7" s="1"/>
  <c r="F41" i="8"/>
  <c r="M41" i="8"/>
  <c r="L42" i="9"/>
  <c r="M42" i="9" s="1"/>
  <c r="N42" i="9"/>
  <c r="O42" i="9" s="1"/>
  <c r="F42" i="2"/>
  <c r="C43" i="5" s="1"/>
  <c r="M42" i="2"/>
  <c r="O42" i="2" s="1"/>
  <c r="I43" i="5" s="1"/>
  <c r="G43" i="5"/>
  <c r="L43" i="5"/>
  <c r="M43" i="5" s="1"/>
  <c r="N43" i="5"/>
  <c r="O43" i="5" s="1"/>
  <c r="F42" i="6"/>
  <c r="C43" i="7" s="1"/>
  <c r="M42" i="6"/>
  <c r="G43" i="7" s="1"/>
  <c r="L43" i="7"/>
  <c r="M43" i="7" s="1"/>
  <c r="N43" i="7"/>
  <c r="O43" i="7" s="1"/>
  <c r="F42" i="8"/>
  <c r="M42" i="8"/>
  <c r="L43" i="9"/>
  <c r="M43" i="9" s="1"/>
  <c r="N43" i="9"/>
  <c r="O43" i="9" s="1"/>
  <c r="F43" i="2"/>
  <c r="M43" i="2"/>
  <c r="G44" i="5" s="1"/>
  <c r="L44" i="5"/>
  <c r="M44" i="5" s="1"/>
  <c r="N44" i="5"/>
  <c r="O44" i="5" s="1"/>
  <c r="F43" i="6"/>
  <c r="C44" i="7" s="1"/>
  <c r="M43" i="6"/>
  <c r="G44" i="7" s="1"/>
  <c r="L44" i="7"/>
  <c r="M44" i="7" s="1"/>
  <c r="N44" i="7"/>
  <c r="O44" i="7" s="1"/>
  <c r="F43" i="8"/>
  <c r="G43" i="8" s="1"/>
  <c r="M43" i="8"/>
  <c r="L44" i="9"/>
  <c r="M44" i="9" s="1"/>
  <c r="N44" i="9"/>
  <c r="O44" i="9" s="1"/>
  <c r="F44" i="2"/>
  <c r="C45" i="5" s="1"/>
  <c r="M44" i="2"/>
  <c r="G45" i="5" s="1"/>
  <c r="L45" i="5"/>
  <c r="M45" i="5" s="1"/>
  <c r="N45" i="5"/>
  <c r="O45" i="5" s="1"/>
  <c r="F44" i="6"/>
  <c r="C45" i="7" s="1"/>
  <c r="M44" i="6"/>
  <c r="L45" i="7"/>
  <c r="M45" i="7" s="1"/>
  <c r="N45" i="7"/>
  <c r="O45" i="7" s="1"/>
  <c r="F44" i="8"/>
  <c r="C45" i="9"/>
  <c r="M44" i="8"/>
  <c r="L45" i="9"/>
  <c r="M45" i="9" s="1"/>
  <c r="N45" i="9"/>
  <c r="O45" i="9" s="1"/>
  <c r="F45" i="2"/>
  <c r="C46" i="5" s="1"/>
  <c r="M45" i="2"/>
  <c r="G46" i="5" s="1"/>
  <c r="L46" i="5"/>
  <c r="M46" i="5" s="1"/>
  <c r="N46" i="5"/>
  <c r="O46" i="5" s="1"/>
  <c r="F45" i="6"/>
  <c r="C46" i="7" s="1"/>
  <c r="M45" i="6"/>
  <c r="L46" i="7"/>
  <c r="M46" i="7" s="1"/>
  <c r="N46" i="7"/>
  <c r="O46" i="7" s="1"/>
  <c r="F45" i="8"/>
  <c r="M45" i="8"/>
  <c r="L46" i="9"/>
  <c r="M46" i="9" s="1"/>
  <c r="N46" i="9"/>
  <c r="O46" i="9" s="1"/>
  <c r="F46" i="2"/>
  <c r="C47" i="5" s="1"/>
  <c r="M46" i="2"/>
  <c r="G47" i="5" s="1"/>
  <c r="L47" i="5"/>
  <c r="M47" i="5" s="1"/>
  <c r="N47" i="5"/>
  <c r="O47" i="5" s="1"/>
  <c r="F46" i="6"/>
  <c r="C47" i="7" s="1"/>
  <c r="M46" i="6"/>
  <c r="G47" i="7" s="1"/>
  <c r="L47" i="7"/>
  <c r="M47" i="7" s="1"/>
  <c r="N47" i="7"/>
  <c r="O47" i="7" s="1"/>
  <c r="F46" i="8"/>
  <c r="M46" i="8"/>
  <c r="L47" i="9"/>
  <c r="M47" i="9" s="1"/>
  <c r="N47" i="9"/>
  <c r="O47" i="9" s="1"/>
  <c r="F47" i="2"/>
  <c r="M47" i="2"/>
  <c r="O47" i="2" s="1"/>
  <c r="I48" i="5" s="1"/>
  <c r="L48" i="5"/>
  <c r="M48" i="5" s="1"/>
  <c r="N48" i="5"/>
  <c r="O48" i="5" s="1"/>
  <c r="F47" i="6"/>
  <c r="C48" i="7" s="1"/>
  <c r="M47" i="6"/>
  <c r="G48" i="7"/>
  <c r="L48" i="7"/>
  <c r="M48" i="7" s="1"/>
  <c r="N48" i="7"/>
  <c r="O48" i="7" s="1"/>
  <c r="F47" i="8"/>
  <c r="M47" i="8"/>
  <c r="L48" i="9"/>
  <c r="M48" i="9" s="1"/>
  <c r="N48" i="9"/>
  <c r="O48" i="9" s="1"/>
  <c r="F48" i="2"/>
  <c r="C49" i="5" s="1"/>
  <c r="M48" i="2"/>
  <c r="L49" i="5"/>
  <c r="M49" i="5" s="1"/>
  <c r="N49" i="5"/>
  <c r="O49" i="5" s="1"/>
  <c r="F48" i="6"/>
  <c r="C49" i="7" s="1"/>
  <c r="M48" i="6"/>
  <c r="O48" i="6" s="1"/>
  <c r="I49" i="7" s="1"/>
  <c r="L49" i="7"/>
  <c r="M49" i="7" s="1"/>
  <c r="N49" i="7"/>
  <c r="O49" i="7"/>
  <c r="F48" i="8"/>
  <c r="M48" i="8"/>
  <c r="L49" i="9"/>
  <c r="M49" i="9" s="1"/>
  <c r="N49" i="9"/>
  <c r="O49" i="9" s="1"/>
  <c r="F49" i="2"/>
  <c r="C50" i="5" s="1"/>
  <c r="M49" i="2"/>
  <c r="G50" i="5" s="1"/>
  <c r="L50" i="5"/>
  <c r="M50" i="5" s="1"/>
  <c r="N50" i="5"/>
  <c r="O50" i="5" s="1"/>
  <c r="F49" i="6"/>
  <c r="C50" i="7" s="1"/>
  <c r="M49" i="6"/>
  <c r="L50" i="7"/>
  <c r="M50" i="7" s="1"/>
  <c r="N50" i="7"/>
  <c r="O50" i="7" s="1"/>
  <c r="P50" i="7" s="1"/>
  <c r="F49" i="8"/>
  <c r="M49" i="8"/>
  <c r="L50" i="9"/>
  <c r="M50" i="9" s="1"/>
  <c r="N50" i="9"/>
  <c r="O50" i="9" s="1"/>
  <c r="F50" i="2"/>
  <c r="C51" i="5" s="1"/>
  <c r="M50" i="2"/>
  <c r="G51" i="5" s="1"/>
  <c r="L51" i="5"/>
  <c r="M51" i="5" s="1"/>
  <c r="N51" i="5"/>
  <c r="O51" i="5" s="1"/>
  <c r="F50" i="6"/>
  <c r="H50" i="6" s="1"/>
  <c r="E51" i="7" s="1"/>
  <c r="C51" i="7"/>
  <c r="M50" i="6"/>
  <c r="G51" i="7" s="1"/>
  <c r="L51" i="7"/>
  <c r="M51" i="7" s="1"/>
  <c r="N51" i="7"/>
  <c r="O51" i="7" s="1"/>
  <c r="F50" i="8"/>
  <c r="M50" i="8"/>
  <c r="L51" i="9"/>
  <c r="M51" i="9" s="1"/>
  <c r="N51" i="9"/>
  <c r="O51" i="9" s="1"/>
  <c r="F51" i="2"/>
  <c r="M51" i="2"/>
  <c r="G52" i="5" s="1"/>
  <c r="L52" i="5"/>
  <c r="M52" i="5" s="1"/>
  <c r="P52" i="5" s="1"/>
  <c r="N52" i="5"/>
  <c r="O52" i="5" s="1"/>
  <c r="F51" i="6"/>
  <c r="C52" i="7"/>
  <c r="M51" i="6"/>
  <c r="L52" i="7"/>
  <c r="M52" i="7" s="1"/>
  <c r="N52" i="7"/>
  <c r="O52" i="7" s="1"/>
  <c r="F51" i="8"/>
  <c r="C52" i="9"/>
  <c r="M51" i="8"/>
  <c r="L52" i="9"/>
  <c r="M52" i="9" s="1"/>
  <c r="N52" i="9"/>
  <c r="O52" i="9" s="1"/>
  <c r="F52" i="2"/>
  <c r="C53" i="5" s="1"/>
  <c r="M52" i="2"/>
  <c r="G53" i="5" s="1"/>
  <c r="L53" i="5"/>
  <c r="M53" i="5" s="1"/>
  <c r="N53" i="5"/>
  <c r="O53" i="5" s="1"/>
  <c r="F52" i="6"/>
  <c r="C53" i="7" s="1"/>
  <c r="M52" i="6"/>
  <c r="O52" i="6" s="1"/>
  <c r="I53" i="7" s="1"/>
  <c r="G53" i="7"/>
  <c r="L53" i="7"/>
  <c r="M53" i="7" s="1"/>
  <c r="N53" i="7"/>
  <c r="O53" i="7" s="1"/>
  <c r="F52" i="8"/>
  <c r="M52" i="8"/>
  <c r="L53" i="9"/>
  <c r="M53" i="9" s="1"/>
  <c r="N53" i="9"/>
  <c r="O53" i="9" s="1"/>
  <c r="F53" i="2"/>
  <c r="C54" i="5" s="1"/>
  <c r="M53" i="2"/>
  <c r="G54" i="5" s="1"/>
  <c r="L54" i="5"/>
  <c r="M54" i="5" s="1"/>
  <c r="N54" i="5"/>
  <c r="O54" i="5" s="1"/>
  <c r="F53" i="6"/>
  <c r="H53" i="6" s="1"/>
  <c r="E54" i="7" s="1"/>
  <c r="C54" i="7"/>
  <c r="M53" i="6"/>
  <c r="L54" i="7"/>
  <c r="M54" i="7" s="1"/>
  <c r="N54" i="7"/>
  <c r="O54" i="7" s="1"/>
  <c r="F53" i="8"/>
  <c r="M53" i="8"/>
  <c r="L54" i="9"/>
  <c r="M54" i="9" s="1"/>
  <c r="N54" i="9"/>
  <c r="O54" i="9" s="1"/>
  <c r="F54" i="2"/>
  <c r="H54" i="2" s="1"/>
  <c r="E55" i="5" s="1"/>
  <c r="M54" i="2"/>
  <c r="G55" i="5"/>
  <c r="L55" i="5"/>
  <c r="M55" i="5" s="1"/>
  <c r="N55" i="5"/>
  <c r="O55" i="5" s="1"/>
  <c r="F54" i="6"/>
  <c r="C55" i="7" s="1"/>
  <c r="M54" i="6"/>
  <c r="L55" i="7"/>
  <c r="M55" i="7" s="1"/>
  <c r="N55" i="7"/>
  <c r="O55" i="7" s="1"/>
  <c r="F54" i="8"/>
  <c r="M54" i="8"/>
  <c r="L55" i="9"/>
  <c r="M55" i="9" s="1"/>
  <c r="N55" i="9"/>
  <c r="O55" i="9" s="1"/>
  <c r="F55" i="2"/>
  <c r="C56" i="5" s="1"/>
  <c r="M55" i="2"/>
  <c r="O55" i="2" s="1"/>
  <c r="I56" i="5" s="1"/>
  <c r="L56" i="5"/>
  <c r="M56" i="5" s="1"/>
  <c r="N56" i="5"/>
  <c r="O56" i="5" s="1"/>
  <c r="F55" i="6"/>
  <c r="C56" i="7"/>
  <c r="M55" i="6"/>
  <c r="L56" i="7"/>
  <c r="M56" i="7" s="1"/>
  <c r="N56" i="7"/>
  <c r="O56" i="7" s="1"/>
  <c r="F55" i="8"/>
  <c r="M55" i="8"/>
  <c r="L56" i="9"/>
  <c r="M56" i="9" s="1"/>
  <c r="N56" i="9"/>
  <c r="O56" i="9" s="1"/>
  <c r="F56" i="2"/>
  <c r="C57" i="5" s="1"/>
  <c r="M56" i="2"/>
  <c r="L57" i="5"/>
  <c r="M57" i="5" s="1"/>
  <c r="N57" i="5"/>
  <c r="O57" i="5" s="1"/>
  <c r="F56" i="6"/>
  <c r="C57" i="7" s="1"/>
  <c r="M56" i="6"/>
  <c r="O56" i="6" s="1"/>
  <c r="I57" i="7" s="1"/>
  <c r="L57" i="7"/>
  <c r="M57" i="7" s="1"/>
  <c r="N57" i="7"/>
  <c r="O57" i="7" s="1"/>
  <c r="F56" i="8"/>
  <c r="M56" i="8"/>
  <c r="L57" i="9"/>
  <c r="M57" i="9" s="1"/>
  <c r="N57" i="9"/>
  <c r="O57" i="9" s="1"/>
  <c r="F57" i="2"/>
  <c r="H57" i="2" s="1"/>
  <c r="E58" i="5" s="1"/>
  <c r="C58" i="5"/>
  <c r="M57" i="2"/>
  <c r="G58" i="5" s="1"/>
  <c r="L58" i="5"/>
  <c r="M58" i="5" s="1"/>
  <c r="N58" i="5"/>
  <c r="O58" i="5" s="1"/>
  <c r="F57" i="6"/>
  <c r="C58" i="7" s="1"/>
  <c r="M57" i="6"/>
  <c r="L58" i="7"/>
  <c r="M58" i="7" s="1"/>
  <c r="N58" i="7"/>
  <c r="O58" i="7" s="1"/>
  <c r="P58" i="7" s="1"/>
  <c r="F57" i="8"/>
  <c r="G57" i="8" s="1"/>
  <c r="M57" i="8"/>
  <c r="L58" i="9"/>
  <c r="M58" i="9" s="1"/>
  <c r="N58" i="9"/>
  <c r="O58" i="9" s="1"/>
  <c r="F58" i="2"/>
  <c r="H58" i="2" s="1"/>
  <c r="E59" i="5" s="1"/>
  <c r="M58" i="2"/>
  <c r="O58" i="2" s="1"/>
  <c r="I59" i="5" s="1"/>
  <c r="G59" i="5"/>
  <c r="L59" i="5"/>
  <c r="M59" i="5" s="1"/>
  <c r="N59" i="5"/>
  <c r="O59" i="5" s="1"/>
  <c r="F58" i="6"/>
  <c r="C59" i="7" s="1"/>
  <c r="M58" i="6"/>
  <c r="G59" i="7" s="1"/>
  <c r="L59" i="7"/>
  <c r="M59" i="7" s="1"/>
  <c r="N59" i="7"/>
  <c r="O59" i="7" s="1"/>
  <c r="F58" i="8"/>
  <c r="M58" i="8"/>
  <c r="L59" i="9"/>
  <c r="M59" i="9" s="1"/>
  <c r="N59" i="9"/>
  <c r="O59" i="9" s="1"/>
  <c r="F59" i="2"/>
  <c r="C60" i="5" s="1"/>
  <c r="M59" i="2"/>
  <c r="O59" i="2" s="1"/>
  <c r="I60" i="5" s="1"/>
  <c r="L60" i="5"/>
  <c r="M60" i="5" s="1"/>
  <c r="N60" i="5"/>
  <c r="O60" i="5" s="1"/>
  <c r="F59" i="6"/>
  <c r="C60" i="7"/>
  <c r="M59" i="6"/>
  <c r="L60" i="7"/>
  <c r="M60" i="7" s="1"/>
  <c r="N60" i="7"/>
  <c r="O60" i="7" s="1"/>
  <c r="F59" i="8"/>
  <c r="G59" i="8" s="1"/>
  <c r="M59" i="8"/>
  <c r="L60" i="9"/>
  <c r="M60" i="9" s="1"/>
  <c r="N60" i="9"/>
  <c r="O60" i="9" s="1"/>
  <c r="F15" i="2"/>
  <c r="C16" i="5" s="1"/>
  <c r="M15" i="2"/>
  <c r="G16" i="5" s="1"/>
  <c r="L16" i="5"/>
  <c r="M16" i="5" s="1"/>
  <c r="N16" i="5"/>
  <c r="O16" i="5" s="1"/>
  <c r="F15" i="6"/>
  <c r="C16" i="7" s="1"/>
  <c r="M15" i="6"/>
  <c r="G16" i="7" s="1"/>
  <c r="L16" i="7"/>
  <c r="M16" i="7" s="1"/>
  <c r="N16" i="7"/>
  <c r="O16" i="7" s="1"/>
  <c r="F15" i="8"/>
  <c r="M15" i="8"/>
  <c r="L16" i="9"/>
  <c r="M16" i="9" s="1"/>
  <c r="N16" i="9"/>
  <c r="O16" i="9" s="1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9" i="10"/>
  <c r="Q3" i="10"/>
  <c r="Q5" i="10"/>
  <c r="C5" i="10"/>
  <c r="C4" i="10"/>
  <c r="C3" i="10"/>
  <c r="O24" i="6"/>
  <c r="I25" i="7" s="1"/>
  <c r="H36" i="6"/>
  <c r="E37" i="7" s="1"/>
  <c r="H41" i="6"/>
  <c r="E42" i="7" s="1"/>
  <c r="H42" i="6"/>
  <c r="E43" i="7" s="1"/>
  <c r="H44" i="6"/>
  <c r="E45" i="7" s="1"/>
  <c r="H45" i="6"/>
  <c r="E46" i="7" s="1"/>
  <c r="H46" i="6"/>
  <c r="E47" i="7" s="1"/>
  <c r="H47" i="6"/>
  <c r="E48" i="7" s="1"/>
  <c r="O47" i="6"/>
  <c r="I48" i="7"/>
  <c r="H51" i="6"/>
  <c r="E52" i="7" s="1"/>
  <c r="H52" i="6"/>
  <c r="E53" i="7"/>
  <c r="H55" i="6"/>
  <c r="E56" i="7" s="1"/>
  <c r="H57" i="6"/>
  <c r="E58" i="7" s="1"/>
  <c r="O58" i="6"/>
  <c r="I59" i="7" s="1"/>
  <c r="H59" i="6"/>
  <c r="E60" i="7" s="1"/>
  <c r="H35" i="8"/>
  <c r="E36" i="9" s="1"/>
  <c r="H39" i="8"/>
  <c r="E40" i="9" s="1"/>
  <c r="H41" i="8"/>
  <c r="E42" i="9" s="1"/>
  <c r="H43" i="8"/>
  <c r="E44" i="9" s="1"/>
  <c r="H50" i="8"/>
  <c r="E51" i="9" s="1"/>
  <c r="H56" i="8"/>
  <c r="E57" i="9" s="1"/>
  <c r="F83" i="9"/>
  <c r="B83" i="9"/>
  <c r="F82" i="9"/>
  <c r="B82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C8" i="9"/>
  <c r="O7" i="9"/>
  <c r="C7" i="9"/>
  <c r="C6" i="9"/>
  <c r="C5" i="9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A44" i="8" s="1"/>
  <c r="B43" i="8"/>
  <c r="A43" i="8" s="1"/>
  <c r="B42" i="8"/>
  <c r="A42" i="8" s="1"/>
  <c r="B41" i="8"/>
  <c r="A41" i="8" s="1"/>
  <c r="B40" i="8"/>
  <c r="A40" i="8" s="1"/>
  <c r="B39" i="8"/>
  <c r="A39" i="8" s="1"/>
  <c r="B38" i="8"/>
  <c r="A38" i="8" s="1"/>
  <c r="B37" i="8"/>
  <c r="A37" i="8" s="1"/>
  <c r="B36" i="8"/>
  <c r="A36" i="8" s="1"/>
  <c r="B35" i="8"/>
  <c r="A35" i="8" s="1"/>
  <c r="B34" i="8"/>
  <c r="A34" i="8" s="1"/>
  <c r="B33" i="8"/>
  <c r="A33" i="8" s="1"/>
  <c r="B32" i="8"/>
  <c r="A32" i="8" s="1"/>
  <c r="B31" i="8"/>
  <c r="A31" i="8" s="1"/>
  <c r="B30" i="8"/>
  <c r="A30" i="8" s="1"/>
  <c r="B29" i="8"/>
  <c r="A29" i="8" s="1"/>
  <c r="B28" i="8"/>
  <c r="A28" i="8" s="1"/>
  <c r="B27" i="8"/>
  <c r="A27" i="8" s="1"/>
  <c r="B26" i="8"/>
  <c r="A26" i="8" s="1"/>
  <c r="B25" i="8"/>
  <c r="A25" i="8" s="1"/>
  <c r="B24" i="8"/>
  <c r="A24" i="8" s="1"/>
  <c r="B23" i="8"/>
  <c r="A23" i="8" s="1"/>
  <c r="B22" i="8"/>
  <c r="A22" i="8" s="1"/>
  <c r="B21" i="8"/>
  <c r="A21" i="8" s="1"/>
  <c r="B20" i="8"/>
  <c r="A20" i="8" s="1"/>
  <c r="B19" i="8"/>
  <c r="A19" i="8" s="1"/>
  <c r="B18" i="8"/>
  <c r="A18" i="8" s="1"/>
  <c r="B17" i="8"/>
  <c r="A17" i="8" s="1"/>
  <c r="B16" i="8"/>
  <c r="A16" i="8" s="1"/>
  <c r="B15" i="8"/>
  <c r="A15" i="8" s="1"/>
  <c r="C5" i="8"/>
  <c r="C4" i="8"/>
  <c r="C3" i="8"/>
  <c r="F83" i="7"/>
  <c r="B83" i="7"/>
  <c r="F82" i="7"/>
  <c r="B82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C8" i="7"/>
  <c r="O7" i="7"/>
  <c r="C7" i="7"/>
  <c r="C6" i="7"/>
  <c r="C5" i="7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A44" i="6" s="1"/>
  <c r="B43" i="6"/>
  <c r="A43" i="6" s="1"/>
  <c r="B42" i="6"/>
  <c r="A42" i="6" s="1"/>
  <c r="B41" i="6"/>
  <c r="A41" i="6" s="1"/>
  <c r="B40" i="6"/>
  <c r="A40" i="6" s="1"/>
  <c r="B39" i="6"/>
  <c r="A39" i="6" s="1"/>
  <c r="B38" i="6"/>
  <c r="A38" i="6" s="1"/>
  <c r="B37" i="6"/>
  <c r="A37" i="6" s="1"/>
  <c r="B36" i="6"/>
  <c r="A36" i="6" s="1"/>
  <c r="B35" i="6"/>
  <c r="A35" i="6" s="1"/>
  <c r="B34" i="6"/>
  <c r="A34" i="6" s="1"/>
  <c r="B33" i="6"/>
  <c r="A33" i="6" s="1"/>
  <c r="B32" i="6"/>
  <c r="A32" i="6" s="1"/>
  <c r="B31" i="6"/>
  <c r="A31" i="6" s="1"/>
  <c r="B30" i="6"/>
  <c r="A30" i="6" s="1"/>
  <c r="B29" i="6"/>
  <c r="A29" i="6" s="1"/>
  <c r="B28" i="6"/>
  <c r="A28" i="6" s="1"/>
  <c r="B27" i="6"/>
  <c r="A27" i="6" s="1"/>
  <c r="B26" i="6"/>
  <c r="A26" i="6" s="1"/>
  <c r="B25" i="6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6"/>
  <c r="A18" i="6" s="1"/>
  <c r="B17" i="6"/>
  <c r="A17" i="6" s="1"/>
  <c r="B16" i="6"/>
  <c r="A16" i="6" s="1"/>
  <c r="B15" i="6"/>
  <c r="A15" i="6" s="1"/>
  <c r="C5" i="6"/>
  <c r="C4" i="6"/>
  <c r="C3" i="6"/>
  <c r="F83" i="5"/>
  <c r="B83" i="5"/>
  <c r="F82" i="5"/>
  <c r="B82" i="5"/>
  <c r="O7" i="5"/>
  <c r="C8" i="5"/>
  <c r="C7" i="5"/>
  <c r="C6" i="5"/>
  <c r="C5" i="5"/>
  <c r="H32" i="2"/>
  <c r="E33" i="5" s="1"/>
  <c r="O33" i="2"/>
  <c r="I34" i="5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16" i="5"/>
  <c r="H36" i="2"/>
  <c r="E37" i="5" s="1"/>
  <c r="H38" i="2"/>
  <c r="E39" i="5" s="1"/>
  <c r="H42" i="2"/>
  <c r="E43" i="5" s="1"/>
  <c r="H48" i="2"/>
  <c r="E49" i="5" s="1"/>
  <c r="H49" i="2"/>
  <c r="E50" i="5" s="1"/>
  <c r="H50" i="2"/>
  <c r="E51" i="5" s="1"/>
  <c r="H52" i="2"/>
  <c r="E53" i="5" s="1"/>
  <c r="H53" i="2"/>
  <c r="E54" i="5"/>
  <c r="H55" i="2"/>
  <c r="E56" i="5" s="1"/>
  <c r="O43" i="2"/>
  <c r="I44" i="5" s="1"/>
  <c r="O49" i="2"/>
  <c r="I50" i="5" s="1"/>
  <c r="O51" i="2"/>
  <c r="I52" i="5"/>
  <c r="B16" i="2"/>
  <c r="A16" i="2" s="1"/>
  <c r="B17" i="2"/>
  <c r="A17" i="2" s="1"/>
  <c r="B18" i="2"/>
  <c r="A18" i="2" s="1"/>
  <c r="B19" i="2"/>
  <c r="A19" i="2" s="1"/>
  <c r="B20" i="2"/>
  <c r="A20" i="2" s="1"/>
  <c r="B21" i="2"/>
  <c r="A21" i="2" s="1"/>
  <c r="B22" i="2"/>
  <c r="A22" i="2" s="1"/>
  <c r="B23" i="2"/>
  <c r="A23" i="2" s="1"/>
  <c r="B24" i="2"/>
  <c r="A24" i="2" s="1"/>
  <c r="B25" i="2"/>
  <c r="A25" i="2" s="1"/>
  <c r="B26" i="2"/>
  <c r="A26" i="2" s="1"/>
  <c r="B27" i="2"/>
  <c r="A27" i="2" s="1"/>
  <c r="B28" i="2"/>
  <c r="A28" i="2" s="1"/>
  <c r="B29" i="2"/>
  <c r="A29" i="2" s="1"/>
  <c r="B30" i="2"/>
  <c r="A30" i="2" s="1"/>
  <c r="B31" i="2"/>
  <c r="A31" i="2" s="1"/>
  <c r="B32" i="2"/>
  <c r="A32" i="2" s="1"/>
  <c r="B33" i="2"/>
  <c r="A33" i="2" s="1"/>
  <c r="B34" i="2"/>
  <c r="A34" i="2" s="1"/>
  <c r="B35" i="2"/>
  <c r="A35" i="2" s="1"/>
  <c r="B36" i="2"/>
  <c r="A36" i="2" s="1"/>
  <c r="B37" i="2"/>
  <c r="A37" i="2" s="1"/>
  <c r="B38" i="2"/>
  <c r="A38" i="2" s="1"/>
  <c r="B39" i="2"/>
  <c r="A39" i="2" s="1"/>
  <c r="B40" i="2"/>
  <c r="A40" i="2" s="1"/>
  <c r="B41" i="2"/>
  <c r="A41" i="2" s="1"/>
  <c r="B42" i="2"/>
  <c r="A42" i="2" s="1"/>
  <c r="B43" i="2"/>
  <c r="A43" i="2" s="1"/>
  <c r="B44" i="2"/>
  <c r="A44" i="2" s="1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C5" i="2"/>
  <c r="C4" i="2"/>
  <c r="C3" i="2"/>
  <c r="B15" i="2"/>
  <c r="A15" i="2" s="1"/>
  <c r="O54" i="2"/>
  <c r="I55" i="5" s="1"/>
  <c r="O57" i="2"/>
  <c r="I58" i="5" s="1"/>
  <c r="O50" i="2"/>
  <c r="I51" i="5" s="1"/>
  <c r="O38" i="2"/>
  <c r="I39" i="5" s="1"/>
  <c r="F52" i="9" l="1"/>
  <c r="D52" i="9"/>
  <c r="F45" i="9"/>
  <c r="D45" i="9"/>
  <c r="J16" i="7"/>
  <c r="H16" i="7"/>
  <c r="J53" i="7"/>
  <c r="H53" i="7"/>
  <c r="J47" i="7"/>
  <c r="H47" i="7"/>
  <c r="J39" i="7"/>
  <c r="H39" i="7"/>
  <c r="J35" i="7"/>
  <c r="H35" i="7"/>
  <c r="J32" i="7"/>
  <c r="H32" i="7"/>
  <c r="J31" i="7"/>
  <c r="H31" i="7"/>
  <c r="J28" i="7"/>
  <c r="H28" i="7"/>
  <c r="J26" i="7"/>
  <c r="H26" i="7"/>
  <c r="J25" i="7"/>
  <c r="H25" i="7"/>
  <c r="J24" i="7"/>
  <c r="H24" i="7"/>
  <c r="J23" i="7"/>
  <c r="H23" i="7"/>
  <c r="J21" i="7"/>
  <c r="H21" i="7"/>
  <c r="J20" i="7"/>
  <c r="H20" i="7"/>
  <c r="J18" i="7"/>
  <c r="H18" i="7"/>
  <c r="J17" i="7"/>
  <c r="H17" i="7"/>
  <c r="J59" i="7"/>
  <c r="H59" i="7"/>
  <c r="J51" i="7"/>
  <c r="H51" i="7"/>
  <c r="J48" i="7"/>
  <c r="H48" i="7"/>
  <c r="J44" i="7"/>
  <c r="H44" i="7"/>
  <c r="J43" i="7"/>
  <c r="H43" i="7"/>
  <c r="J40" i="7"/>
  <c r="H40" i="7"/>
  <c r="J36" i="7"/>
  <c r="H36" i="7"/>
  <c r="F59" i="7"/>
  <c r="D59" i="7"/>
  <c r="F57" i="7"/>
  <c r="D57" i="7"/>
  <c r="F56" i="7"/>
  <c r="D56" i="7"/>
  <c r="F54" i="7"/>
  <c r="D54" i="7"/>
  <c r="F53" i="7"/>
  <c r="D53" i="7"/>
  <c r="F51" i="7"/>
  <c r="D51" i="7"/>
  <c r="F49" i="7"/>
  <c r="D49" i="7"/>
  <c r="F45" i="7"/>
  <c r="D45" i="7"/>
  <c r="F44" i="7"/>
  <c r="D44" i="7"/>
  <c r="F43" i="7"/>
  <c r="D43" i="7"/>
  <c r="F41" i="7"/>
  <c r="D41" i="7"/>
  <c r="F40" i="7"/>
  <c r="D40" i="7"/>
  <c r="F37" i="7"/>
  <c r="D37" i="7"/>
  <c r="F36" i="7"/>
  <c r="D36" i="7"/>
  <c r="F16" i="7"/>
  <c r="D16" i="7"/>
  <c r="F60" i="7"/>
  <c r="D60" i="7"/>
  <c r="F58" i="7"/>
  <c r="D58" i="7"/>
  <c r="F55" i="7"/>
  <c r="D55" i="7"/>
  <c r="F52" i="7"/>
  <c r="D52" i="7"/>
  <c r="F50" i="7"/>
  <c r="D50" i="7"/>
  <c r="F48" i="7"/>
  <c r="D48" i="7"/>
  <c r="F47" i="7"/>
  <c r="D47" i="7"/>
  <c r="F46" i="7"/>
  <c r="D46" i="7"/>
  <c r="F42" i="7"/>
  <c r="D42" i="7"/>
  <c r="F38" i="7"/>
  <c r="D38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K59" i="7"/>
  <c r="J59" i="5"/>
  <c r="H59" i="5"/>
  <c r="J58" i="5"/>
  <c r="H58" i="5"/>
  <c r="J55" i="5"/>
  <c r="H55" i="5"/>
  <c r="J54" i="5"/>
  <c r="H54" i="5"/>
  <c r="J51" i="5"/>
  <c r="H51" i="5"/>
  <c r="J50" i="5"/>
  <c r="H50" i="5"/>
  <c r="J47" i="5"/>
  <c r="H47" i="5"/>
  <c r="J46" i="5"/>
  <c r="H46" i="5"/>
  <c r="J42" i="5"/>
  <c r="H42" i="5"/>
  <c r="J39" i="5"/>
  <c r="H39" i="5"/>
  <c r="J35" i="5"/>
  <c r="H35" i="5"/>
  <c r="J34" i="5"/>
  <c r="H34" i="5"/>
  <c r="J33" i="5"/>
  <c r="H33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53" i="5"/>
  <c r="H53" i="5"/>
  <c r="J52" i="5"/>
  <c r="H52" i="5"/>
  <c r="J45" i="5"/>
  <c r="H45" i="5"/>
  <c r="J44" i="5"/>
  <c r="H44" i="5"/>
  <c r="J43" i="5"/>
  <c r="H43" i="5"/>
  <c r="J38" i="5"/>
  <c r="H38" i="5"/>
  <c r="J37" i="5"/>
  <c r="H37" i="5"/>
  <c r="J36" i="5"/>
  <c r="H36" i="5"/>
  <c r="J16" i="5"/>
  <c r="H16" i="5"/>
  <c r="J17" i="5"/>
  <c r="H17" i="5"/>
  <c r="F60" i="5"/>
  <c r="D60" i="5"/>
  <c r="F57" i="5"/>
  <c r="D57" i="5"/>
  <c r="F53" i="5"/>
  <c r="D53" i="5"/>
  <c r="F49" i="5"/>
  <c r="D49" i="5"/>
  <c r="F45" i="5"/>
  <c r="D45" i="5"/>
  <c r="F42" i="5"/>
  <c r="K42" i="5" s="1"/>
  <c r="D42" i="5"/>
  <c r="F41" i="5"/>
  <c r="D41" i="5"/>
  <c r="F38" i="5"/>
  <c r="K38" i="5" s="1"/>
  <c r="D38" i="5"/>
  <c r="F37" i="5"/>
  <c r="D37" i="5"/>
  <c r="F16" i="5"/>
  <c r="K16" i="5" s="1"/>
  <c r="D16" i="5"/>
  <c r="F58" i="5"/>
  <c r="D58" i="5"/>
  <c r="F56" i="5"/>
  <c r="D56" i="5"/>
  <c r="F54" i="5"/>
  <c r="K54" i="5" s="1"/>
  <c r="D54" i="5"/>
  <c r="F51" i="5"/>
  <c r="D51" i="5"/>
  <c r="F50" i="5"/>
  <c r="D50" i="5"/>
  <c r="F47" i="5"/>
  <c r="K47" i="5" s="1"/>
  <c r="D47" i="5"/>
  <c r="F46" i="5"/>
  <c r="D46" i="5"/>
  <c r="F43" i="5"/>
  <c r="D43" i="5"/>
  <c r="F39" i="5"/>
  <c r="K39" i="5" s="1"/>
  <c r="D39" i="5"/>
  <c r="F34" i="5"/>
  <c r="D34" i="5"/>
  <c r="F33" i="5"/>
  <c r="D33" i="5"/>
  <c r="F30" i="5"/>
  <c r="D30" i="5"/>
  <c r="F29" i="5"/>
  <c r="K29" i="5" s="1"/>
  <c r="D29" i="5"/>
  <c r="F27" i="5"/>
  <c r="K27" i="5" s="1"/>
  <c r="D27" i="5"/>
  <c r="F26" i="5"/>
  <c r="K26" i="5" s="1"/>
  <c r="D26" i="5"/>
  <c r="F25" i="5"/>
  <c r="K25" i="5" s="1"/>
  <c r="D25" i="5"/>
  <c r="F23" i="5"/>
  <c r="K23" i="5" s="1"/>
  <c r="D23" i="5"/>
  <c r="F22" i="5"/>
  <c r="D22" i="5"/>
  <c r="F20" i="5"/>
  <c r="K20" i="5" s="1"/>
  <c r="D20" i="5"/>
  <c r="F19" i="5"/>
  <c r="D19" i="5"/>
  <c r="F18" i="5"/>
  <c r="D18" i="5"/>
  <c r="K53" i="5"/>
  <c r="N58" i="8"/>
  <c r="O58" i="8"/>
  <c r="I59" i="9" s="1"/>
  <c r="N57" i="8"/>
  <c r="O57" i="8"/>
  <c r="I58" i="9" s="1"/>
  <c r="G57" i="9"/>
  <c r="N56" i="8"/>
  <c r="O56" i="8"/>
  <c r="I57" i="9" s="1"/>
  <c r="G56" i="9"/>
  <c r="N55" i="8"/>
  <c r="O55" i="8"/>
  <c r="N53" i="8"/>
  <c r="O53" i="8"/>
  <c r="I54" i="9" s="1"/>
  <c r="G52" i="9"/>
  <c r="N51" i="8"/>
  <c r="O51" i="8"/>
  <c r="N49" i="8"/>
  <c r="O49" i="8"/>
  <c r="G49" i="9"/>
  <c r="N48" i="8"/>
  <c r="O48" i="8"/>
  <c r="I49" i="9" s="1"/>
  <c r="N46" i="8"/>
  <c r="O46" i="8"/>
  <c r="N45" i="8"/>
  <c r="O45" i="8"/>
  <c r="G45" i="9"/>
  <c r="N44" i="8"/>
  <c r="O44" i="8"/>
  <c r="I45" i="9" s="1"/>
  <c r="N41" i="8"/>
  <c r="O41" i="8"/>
  <c r="I42" i="9" s="1"/>
  <c r="N37" i="8"/>
  <c r="O37" i="8"/>
  <c r="N33" i="8"/>
  <c r="O33" i="8"/>
  <c r="I34" i="9" s="1"/>
  <c r="G33" i="9"/>
  <c r="N32" i="8"/>
  <c r="O32" i="8"/>
  <c r="I33" i="9" s="1"/>
  <c r="G32" i="9"/>
  <c r="N31" i="8"/>
  <c r="O31" i="8"/>
  <c r="N30" i="8"/>
  <c r="O30" i="8"/>
  <c r="N29" i="8"/>
  <c r="O29" i="8"/>
  <c r="I30" i="9" s="1"/>
  <c r="G29" i="9"/>
  <c r="N28" i="8"/>
  <c r="O28" i="8"/>
  <c r="G28" i="9"/>
  <c r="N27" i="8"/>
  <c r="O27" i="8"/>
  <c r="I28" i="9" s="1"/>
  <c r="N26" i="8"/>
  <c r="O26" i="8"/>
  <c r="I27" i="9" s="1"/>
  <c r="G26" i="9"/>
  <c r="N25" i="8"/>
  <c r="O25" i="8"/>
  <c r="I26" i="9" s="1"/>
  <c r="G25" i="9"/>
  <c r="N24" i="8"/>
  <c r="O24" i="8"/>
  <c r="N23" i="8"/>
  <c r="O23" i="8"/>
  <c r="G23" i="9"/>
  <c r="N22" i="8"/>
  <c r="O22" i="8"/>
  <c r="I23" i="9" s="1"/>
  <c r="G22" i="9"/>
  <c r="N21" i="8"/>
  <c r="O21" i="8"/>
  <c r="G21" i="9"/>
  <c r="N20" i="8"/>
  <c r="O20" i="8"/>
  <c r="I21" i="9" s="1"/>
  <c r="G20" i="9"/>
  <c r="N19" i="8"/>
  <c r="O19" i="8"/>
  <c r="N18" i="8"/>
  <c r="O18" i="8"/>
  <c r="I19" i="9" s="1"/>
  <c r="G18" i="9"/>
  <c r="N17" i="8"/>
  <c r="O17" i="8"/>
  <c r="G17" i="9"/>
  <c r="N16" i="8"/>
  <c r="O16" i="8"/>
  <c r="I17" i="9" s="1"/>
  <c r="O15" i="8"/>
  <c r="I16" i="9" s="1"/>
  <c r="N15" i="8"/>
  <c r="G60" i="9"/>
  <c r="N59" i="8"/>
  <c r="O59" i="8"/>
  <c r="I60" i="9" s="1"/>
  <c r="N54" i="8"/>
  <c r="O54" i="8"/>
  <c r="G53" i="9"/>
  <c r="N52" i="8"/>
  <c r="O52" i="8"/>
  <c r="N50" i="8"/>
  <c r="O50" i="8"/>
  <c r="G48" i="9"/>
  <c r="N47" i="8"/>
  <c r="O47" i="8"/>
  <c r="G44" i="9"/>
  <c r="N43" i="8"/>
  <c r="O43" i="8"/>
  <c r="I44" i="9" s="1"/>
  <c r="N42" i="8"/>
  <c r="O42" i="8"/>
  <c r="G41" i="9"/>
  <c r="N40" i="8"/>
  <c r="O40" i="8"/>
  <c r="I41" i="9" s="1"/>
  <c r="G40" i="9"/>
  <c r="N39" i="8"/>
  <c r="O39" i="8"/>
  <c r="I40" i="9" s="1"/>
  <c r="N38" i="8"/>
  <c r="O38" i="8"/>
  <c r="G37" i="9"/>
  <c r="N36" i="8"/>
  <c r="O36" i="8"/>
  <c r="I37" i="9" s="1"/>
  <c r="G36" i="9"/>
  <c r="N35" i="8"/>
  <c r="O35" i="8"/>
  <c r="N34" i="8"/>
  <c r="O34" i="8"/>
  <c r="H15" i="8"/>
  <c r="E16" i="9" s="1"/>
  <c r="G15" i="8"/>
  <c r="H55" i="8"/>
  <c r="E56" i="9" s="1"/>
  <c r="G55" i="8"/>
  <c r="C54" i="9"/>
  <c r="G53" i="8"/>
  <c r="C50" i="9"/>
  <c r="G49" i="8"/>
  <c r="C49" i="9"/>
  <c r="G48" i="8"/>
  <c r="C47" i="9"/>
  <c r="G46" i="8"/>
  <c r="C46" i="9"/>
  <c r="G45" i="8"/>
  <c r="C43" i="9"/>
  <c r="G42" i="8"/>
  <c r="C41" i="9"/>
  <c r="G40" i="8"/>
  <c r="C40" i="9"/>
  <c r="G39" i="8"/>
  <c r="C39" i="9"/>
  <c r="G38" i="8"/>
  <c r="H36" i="8"/>
  <c r="E37" i="9" s="1"/>
  <c r="G36" i="8"/>
  <c r="C36" i="9"/>
  <c r="G35" i="8"/>
  <c r="C35" i="9"/>
  <c r="G34" i="8"/>
  <c r="H42" i="8"/>
  <c r="E43" i="9" s="1"/>
  <c r="H58" i="8"/>
  <c r="E59" i="9" s="1"/>
  <c r="G58" i="8"/>
  <c r="C57" i="9"/>
  <c r="G56" i="8"/>
  <c r="C56" i="9"/>
  <c r="C55" i="9"/>
  <c r="G54" i="8"/>
  <c r="H52" i="8"/>
  <c r="E53" i="9" s="1"/>
  <c r="G52" i="8"/>
  <c r="H51" i="8"/>
  <c r="E52" i="9" s="1"/>
  <c r="G51" i="8"/>
  <c r="C51" i="9"/>
  <c r="G50" i="8"/>
  <c r="C48" i="9"/>
  <c r="G47" i="8"/>
  <c r="H44" i="8"/>
  <c r="E45" i="9" s="1"/>
  <c r="G44" i="8"/>
  <c r="C44" i="9"/>
  <c r="C42" i="9"/>
  <c r="G41" i="8"/>
  <c r="C38" i="9"/>
  <c r="G37" i="8"/>
  <c r="C34" i="9"/>
  <c r="G33" i="8"/>
  <c r="C33" i="9"/>
  <c r="G32" i="8"/>
  <c r="C32" i="9"/>
  <c r="G31" i="8"/>
  <c r="C31" i="9"/>
  <c r="G30" i="8"/>
  <c r="C30" i="9"/>
  <c r="G29" i="8"/>
  <c r="H28" i="8"/>
  <c r="E29" i="9" s="1"/>
  <c r="G28" i="8"/>
  <c r="C28" i="9"/>
  <c r="G27" i="8"/>
  <c r="C27" i="9"/>
  <c r="G26" i="8"/>
  <c r="C26" i="9"/>
  <c r="G25" i="8"/>
  <c r="C25" i="9"/>
  <c r="G24" i="8"/>
  <c r="C24" i="9"/>
  <c r="G23" i="8"/>
  <c r="C23" i="9"/>
  <c r="G22" i="8"/>
  <c r="C22" i="9"/>
  <c r="G21" i="8"/>
  <c r="C21" i="9"/>
  <c r="G20" i="8"/>
  <c r="C20" i="9"/>
  <c r="G19" i="8"/>
  <c r="C19" i="9"/>
  <c r="G18" i="8"/>
  <c r="C18" i="9"/>
  <c r="G17" i="8"/>
  <c r="C17" i="9"/>
  <c r="G16" i="8"/>
  <c r="P47" i="9"/>
  <c r="T53" i="10"/>
  <c r="U53" i="10" s="1"/>
  <c r="Q50" i="10"/>
  <c r="T52" i="10"/>
  <c r="U52" i="10" s="1"/>
  <c r="T46" i="10"/>
  <c r="P39" i="9"/>
  <c r="P38" i="9"/>
  <c r="T49" i="10"/>
  <c r="P45" i="7"/>
  <c r="O46" i="6"/>
  <c r="I47" i="7" s="1"/>
  <c r="O38" i="6"/>
  <c r="I39" i="7" s="1"/>
  <c r="O27" i="6"/>
  <c r="I28" i="7" s="1"/>
  <c r="O16" i="6"/>
  <c r="I17" i="7" s="1"/>
  <c r="G49" i="7"/>
  <c r="H39" i="6"/>
  <c r="E40" i="7" s="1"/>
  <c r="P41" i="5"/>
  <c r="O46" i="2"/>
  <c r="I47" i="5" s="1"/>
  <c r="O45" i="2"/>
  <c r="I46" i="5" s="1"/>
  <c r="O32" i="2"/>
  <c r="I33" i="5" s="1"/>
  <c r="K45" i="5"/>
  <c r="H41" i="2"/>
  <c r="E42" i="5" s="1"/>
  <c r="H37" i="2"/>
  <c r="E38" i="5" s="1"/>
  <c r="P46" i="9"/>
  <c r="I53" i="9"/>
  <c r="I52" i="9"/>
  <c r="I48" i="9"/>
  <c r="I36" i="9"/>
  <c r="G42" i="9"/>
  <c r="H49" i="8"/>
  <c r="E50" i="9" s="1"/>
  <c r="H48" i="8"/>
  <c r="E49" i="9" s="1"/>
  <c r="H46" i="8"/>
  <c r="E47" i="9" s="1"/>
  <c r="H38" i="8"/>
  <c r="E39" i="9" s="1"/>
  <c r="H33" i="8"/>
  <c r="E34" i="9" s="1"/>
  <c r="T45" i="10"/>
  <c r="U45" i="10" s="1"/>
  <c r="K47" i="7"/>
  <c r="O50" i="6"/>
  <c r="I51" i="7" s="1"/>
  <c r="O43" i="6"/>
  <c r="I44" i="7" s="1"/>
  <c r="O35" i="6"/>
  <c r="I36" i="7" s="1"/>
  <c r="K51" i="7"/>
  <c r="H37" i="6"/>
  <c r="E38" i="7" s="1"/>
  <c r="H33" i="6"/>
  <c r="E34" i="7" s="1"/>
  <c r="H26" i="6"/>
  <c r="E27" i="7" s="1"/>
  <c r="C39" i="7"/>
  <c r="T44" i="10"/>
  <c r="U44" i="10" s="1"/>
  <c r="T42" i="10"/>
  <c r="U42" i="10" s="1"/>
  <c r="T38" i="10"/>
  <c r="W38" i="10" s="1"/>
  <c r="T36" i="10"/>
  <c r="T34" i="10"/>
  <c r="U34" i="10" s="1"/>
  <c r="T30" i="10"/>
  <c r="T28" i="10"/>
  <c r="U28" i="10" s="1"/>
  <c r="T26" i="10"/>
  <c r="U26" i="10" s="1"/>
  <c r="T22" i="10"/>
  <c r="T20" i="10"/>
  <c r="T18" i="10"/>
  <c r="U18" i="10" s="1"/>
  <c r="T16" i="10"/>
  <c r="T14" i="10"/>
  <c r="U14" i="10" s="1"/>
  <c r="T12" i="10"/>
  <c r="T10" i="10"/>
  <c r="U10" i="10" s="1"/>
  <c r="T41" i="10"/>
  <c r="T37" i="10"/>
  <c r="U37" i="10" s="1"/>
  <c r="T33" i="10"/>
  <c r="T29" i="10"/>
  <c r="U29" i="10" s="1"/>
  <c r="T25" i="10"/>
  <c r="T21" i="10"/>
  <c r="U21" i="10" s="1"/>
  <c r="T17" i="10"/>
  <c r="T13" i="10"/>
  <c r="U13" i="10" s="1"/>
  <c r="O37" i="2"/>
  <c r="I38" i="5" s="1"/>
  <c r="O35" i="2"/>
  <c r="I36" i="5" s="1"/>
  <c r="K37" i="5"/>
  <c r="H45" i="2"/>
  <c r="E46" i="5" s="1"/>
  <c r="H44" i="2"/>
  <c r="E45" i="5" s="1"/>
  <c r="H40" i="2"/>
  <c r="E41" i="5" s="1"/>
  <c r="G60" i="7"/>
  <c r="O59" i="6"/>
  <c r="I60" i="7" s="1"/>
  <c r="G55" i="7"/>
  <c r="O54" i="6"/>
  <c r="I55" i="7" s="1"/>
  <c r="C60" i="9"/>
  <c r="H59" i="8"/>
  <c r="E60" i="9" s="1"/>
  <c r="C58" i="9"/>
  <c r="H57" i="8"/>
  <c r="E58" i="9" s="1"/>
  <c r="K46" i="5"/>
  <c r="G56" i="7"/>
  <c r="O55" i="6"/>
  <c r="I56" i="7" s="1"/>
  <c r="G52" i="7"/>
  <c r="O51" i="6"/>
  <c r="I52" i="7" s="1"/>
  <c r="K50" i="5"/>
  <c r="H40" i="8"/>
  <c r="E41" i="9" s="1"/>
  <c r="H35" i="6"/>
  <c r="E36" i="7" s="1"/>
  <c r="P58" i="9"/>
  <c r="P54" i="9"/>
  <c r="P44" i="5"/>
  <c r="P42" i="7"/>
  <c r="P40" i="5"/>
  <c r="P37" i="5"/>
  <c r="O53" i="2"/>
  <c r="I54" i="5" s="1"/>
  <c r="I56" i="9"/>
  <c r="H47" i="8"/>
  <c r="E48" i="9" s="1"/>
  <c r="O42" i="6"/>
  <c r="I43" i="7" s="1"/>
  <c r="H21" i="6"/>
  <c r="E22" i="7" s="1"/>
  <c r="G58" i="9"/>
  <c r="G54" i="9"/>
  <c r="P45" i="5"/>
  <c r="P50" i="9"/>
  <c r="O44" i="2"/>
  <c r="I45" i="5" s="1"/>
  <c r="H46" i="2"/>
  <c r="E47" i="5" s="1"/>
  <c r="H56" i="2"/>
  <c r="E57" i="5" s="1"/>
  <c r="H32" i="8"/>
  <c r="E33" i="9" s="1"/>
  <c r="O39" i="6"/>
  <c r="I40" i="7" s="1"/>
  <c r="O17" i="6"/>
  <c r="I18" i="7" s="1"/>
  <c r="P57" i="5"/>
  <c r="P53" i="7"/>
  <c r="P49" i="7"/>
  <c r="P36" i="5"/>
  <c r="V50" i="10"/>
  <c r="W50" i="10"/>
  <c r="V9" i="10"/>
  <c r="W9" i="10"/>
  <c r="W49" i="10"/>
  <c r="Q51" i="10"/>
  <c r="Q48" i="10"/>
  <c r="Q47" i="10"/>
  <c r="Q43" i="10"/>
  <c r="Q40" i="10"/>
  <c r="Q39" i="10"/>
  <c r="Q35" i="10"/>
  <c r="Q32" i="10"/>
  <c r="Q31" i="10"/>
  <c r="Q27" i="10"/>
  <c r="Q24" i="10"/>
  <c r="Q23" i="10"/>
  <c r="Q19" i="10"/>
  <c r="Q15" i="10"/>
  <c r="Q11" i="10"/>
  <c r="Q9" i="10"/>
  <c r="P55" i="9"/>
  <c r="K43" i="7"/>
  <c r="H54" i="8"/>
  <c r="E55" i="9" s="1"/>
  <c r="H58" i="6"/>
  <c r="E59" i="7" s="1"/>
  <c r="H43" i="6"/>
  <c r="E44" i="7" s="1"/>
  <c r="C59" i="5"/>
  <c r="G57" i="7"/>
  <c r="G56" i="5"/>
  <c r="C55" i="5"/>
  <c r="C53" i="9"/>
  <c r="P51" i="9"/>
  <c r="P48" i="5"/>
  <c r="I46" i="9"/>
  <c r="G46" i="9"/>
  <c r="P46" i="7"/>
  <c r="C37" i="9"/>
  <c r="H54" i="6"/>
  <c r="E55" i="7" s="1"/>
  <c r="H49" i="6"/>
  <c r="E50" i="7" s="1"/>
  <c r="G60" i="5"/>
  <c r="C59" i="9"/>
  <c r="K48" i="7"/>
  <c r="G48" i="5"/>
  <c r="G41" i="7"/>
  <c r="O36" i="6"/>
  <c r="I37" i="7" s="1"/>
  <c r="G37" i="7"/>
  <c r="P59" i="9"/>
  <c r="P57" i="7"/>
  <c r="P56" i="5"/>
  <c r="K51" i="5"/>
  <c r="K40" i="7"/>
  <c r="I38" i="9"/>
  <c r="G38" i="9"/>
  <c r="P60" i="5"/>
  <c r="K58" i="5"/>
  <c r="P54" i="7"/>
  <c r="P53" i="5"/>
  <c r="Q53" i="5" s="1"/>
  <c r="I50" i="9"/>
  <c r="G50" i="9"/>
  <c r="P49" i="5"/>
  <c r="O44" i="6"/>
  <c r="I45" i="7" s="1"/>
  <c r="G45" i="7"/>
  <c r="K43" i="5"/>
  <c r="P42" i="9"/>
  <c r="P41" i="7"/>
  <c r="O39" i="2"/>
  <c r="I40" i="5" s="1"/>
  <c r="G40" i="5"/>
  <c r="P35" i="9"/>
  <c r="P43" i="9"/>
  <c r="I22" i="9"/>
  <c r="I20" i="9"/>
  <c r="H16" i="8"/>
  <c r="E17" i="9" s="1"/>
  <c r="O22" i="2"/>
  <c r="I23" i="5" s="1"/>
  <c r="H19" i="2"/>
  <c r="E20" i="5" s="1"/>
  <c r="H23" i="8"/>
  <c r="E24" i="9" s="1"/>
  <c r="H34" i="8"/>
  <c r="E35" i="9" s="1"/>
  <c r="H30" i="8"/>
  <c r="E31" i="9" s="1"/>
  <c r="H22" i="8"/>
  <c r="E23" i="9" s="1"/>
  <c r="H18" i="8"/>
  <c r="E19" i="9" s="1"/>
  <c r="P38" i="7"/>
  <c r="P37" i="7"/>
  <c r="O22" i="6"/>
  <c r="I23" i="7" s="1"/>
  <c r="P22" i="5"/>
  <c r="P21" i="5"/>
  <c r="O26" i="2"/>
  <c r="I27" i="5" s="1"/>
  <c r="H29" i="2"/>
  <c r="E30" i="5" s="1"/>
  <c r="H21" i="2"/>
  <c r="E22" i="5" s="1"/>
  <c r="H18" i="2"/>
  <c r="E19" i="5" s="1"/>
  <c r="C35" i="5"/>
  <c r="C31" i="5"/>
  <c r="P30" i="9"/>
  <c r="P19" i="9"/>
  <c r="P34" i="9"/>
  <c r="I32" i="9"/>
  <c r="I25" i="9"/>
  <c r="G34" i="9"/>
  <c r="P34" i="7"/>
  <c r="P33" i="7"/>
  <c r="P18" i="7"/>
  <c r="O19" i="6"/>
  <c r="I20" i="7" s="1"/>
  <c r="O34" i="6"/>
  <c r="I35" i="7" s="1"/>
  <c r="K35" i="7"/>
  <c r="O15" i="6"/>
  <c r="I16" i="7" s="1"/>
  <c r="O23" i="6"/>
  <c r="I24" i="7" s="1"/>
  <c r="G33" i="7"/>
  <c r="K23" i="7"/>
  <c r="H34" i="6"/>
  <c r="E35" i="7" s="1"/>
  <c r="H16" i="6"/>
  <c r="E17" i="7" s="1"/>
  <c r="H30" i="6"/>
  <c r="E31" i="7" s="1"/>
  <c r="H24" i="6"/>
  <c r="E25" i="7" s="1"/>
  <c r="P33" i="5"/>
  <c r="P20" i="5"/>
  <c r="O34" i="2"/>
  <c r="I35" i="5" s="1"/>
  <c r="O19" i="2"/>
  <c r="I20" i="5" s="1"/>
  <c r="K33" i="5"/>
  <c r="Q33" i="5" s="1"/>
  <c r="O27" i="2"/>
  <c r="I28" i="5" s="1"/>
  <c r="O25" i="2"/>
  <c r="I26" i="5" s="1"/>
  <c r="O21" i="2"/>
  <c r="I22" i="5" s="1"/>
  <c r="O18" i="2"/>
  <c r="I19" i="5" s="1"/>
  <c r="O16" i="2"/>
  <c r="I17" i="5" s="1"/>
  <c r="K34" i="5"/>
  <c r="H33" i="2"/>
  <c r="E34" i="5" s="1"/>
  <c r="P31" i="9"/>
  <c r="P22" i="9"/>
  <c r="P24" i="9"/>
  <c r="P23" i="9"/>
  <c r="P21" i="9"/>
  <c r="P20" i="9"/>
  <c r="G16" i="9"/>
  <c r="I29" i="9"/>
  <c r="G30" i="9"/>
  <c r="G27" i="9"/>
  <c r="I18" i="9"/>
  <c r="G19" i="9"/>
  <c r="H31" i="8"/>
  <c r="E32" i="9" s="1"/>
  <c r="H19" i="8"/>
  <c r="E20" i="9" s="1"/>
  <c r="H17" i="8"/>
  <c r="E18" i="9" s="1"/>
  <c r="H26" i="8"/>
  <c r="E27" i="9" s="1"/>
  <c r="H21" i="8"/>
  <c r="E22" i="9" s="1"/>
  <c r="H27" i="8"/>
  <c r="E28" i="9" s="1"/>
  <c r="H20" i="8"/>
  <c r="E21" i="9" s="1"/>
  <c r="H25" i="8"/>
  <c r="E26" i="9" s="1"/>
  <c r="H24" i="8"/>
  <c r="E25" i="9" s="1"/>
  <c r="C29" i="9"/>
  <c r="P19" i="7"/>
  <c r="P29" i="7"/>
  <c r="P26" i="7"/>
  <c r="P25" i="7"/>
  <c r="P27" i="7"/>
  <c r="P30" i="7"/>
  <c r="P24" i="7"/>
  <c r="P23" i="7"/>
  <c r="P22" i="7"/>
  <c r="O25" i="6"/>
  <c r="I26" i="7" s="1"/>
  <c r="K20" i="7"/>
  <c r="G29" i="7"/>
  <c r="O20" i="6"/>
  <c r="I21" i="7" s="1"/>
  <c r="K32" i="7"/>
  <c r="K21" i="7"/>
  <c r="K18" i="7"/>
  <c r="K26" i="7"/>
  <c r="K24" i="7"/>
  <c r="O30" i="6"/>
  <c r="I31" i="7" s="1"/>
  <c r="K31" i="7"/>
  <c r="O31" i="6"/>
  <c r="I32" i="7" s="1"/>
  <c r="K16" i="7"/>
  <c r="K25" i="7"/>
  <c r="H15" i="6"/>
  <c r="E16" i="7" s="1"/>
  <c r="H22" i="6"/>
  <c r="E23" i="7" s="1"/>
  <c r="H29" i="6"/>
  <c r="E30" i="7" s="1"/>
  <c r="H31" i="6"/>
  <c r="E32" i="7" s="1"/>
  <c r="H19" i="6"/>
  <c r="E20" i="7" s="1"/>
  <c r="H23" i="6"/>
  <c r="E24" i="7" s="1"/>
  <c r="H28" i="6"/>
  <c r="E29" i="7" s="1"/>
  <c r="H27" i="6"/>
  <c r="E28" i="7" s="1"/>
  <c r="H18" i="6"/>
  <c r="E19" i="7" s="1"/>
  <c r="P17" i="5"/>
  <c r="P18" i="5"/>
  <c r="P25" i="5"/>
  <c r="P29" i="5"/>
  <c r="P16" i="5"/>
  <c r="P19" i="5"/>
  <c r="P32" i="5"/>
  <c r="P27" i="5"/>
  <c r="P28" i="5"/>
  <c r="P26" i="5"/>
  <c r="K18" i="5"/>
  <c r="O20" i="2"/>
  <c r="I21" i="5" s="1"/>
  <c r="O17" i="2"/>
  <c r="I18" i="5" s="1"/>
  <c r="O29" i="2"/>
  <c r="I30" i="5" s="1"/>
  <c r="O24" i="2"/>
  <c r="I25" i="5" s="1"/>
  <c r="K30" i="5"/>
  <c r="O30" i="2"/>
  <c r="I31" i="5" s="1"/>
  <c r="O23" i="2"/>
  <c r="I24" i="5" s="1"/>
  <c r="G32" i="5"/>
  <c r="K19" i="5"/>
  <c r="K22" i="5"/>
  <c r="H25" i="2"/>
  <c r="E26" i="5" s="1"/>
  <c r="H22" i="2"/>
  <c r="E23" i="5" s="1"/>
  <c r="H28" i="2"/>
  <c r="E29" i="5" s="1"/>
  <c r="H24" i="2"/>
  <c r="E25" i="5" s="1"/>
  <c r="H17" i="2"/>
  <c r="E18" i="5" s="1"/>
  <c r="H15" i="2"/>
  <c r="E16" i="5" s="1"/>
  <c r="H26" i="2"/>
  <c r="E27" i="5" s="1"/>
  <c r="C52" i="5"/>
  <c r="H51" i="2"/>
  <c r="E52" i="5" s="1"/>
  <c r="C36" i="5"/>
  <c r="H35" i="2"/>
  <c r="E36" i="5" s="1"/>
  <c r="C28" i="5"/>
  <c r="H27" i="2"/>
  <c r="E28" i="5" s="1"/>
  <c r="G19" i="7"/>
  <c r="O18" i="6"/>
  <c r="I19" i="7" s="1"/>
  <c r="H48" i="6"/>
  <c r="E49" i="7" s="1"/>
  <c r="P60" i="9"/>
  <c r="G58" i="7"/>
  <c r="O57" i="6"/>
  <c r="I58" i="7" s="1"/>
  <c r="P57" i="9"/>
  <c r="P55" i="7"/>
  <c r="P52" i="9"/>
  <c r="P50" i="5"/>
  <c r="G47" i="9"/>
  <c r="I47" i="9"/>
  <c r="P47" i="5"/>
  <c r="P44" i="9"/>
  <c r="P42" i="5"/>
  <c r="P39" i="7"/>
  <c r="P36" i="7"/>
  <c r="G34" i="7"/>
  <c r="O33" i="6"/>
  <c r="I34" i="7" s="1"/>
  <c r="P33" i="9"/>
  <c r="P31" i="7"/>
  <c r="P28" i="9"/>
  <c r="O36" i="2"/>
  <c r="I37" i="5" s="1"/>
  <c r="O52" i="2"/>
  <c r="I53" i="5" s="1"/>
  <c r="H59" i="2"/>
  <c r="E60" i="5" s="1"/>
  <c r="O15" i="2"/>
  <c r="I16" i="5" s="1"/>
  <c r="O28" i="2"/>
  <c r="I29" i="5" s="1"/>
  <c r="P16" i="9"/>
  <c r="K53" i="7"/>
  <c r="Q53" i="7" s="1"/>
  <c r="C48" i="5"/>
  <c r="H47" i="2"/>
  <c r="E48" i="5" s="1"/>
  <c r="K44" i="7"/>
  <c r="C40" i="5"/>
  <c r="H39" i="2"/>
  <c r="E40" i="5" s="1"/>
  <c r="K36" i="7"/>
  <c r="C32" i="5"/>
  <c r="H31" i="2"/>
  <c r="E32" i="5" s="1"/>
  <c r="K28" i="7"/>
  <c r="G24" i="9"/>
  <c r="I24" i="9"/>
  <c r="K17" i="7"/>
  <c r="C44" i="5"/>
  <c r="H43" i="2"/>
  <c r="E44" i="5" s="1"/>
  <c r="H56" i="6"/>
  <c r="E57" i="7" s="1"/>
  <c r="H40" i="6"/>
  <c r="E41" i="7" s="1"/>
  <c r="H32" i="6"/>
  <c r="E33" i="7" s="1"/>
  <c r="H20" i="6"/>
  <c r="E21" i="7" s="1"/>
  <c r="P60" i="7"/>
  <c r="P58" i="5"/>
  <c r="G55" i="9"/>
  <c r="I55" i="9"/>
  <c r="P55" i="5"/>
  <c r="P52" i="7"/>
  <c r="G50" i="7"/>
  <c r="O49" i="6"/>
  <c r="I50" i="7" s="1"/>
  <c r="P49" i="9"/>
  <c r="P47" i="7"/>
  <c r="P44" i="7"/>
  <c r="G42" i="7"/>
  <c r="O41" i="6"/>
  <c r="I42" i="7" s="1"/>
  <c r="P41" i="9"/>
  <c r="G39" i="9"/>
  <c r="I39" i="9"/>
  <c r="P39" i="5"/>
  <c r="P36" i="9"/>
  <c r="P34" i="5"/>
  <c r="G31" i="9"/>
  <c r="I31" i="9"/>
  <c r="P31" i="5"/>
  <c r="P28" i="7"/>
  <c r="G27" i="7"/>
  <c r="O26" i="6"/>
  <c r="I27" i="7" s="1"/>
  <c r="C17" i="5"/>
  <c r="H16" i="2"/>
  <c r="E17" i="5" s="1"/>
  <c r="H53" i="8"/>
  <c r="E54" i="9" s="1"/>
  <c r="H45" i="8"/>
  <c r="E46" i="9" s="1"/>
  <c r="H37" i="8"/>
  <c r="E38" i="9" s="1"/>
  <c r="H29" i="8"/>
  <c r="E30" i="9" s="1"/>
  <c r="H25" i="6"/>
  <c r="E26" i="7" s="1"/>
  <c r="H17" i="6"/>
  <c r="E18" i="7" s="1"/>
  <c r="C16" i="9"/>
  <c r="P16" i="7"/>
  <c r="G59" i="9"/>
  <c r="P59" i="7"/>
  <c r="Q59" i="7" s="1"/>
  <c r="P59" i="5"/>
  <c r="G57" i="5"/>
  <c r="O56" i="2"/>
  <c r="I57" i="5" s="1"/>
  <c r="P56" i="9"/>
  <c r="P56" i="7"/>
  <c r="G54" i="7"/>
  <c r="O53" i="6"/>
  <c r="I54" i="7" s="1"/>
  <c r="P54" i="5"/>
  <c r="P53" i="9"/>
  <c r="G51" i="9"/>
  <c r="I51" i="9"/>
  <c r="P51" i="7"/>
  <c r="P51" i="5"/>
  <c r="G49" i="5"/>
  <c r="O48" i="2"/>
  <c r="I49" i="5" s="1"/>
  <c r="P48" i="9"/>
  <c r="P48" i="7"/>
  <c r="G46" i="7"/>
  <c r="O45" i="6"/>
  <c r="I46" i="7" s="1"/>
  <c r="P46" i="5"/>
  <c r="P45" i="9"/>
  <c r="G43" i="9"/>
  <c r="I43" i="9"/>
  <c r="P43" i="7"/>
  <c r="Q43" i="7" s="1"/>
  <c r="P43" i="5"/>
  <c r="G41" i="5"/>
  <c r="O40" i="2"/>
  <c r="I41" i="5" s="1"/>
  <c r="P40" i="9"/>
  <c r="P40" i="7"/>
  <c r="G38" i="7"/>
  <c r="O37" i="6"/>
  <c r="I38" i="7" s="1"/>
  <c r="P38" i="5"/>
  <c r="P37" i="9"/>
  <c r="G35" i="9"/>
  <c r="I35" i="9"/>
  <c r="P35" i="7"/>
  <c r="P35" i="5"/>
  <c r="P32" i="9"/>
  <c r="P32" i="7"/>
  <c r="G30" i="7"/>
  <c r="O29" i="6"/>
  <c r="I30" i="7" s="1"/>
  <c r="P30" i="5"/>
  <c r="P29" i="9"/>
  <c r="P27" i="9"/>
  <c r="C24" i="5"/>
  <c r="H23" i="2"/>
  <c r="E24" i="5" s="1"/>
  <c r="G22" i="7"/>
  <c r="C21" i="5"/>
  <c r="H20" i="2"/>
  <c r="E21" i="5" s="1"/>
  <c r="P26" i="9"/>
  <c r="P25" i="9"/>
  <c r="P24" i="5"/>
  <c r="P23" i="5"/>
  <c r="P21" i="7"/>
  <c r="P20" i="7"/>
  <c r="P18" i="9"/>
  <c r="P17" i="9"/>
  <c r="P17" i="7"/>
  <c r="J59" i="9" l="1"/>
  <c r="H59" i="9"/>
  <c r="J31" i="9"/>
  <c r="H31" i="9"/>
  <c r="J24" i="9"/>
  <c r="H24" i="9"/>
  <c r="J47" i="9"/>
  <c r="H47" i="9"/>
  <c r="J30" i="9"/>
  <c r="H30" i="9"/>
  <c r="J16" i="9"/>
  <c r="H16" i="9"/>
  <c r="J50" i="9"/>
  <c r="H50" i="9"/>
  <c r="J38" i="9"/>
  <c r="H38" i="9"/>
  <c r="J54" i="9"/>
  <c r="H54" i="9"/>
  <c r="J42" i="9"/>
  <c r="H42" i="9"/>
  <c r="J37" i="9"/>
  <c r="H37" i="9"/>
  <c r="J41" i="9"/>
  <c r="H41" i="9"/>
  <c r="J48" i="9"/>
  <c r="H48" i="9"/>
  <c r="J60" i="9"/>
  <c r="H60" i="9"/>
  <c r="J18" i="9"/>
  <c r="H18" i="9"/>
  <c r="J21" i="9"/>
  <c r="H21" i="9"/>
  <c r="J23" i="9"/>
  <c r="H23" i="9"/>
  <c r="J26" i="9"/>
  <c r="H26" i="9"/>
  <c r="J29" i="9"/>
  <c r="H29" i="9"/>
  <c r="J33" i="9"/>
  <c r="H33" i="9"/>
  <c r="J49" i="9"/>
  <c r="H49" i="9"/>
  <c r="J56" i="9"/>
  <c r="H56" i="9"/>
  <c r="J35" i="9"/>
  <c r="H35" i="9"/>
  <c r="J43" i="9"/>
  <c r="H43" i="9"/>
  <c r="J51" i="9"/>
  <c r="H51" i="9"/>
  <c r="J39" i="9"/>
  <c r="H39" i="9"/>
  <c r="J55" i="9"/>
  <c r="H55" i="9"/>
  <c r="J19" i="9"/>
  <c r="H19" i="9"/>
  <c r="J27" i="9"/>
  <c r="H27" i="9"/>
  <c r="J34" i="9"/>
  <c r="H34" i="9"/>
  <c r="J46" i="9"/>
  <c r="H46" i="9"/>
  <c r="J58" i="9"/>
  <c r="H58" i="9"/>
  <c r="J36" i="9"/>
  <c r="H36" i="9"/>
  <c r="J40" i="9"/>
  <c r="H40" i="9"/>
  <c r="J44" i="9"/>
  <c r="H44" i="9"/>
  <c r="J53" i="9"/>
  <c r="H53" i="9"/>
  <c r="J17" i="9"/>
  <c r="H17" i="9"/>
  <c r="J20" i="9"/>
  <c r="H20" i="9"/>
  <c r="J22" i="9"/>
  <c r="H22" i="9"/>
  <c r="J25" i="9"/>
  <c r="H25" i="9"/>
  <c r="J28" i="9"/>
  <c r="H28" i="9"/>
  <c r="J32" i="9"/>
  <c r="H32" i="9"/>
  <c r="J45" i="9"/>
  <c r="K45" i="9" s="1"/>
  <c r="H45" i="9"/>
  <c r="J52" i="9"/>
  <c r="K52" i="9" s="1"/>
  <c r="H52" i="9"/>
  <c r="J57" i="9"/>
  <c r="H57" i="9"/>
  <c r="F16" i="9"/>
  <c r="D16" i="9"/>
  <c r="F59" i="9"/>
  <c r="K59" i="9" s="1"/>
  <c r="Q59" i="9" s="1"/>
  <c r="D59" i="9"/>
  <c r="F37" i="9"/>
  <c r="D37" i="9"/>
  <c r="F53" i="9"/>
  <c r="K53" i="9" s="1"/>
  <c r="Q53" i="9" s="1"/>
  <c r="D53" i="9"/>
  <c r="F58" i="9"/>
  <c r="K58" i="9" s="1"/>
  <c r="Q58" i="9" s="1"/>
  <c r="D58" i="9"/>
  <c r="F60" i="9"/>
  <c r="K60" i="9" s="1"/>
  <c r="Q60" i="9" s="1"/>
  <c r="D60" i="9"/>
  <c r="F44" i="9"/>
  <c r="K44" i="9" s="1"/>
  <c r="D44" i="9"/>
  <c r="F48" i="9"/>
  <c r="K48" i="9" s="1"/>
  <c r="D48" i="9"/>
  <c r="F51" i="9"/>
  <c r="D51" i="9"/>
  <c r="F55" i="9"/>
  <c r="D55" i="9"/>
  <c r="F35" i="9"/>
  <c r="K35" i="9" s="1"/>
  <c r="Q35" i="9" s="1"/>
  <c r="K28" i="10" s="1"/>
  <c r="D35" i="9"/>
  <c r="F36" i="9"/>
  <c r="K36" i="9" s="1"/>
  <c r="Q36" i="9" s="1"/>
  <c r="T36" i="9" s="1"/>
  <c r="D36" i="9"/>
  <c r="F39" i="9"/>
  <c r="K39" i="9" s="1"/>
  <c r="Q39" i="9" s="1"/>
  <c r="D39" i="9"/>
  <c r="F40" i="9"/>
  <c r="K40" i="9" s="1"/>
  <c r="Q40" i="9" s="1"/>
  <c r="K33" i="10" s="1"/>
  <c r="D40" i="9"/>
  <c r="F41" i="9"/>
  <c r="K41" i="9" s="1"/>
  <c r="Q41" i="9" s="1"/>
  <c r="K34" i="10" s="1"/>
  <c r="D41" i="9"/>
  <c r="F43" i="9"/>
  <c r="K43" i="9" s="1"/>
  <c r="Q43" i="9" s="1"/>
  <c r="T43" i="9" s="1"/>
  <c r="D43" i="9"/>
  <c r="F46" i="9"/>
  <c r="K46" i="9" s="1"/>
  <c r="Q46" i="9" s="1"/>
  <c r="T46" i="9" s="1"/>
  <c r="D46" i="9"/>
  <c r="F47" i="9"/>
  <c r="K47" i="9" s="1"/>
  <c r="Q47" i="9" s="1"/>
  <c r="D47" i="9"/>
  <c r="F49" i="9"/>
  <c r="K49" i="9" s="1"/>
  <c r="Q49" i="9" s="1"/>
  <c r="D49" i="9"/>
  <c r="F50" i="9"/>
  <c r="K50" i="9" s="1"/>
  <c r="Q50" i="9" s="1"/>
  <c r="D50" i="9"/>
  <c r="F54" i="9"/>
  <c r="K54" i="9" s="1"/>
  <c r="Q54" i="9" s="1"/>
  <c r="D54" i="9"/>
  <c r="K18" i="9"/>
  <c r="Q18" i="9" s="1"/>
  <c r="T18" i="9" s="1"/>
  <c r="F29" i="9"/>
  <c r="K29" i="9" s="1"/>
  <c r="Q29" i="9" s="1"/>
  <c r="K22" i="10" s="1"/>
  <c r="D29" i="9"/>
  <c r="K27" i="9"/>
  <c r="Q27" i="9" s="1"/>
  <c r="T27" i="9" s="1"/>
  <c r="K42" i="9"/>
  <c r="Q42" i="9" s="1"/>
  <c r="F17" i="9"/>
  <c r="K17" i="9" s="1"/>
  <c r="D17" i="9"/>
  <c r="F18" i="9"/>
  <c r="D18" i="9"/>
  <c r="F19" i="9"/>
  <c r="K19" i="9" s="1"/>
  <c r="Q19" i="9" s="1"/>
  <c r="D19" i="9"/>
  <c r="F20" i="9"/>
  <c r="K20" i="9" s="1"/>
  <c r="D20" i="9"/>
  <c r="F21" i="9"/>
  <c r="K21" i="9" s="1"/>
  <c r="Q21" i="9" s="1"/>
  <c r="D21" i="9"/>
  <c r="F22" i="9"/>
  <c r="K22" i="9" s="1"/>
  <c r="D22" i="9"/>
  <c r="F23" i="9"/>
  <c r="K23" i="9" s="1"/>
  <c r="Q23" i="9" s="1"/>
  <c r="D23" i="9"/>
  <c r="F24" i="9"/>
  <c r="K24" i="9" s="1"/>
  <c r="Q24" i="9" s="1"/>
  <c r="T24" i="9" s="1"/>
  <c r="D24" i="9"/>
  <c r="F25" i="9"/>
  <c r="K25" i="9" s="1"/>
  <c r="D25" i="9"/>
  <c r="F26" i="9"/>
  <c r="K26" i="9" s="1"/>
  <c r="D26" i="9"/>
  <c r="F27" i="9"/>
  <c r="D27" i="9"/>
  <c r="F28" i="9"/>
  <c r="K28" i="9" s="1"/>
  <c r="D28" i="9"/>
  <c r="F30" i="9"/>
  <c r="K30" i="9" s="1"/>
  <c r="Q30" i="9" s="1"/>
  <c r="D30" i="9"/>
  <c r="F31" i="9"/>
  <c r="K31" i="9" s="1"/>
  <c r="Q31" i="9" s="1"/>
  <c r="S31" i="9" s="1"/>
  <c r="D31" i="9"/>
  <c r="F32" i="9"/>
  <c r="K32" i="9" s="1"/>
  <c r="D32" i="9"/>
  <c r="F33" i="9"/>
  <c r="K33" i="9" s="1"/>
  <c r="D33" i="9"/>
  <c r="F34" i="9"/>
  <c r="K34" i="9" s="1"/>
  <c r="Q34" i="9" s="1"/>
  <c r="D34" i="9"/>
  <c r="F38" i="9"/>
  <c r="K38" i="9" s="1"/>
  <c r="Q38" i="9" s="1"/>
  <c r="D38" i="9"/>
  <c r="F42" i="9"/>
  <c r="D42" i="9"/>
  <c r="F56" i="9"/>
  <c r="K56" i="9" s="1"/>
  <c r="D56" i="9"/>
  <c r="F57" i="9"/>
  <c r="K57" i="9" s="1"/>
  <c r="D57" i="9"/>
  <c r="Q56" i="9"/>
  <c r="T56" i="9" s="1"/>
  <c r="K55" i="9"/>
  <c r="J30" i="7"/>
  <c r="K30" i="7" s="1"/>
  <c r="H30" i="7"/>
  <c r="J38" i="7"/>
  <c r="K38" i="7" s="1"/>
  <c r="H38" i="7"/>
  <c r="J46" i="7"/>
  <c r="K46" i="7" s="1"/>
  <c r="H46" i="7"/>
  <c r="J54" i="7"/>
  <c r="K54" i="7" s="1"/>
  <c r="Q54" i="7" s="1"/>
  <c r="H54" i="7"/>
  <c r="J50" i="7"/>
  <c r="K50" i="7" s="1"/>
  <c r="Q50" i="7" s="1"/>
  <c r="H50" i="7"/>
  <c r="J58" i="7"/>
  <c r="K58" i="7" s="1"/>
  <c r="Q58" i="7" s="1"/>
  <c r="H58" i="7"/>
  <c r="J19" i="7"/>
  <c r="K19" i="7" s="1"/>
  <c r="H19" i="7"/>
  <c r="J33" i="7"/>
  <c r="K33" i="7" s="1"/>
  <c r="H33" i="7"/>
  <c r="J37" i="7"/>
  <c r="K37" i="7" s="1"/>
  <c r="H37" i="7"/>
  <c r="J41" i="7"/>
  <c r="K41" i="7" s="1"/>
  <c r="H41" i="7"/>
  <c r="J52" i="7"/>
  <c r="K52" i="7" s="1"/>
  <c r="H52" i="7"/>
  <c r="J55" i="7"/>
  <c r="K55" i="7" s="1"/>
  <c r="H55" i="7"/>
  <c r="J60" i="7"/>
  <c r="K60" i="7" s="1"/>
  <c r="H60" i="7"/>
  <c r="J49" i="7"/>
  <c r="K49" i="7" s="1"/>
  <c r="H49" i="7"/>
  <c r="J22" i="7"/>
  <c r="K22" i="7" s="1"/>
  <c r="H22" i="7"/>
  <c r="J27" i="7"/>
  <c r="K27" i="7" s="1"/>
  <c r="H27" i="7"/>
  <c r="J42" i="7"/>
  <c r="K42" i="7" s="1"/>
  <c r="Q42" i="7" s="1"/>
  <c r="H42" i="7"/>
  <c r="J34" i="7"/>
  <c r="K34" i="7" s="1"/>
  <c r="H34" i="7"/>
  <c r="J29" i="7"/>
  <c r="K29" i="7" s="1"/>
  <c r="H29" i="7"/>
  <c r="J45" i="7"/>
  <c r="K45" i="7" s="1"/>
  <c r="Q45" i="7" s="1"/>
  <c r="H45" i="7"/>
  <c r="J57" i="7"/>
  <c r="K57" i="7" s="1"/>
  <c r="H57" i="7"/>
  <c r="J56" i="7"/>
  <c r="K56" i="7" s="1"/>
  <c r="H56" i="7"/>
  <c r="F39" i="7"/>
  <c r="K39" i="7" s="1"/>
  <c r="D39" i="7"/>
  <c r="Q56" i="7"/>
  <c r="Q57" i="7"/>
  <c r="S57" i="7" s="1"/>
  <c r="Q27" i="5"/>
  <c r="Q51" i="5"/>
  <c r="T51" i="5" s="1"/>
  <c r="J60" i="5"/>
  <c r="K60" i="5" s="1"/>
  <c r="H60" i="5"/>
  <c r="J56" i="5"/>
  <c r="K56" i="5" s="1"/>
  <c r="H56" i="5"/>
  <c r="J41" i="5"/>
  <c r="K41" i="5" s="1"/>
  <c r="H41" i="5"/>
  <c r="J49" i="5"/>
  <c r="K49" i="5" s="1"/>
  <c r="H49" i="5"/>
  <c r="Q54" i="5"/>
  <c r="J57" i="5"/>
  <c r="K57" i="5" s="1"/>
  <c r="Q57" i="5" s="1"/>
  <c r="H57" i="5"/>
  <c r="J32" i="5"/>
  <c r="H32" i="5"/>
  <c r="J40" i="5"/>
  <c r="H40" i="5"/>
  <c r="J48" i="5"/>
  <c r="H48" i="5"/>
  <c r="F44" i="5"/>
  <c r="K44" i="5" s="1"/>
  <c r="D44" i="5"/>
  <c r="F32" i="5"/>
  <c r="K32" i="5" s="1"/>
  <c r="Q32" i="5" s="1"/>
  <c r="D32" i="5"/>
  <c r="F31" i="5"/>
  <c r="K31" i="5" s="1"/>
  <c r="Q31" i="5" s="1"/>
  <c r="D31" i="5"/>
  <c r="F59" i="5"/>
  <c r="K59" i="5" s="1"/>
  <c r="Q59" i="5" s="1"/>
  <c r="D59" i="5"/>
  <c r="F21" i="5"/>
  <c r="K21" i="5" s="1"/>
  <c r="D21" i="5"/>
  <c r="F24" i="5"/>
  <c r="K24" i="5" s="1"/>
  <c r="Q24" i="5" s="1"/>
  <c r="T24" i="5" s="1"/>
  <c r="D24" i="5"/>
  <c r="F17" i="5"/>
  <c r="K17" i="5" s="1"/>
  <c r="Q17" i="5" s="1"/>
  <c r="D17" i="5"/>
  <c r="F40" i="5"/>
  <c r="K40" i="5" s="1"/>
  <c r="Q40" i="5" s="1"/>
  <c r="D40" i="5"/>
  <c r="F48" i="5"/>
  <c r="D48" i="5"/>
  <c r="F28" i="5"/>
  <c r="K28" i="5" s="1"/>
  <c r="Q28" i="5" s="1"/>
  <c r="D28" i="5"/>
  <c r="F36" i="5"/>
  <c r="K36" i="5" s="1"/>
  <c r="Q36" i="5" s="1"/>
  <c r="T36" i="5" s="1"/>
  <c r="D36" i="5"/>
  <c r="F52" i="5"/>
  <c r="K52" i="5" s="1"/>
  <c r="Q52" i="5" s="1"/>
  <c r="C45" i="10" s="1"/>
  <c r="D45" i="10" s="1"/>
  <c r="D52" i="5"/>
  <c r="F35" i="5"/>
  <c r="K35" i="5" s="1"/>
  <c r="D35" i="5"/>
  <c r="F55" i="5"/>
  <c r="K55" i="5" s="1"/>
  <c r="Q55" i="5" s="1"/>
  <c r="D55" i="5"/>
  <c r="Q42" i="5"/>
  <c r="C35" i="10" s="1"/>
  <c r="D35" i="10" s="1"/>
  <c r="K37" i="9"/>
  <c r="Q37" i="9" s="1"/>
  <c r="K30" i="10" s="1"/>
  <c r="K51" i="9"/>
  <c r="Q51" i="9" s="1"/>
  <c r="K44" i="10" s="1"/>
  <c r="Q44" i="9"/>
  <c r="K37" i="10" s="1"/>
  <c r="Q55" i="9"/>
  <c r="K48" i="10" s="1"/>
  <c r="Q48" i="7"/>
  <c r="G41" i="10" s="1"/>
  <c r="H41" i="10" s="1"/>
  <c r="Q46" i="7"/>
  <c r="G39" i="10" s="1"/>
  <c r="H39" i="10" s="1"/>
  <c r="Q55" i="7"/>
  <c r="T55" i="7" s="1"/>
  <c r="Q56" i="5"/>
  <c r="C49" i="10" s="1"/>
  <c r="D49" i="10" s="1"/>
  <c r="Q41" i="5"/>
  <c r="T41" i="5" s="1"/>
  <c r="Q58" i="5"/>
  <c r="T58" i="5" s="1"/>
  <c r="Q44" i="5"/>
  <c r="T44" i="5" s="1"/>
  <c r="W17" i="10"/>
  <c r="U17" i="10"/>
  <c r="W25" i="10"/>
  <c r="U25" i="10"/>
  <c r="V33" i="10"/>
  <c r="U33" i="10"/>
  <c r="W41" i="10"/>
  <c r="U41" i="10"/>
  <c r="W12" i="10"/>
  <c r="U12" i="10"/>
  <c r="W16" i="10"/>
  <c r="U16" i="10"/>
  <c r="W20" i="10"/>
  <c r="U20" i="10"/>
  <c r="W30" i="10"/>
  <c r="U30" i="10"/>
  <c r="V36" i="10"/>
  <c r="U36" i="10"/>
  <c r="V46" i="10"/>
  <c r="U46" i="10"/>
  <c r="V22" i="10"/>
  <c r="U22" i="10"/>
  <c r="V38" i="10"/>
  <c r="U38" i="10"/>
  <c r="V49" i="10"/>
  <c r="U49" i="10"/>
  <c r="W46" i="10"/>
  <c r="W22" i="10"/>
  <c r="Q48" i="9"/>
  <c r="K41" i="10" s="1"/>
  <c r="Q37" i="7"/>
  <c r="S37" i="7" s="1"/>
  <c r="Q49" i="7"/>
  <c r="S49" i="7" s="1"/>
  <c r="Q51" i="7"/>
  <c r="G44" i="10" s="1"/>
  <c r="H44" i="10" s="1"/>
  <c r="Q47" i="7"/>
  <c r="T47" i="7" s="1"/>
  <c r="Q21" i="5"/>
  <c r="S21" i="5" s="1"/>
  <c r="Q37" i="5"/>
  <c r="T37" i="5" s="1"/>
  <c r="Q45" i="5"/>
  <c r="T45" i="5" s="1"/>
  <c r="Q38" i="5"/>
  <c r="T38" i="5" s="1"/>
  <c r="Q46" i="5"/>
  <c r="C39" i="10" s="1"/>
  <c r="D39" i="10" s="1"/>
  <c r="Q50" i="5"/>
  <c r="T50" i="5" s="1"/>
  <c r="V30" i="10"/>
  <c r="W33" i="10"/>
  <c r="V20" i="10"/>
  <c r="V25" i="10"/>
  <c r="Q52" i="9"/>
  <c r="K45" i="10" s="1"/>
  <c r="Q45" i="9"/>
  <c r="T45" i="9" s="1"/>
  <c r="Q38" i="7"/>
  <c r="T38" i="7" s="1"/>
  <c r="Q27" i="7"/>
  <c r="T27" i="7" s="1"/>
  <c r="Q36" i="7"/>
  <c r="S36" i="7" s="1"/>
  <c r="Q34" i="7"/>
  <c r="T34" i="7" s="1"/>
  <c r="Q18" i="7"/>
  <c r="S18" i="7" s="1"/>
  <c r="I11" i="10" s="1"/>
  <c r="Q41" i="7"/>
  <c r="T41" i="7" s="1"/>
  <c r="W36" i="10"/>
  <c r="V17" i="10"/>
  <c r="V16" i="10"/>
  <c r="V41" i="10"/>
  <c r="V12" i="10"/>
  <c r="Q35" i="7"/>
  <c r="G28" i="10" s="1"/>
  <c r="H28" i="10" s="1"/>
  <c r="Q40" i="7"/>
  <c r="G33" i="10" s="1"/>
  <c r="H33" i="10" s="1"/>
  <c r="Q39" i="7"/>
  <c r="G32" i="10" s="1"/>
  <c r="H32" i="10" s="1"/>
  <c r="Q49" i="5"/>
  <c r="C42" i="10" s="1"/>
  <c r="D42" i="10" s="1"/>
  <c r="Q22" i="5"/>
  <c r="S22" i="5" s="1"/>
  <c r="Q43" i="5"/>
  <c r="T43" i="5" s="1"/>
  <c r="K48" i="5"/>
  <c r="Q48" i="5" s="1"/>
  <c r="T48" i="5" s="1"/>
  <c r="Q60" i="5"/>
  <c r="C53" i="10" s="1"/>
  <c r="D53" i="10" s="1"/>
  <c r="Q47" i="5"/>
  <c r="T47" i="5" s="1"/>
  <c r="V45" i="10"/>
  <c r="W45" i="10"/>
  <c r="V10" i="10"/>
  <c r="W10" i="10"/>
  <c r="V28" i="10"/>
  <c r="W28" i="10"/>
  <c r="V29" i="10"/>
  <c r="W29" i="10"/>
  <c r="V13" i="10"/>
  <c r="W13" i="10"/>
  <c r="V34" i="10"/>
  <c r="W34" i="10"/>
  <c r="V18" i="10"/>
  <c r="W18" i="10"/>
  <c r="V51" i="10"/>
  <c r="W51" i="10"/>
  <c r="V44" i="10"/>
  <c r="W44" i="10"/>
  <c r="V53" i="10"/>
  <c r="W53" i="10"/>
  <c r="V37" i="10"/>
  <c r="W37" i="10"/>
  <c r="V21" i="10"/>
  <c r="W21" i="10"/>
  <c r="V42" i="10"/>
  <c r="W42" i="10"/>
  <c r="V26" i="10"/>
  <c r="W26" i="10"/>
  <c r="V14" i="10"/>
  <c r="W14" i="10"/>
  <c r="V11" i="10"/>
  <c r="W11" i="10"/>
  <c r="V15" i="10"/>
  <c r="W15" i="10"/>
  <c r="V19" i="10"/>
  <c r="W19" i="10"/>
  <c r="V23" i="10"/>
  <c r="W23" i="10"/>
  <c r="V24" i="10"/>
  <c r="W24" i="10"/>
  <c r="V27" i="10"/>
  <c r="W27" i="10"/>
  <c r="V31" i="10"/>
  <c r="W31" i="10"/>
  <c r="V32" i="10"/>
  <c r="W32" i="10"/>
  <c r="V35" i="10"/>
  <c r="W35" i="10"/>
  <c r="V39" i="10"/>
  <c r="W39" i="10"/>
  <c r="V40" i="10"/>
  <c r="W40" i="10"/>
  <c r="V43" i="10"/>
  <c r="W43" i="10"/>
  <c r="V47" i="10"/>
  <c r="W47" i="10"/>
  <c r="V48" i="10"/>
  <c r="W48" i="10"/>
  <c r="V52" i="10"/>
  <c r="W52" i="10"/>
  <c r="C46" i="10"/>
  <c r="D46" i="10" s="1"/>
  <c r="T53" i="5"/>
  <c r="S53" i="5"/>
  <c r="E46" i="10" s="1"/>
  <c r="Q29" i="7"/>
  <c r="T29" i="7" s="1"/>
  <c r="Q60" i="7"/>
  <c r="T60" i="7" s="1"/>
  <c r="Q26" i="7"/>
  <c r="G19" i="10" s="1"/>
  <c r="H19" i="10" s="1"/>
  <c r="Q19" i="7"/>
  <c r="T19" i="7" s="1"/>
  <c r="Q33" i="9"/>
  <c r="S33" i="9" s="1"/>
  <c r="Q18" i="5"/>
  <c r="S18" i="5" s="1"/>
  <c r="K16" i="9"/>
  <c r="Q16" i="9" s="1"/>
  <c r="Q24" i="7"/>
  <c r="T24" i="7" s="1"/>
  <c r="Q33" i="7"/>
  <c r="T33" i="7" s="1"/>
  <c r="Q30" i="7"/>
  <c r="S30" i="7" s="1"/>
  <c r="Q23" i="7"/>
  <c r="S23" i="7" s="1"/>
  <c r="Q20" i="7"/>
  <c r="Q32" i="7"/>
  <c r="Q16" i="7"/>
  <c r="Q34" i="5"/>
  <c r="Q25" i="5"/>
  <c r="Q20" i="5"/>
  <c r="T20" i="5" s="1"/>
  <c r="Q16" i="5"/>
  <c r="Q35" i="5"/>
  <c r="Q22" i="9"/>
  <c r="Q20" i="9"/>
  <c r="Q28" i="9"/>
  <c r="K21" i="10" s="1"/>
  <c r="Q17" i="9"/>
  <c r="Q32" i="9"/>
  <c r="Q25" i="7"/>
  <c r="T25" i="7" s="1"/>
  <c r="Q22" i="7"/>
  <c r="Q28" i="7"/>
  <c r="Q17" i="7"/>
  <c r="T17" i="7" s="1"/>
  <c r="Q21" i="7"/>
  <c r="Q31" i="7"/>
  <c r="T18" i="7"/>
  <c r="Q29" i="5"/>
  <c r="Q26" i="5"/>
  <c r="Q19" i="5"/>
  <c r="C12" i="10" s="1"/>
  <c r="D12" i="10" s="1"/>
  <c r="Q30" i="5"/>
  <c r="S27" i="5"/>
  <c r="T27" i="5"/>
  <c r="C20" i="10"/>
  <c r="D20" i="10" s="1"/>
  <c r="T56" i="7"/>
  <c r="G49" i="10"/>
  <c r="H49" i="10" s="1"/>
  <c r="S56" i="7"/>
  <c r="S51" i="7"/>
  <c r="T54" i="5"/>
  <c r="C47" i="10"/>
  <c r="D47" i="10" s="1"/>
  <c r="S54" i="5"/>
  <c r="S56" i="9"/>
  <c r="T43" i="7"/>
  <c r="G36" i="10"/>
  <c r="H36" i="10" s="1"/>
  <c r="S43" i="7"/>
  <c r="T46" i="7"/>
  <c r="S46" i="7"/>
  <c r="T54" i="7"/>
  <c r="G47" i="10"/>
  <c r="H47" i="10" s="1"/>
  <c r="S54" i="7"/>
  <c r="Q26" i="9"/>
  <c r="T45" i="7"/>
  <c r="S45" i="7"/>
  <c r="G38" i="10"/>
  <c r="H38" i="10" s="1"/>
  <c r="G53" i="10"/>
  <c r="H53" i="10" s="1"/>
  <c r="T33" i="5"/>
  <c r="C26" i="10"/>
  <c r="D26" i="10" s="1"/>
  <c r="S33" i="5"/>
  <c r="G42" i="10"/>
  <c r="H42" i="10" s="1"/>
  <c r="T59" i="7"/>
  <c r="G52" i="10"/>
  <c r="H52" i="10" s="1"/>
  <c r="S59" i="7"/>
  <c r="S56" i="5"/>
  <c r="T42" i="7"/>
  <c r="G35" i="10"/>
  <c r="H35" i="10" s="1"/>
  <c r="S42" i="7"/>
  <c r="Q39" i="5"/>
  <c r="Q52" i="7"/>
  <c r="Q57" i="9"/>
  <c r="T58" i="7"/>
  <c r="G51" i="10"/>
  <c r="H51" i="10" s="1"/>
  <c r="S58" i="7"/>
  <c r="G50" i="10"/>
  <c r="H50" i="10" s="1"/>
  <c r="Q23" i="5"/>
  <c r="T50" i="7"/>
  <c r="G43" i="10"/>
  <c r="H43" i="10" s="1"/>
  <c r="S50" i="7"/>
  <c r="Q25" i="9"/>
  <c r="Q44" i="7"/>
  <c r="T53" i="7"/>
  <c r="S53" i="7"/>
  <c r="G46" i="10"/>
  <c r="H46" i="10" s="1"/>
  <c r="S23" i="9" l="1"/>
  <c r="M16" i="10" s="1"/>
  <c r="K16" i="10"/>
  <c r="N16" i="10" s="1"/>
  <c r="T23" i="9"/>
  <c r="T54" i="9"/>
  <c r="K47" i="10"/>
  <c r="K35" i="10"/>
  <c r="N35" i="10" s="1"/>
  <c r="T42" i="9"/>
  <c r="S42" i="9"/>
  <c r="T47" i="9"/>
  <c r="K40" i="10"/>
  <c r="N40" i="10" s="1"/>
  <c r="K32" i="10"/>
  <c r="L32" i="10" s="1"/>
  <c r="T39" i="9"/>
  <c r="S39" i="9"/>
  <c r="M32" i="10" s="1"/>
  <c r="T60" i="9"/>
  <c r="K53" i="10"/>
  <c r="L53" i="10" s="1"/>
  <c r="K51" i="10"/>
  <c r="N51" i="10" s="1"/>
  <c r="S58" i="9"/>
  <c r="T58" i="9"/>
  <c r="T53" i="9"/>
  <c r="S53" i="9"/>
  <c r="K52" i="10"/>
  <c r="N52" i="10" s="1"/>
  <c r="S59" i="9"/>
  <c r="T59" i="9"/>
  <c r="T38" i="9"/>
  <c r="S38" i="9"/>
  <c r="M31" i="10" s="1"/>
  <c r="K31" i="10"/>
  <c r="N31" i="10" s="1"/>
  <c r="T34" i="9"/>
  <c r="K27" i="10"/>
  <c r="N27" i="10" s="1"/>
  <c r="T30" i="9"/>
  <c r="K23" i="10"/>
  <c r="L23" i="10" s="1"/>
  <c r="K14" i="10"/>
  <c r="L14" i="10" s="1"/>
  <c r="S21" i="9"/>
  <c r="K12" i="10"/>
  <c r="N12" i="10" s="1"/>
  <c r="S19" i="9"/>
  <c r="M12" i="10" s="1"/>
  <c r="K43" i="10"/>
  <c r="L43" i="10" s="1"/>
  <c r="T50" i="9"/>
  <c r="S50" i="9"/>
  <c r="K39" i="10"/>
  <c r="N39" i="10" s="1"/>
  <c r="K49" i="10"/>
  <c r="L49" i="10" s="1"/>
  <c r="S34" i="9"/>
  <c r="T55" i="9"/>
  <c r="T51" i="9"/>
  <c r="T57" i="7"/>
  <c r="G30" i="10"/>
  <c r="H30" i="10" s="1"/>
  <c r="S48" i="7"/>
  <c r="T48" i="7"/>
  <c r="T37" i="7"/>
  <c r="S41" i="7"/>
  <c r="I34" i="10" s="1"/>
  <c r="G48" i="10"/>
  <c r="H48" i="10" s="1"/>
  <c r="S52" i="5"/>
  <c r="C34" i="10"/>
  <c r="D34" i="10" s="1"/>
  <c r="S42" i="5"/>
  <c r="C44" i="10"/>
  <c r="D44" i="10" s="1"/>
  <c r="T52" i="5"/>
  <c r="T21" i="5"/>
  <c r="T42" i="5"/>
  <c r="S51" i="5"/>
  <c r="E44" i="10" s="1"/>
  <c r="T28" i="5"/>
  <c r="C21" i="10"/>
  <c r="D21" i="10" s="1"/>
  <c r="C52" i="10"/>
  <c r="D52" i="10" s="1"/>
  <c r="T59" i="5"/>
  <c r="T57" i="5"/>
  <c r="C50" i="10"/>
  <c r="D50" i="10" s="1"/>
  <c r="C37" i="10"/>
  <c r="D37" i="10" s="1"/>
  <c r="C51" i="10"/>
  <c r="D51" i="10" s="1"/>
  <c r="T49" i="5"/>
  <c r="S60" i="5"/>
  <c r="E53" i="10" s="1"/>
  <c r="T56" i="5"/>
  <c r="S59" i="5"/>
  <c r="E52" i="10" s="1"/>
  <c r="T60" i="5"/>
  <c r="C15" i="10"/>
  <c r="D15" i="10" s="1"/>
  <c r="S57" i="5"/>
  <c r="S37" i="5"/>
  <c r="E30" i="10" s="1"/>
  <c r="C30" i="10"/>
  <c r="D30" i="10" s="1"/>
  <c r="S60" i="9"/>
  <c r="M53" i="10" s="1"/>
  <c r="S47" i="9"/>
  <c r="M40" i="10" s="1"/>
  <c r="K29" i="10"/>
  <c r="L29" i="10" s="1"/>
  <c r="K36" i="10"/>
  <c r="N36" i="10" s="1"/>
  <c r="K46" i="10"/>
  <c r="L46" i="10" s="1"/>
  <c r="T37" i="9"/>
  <c r="T40" i="9"/>
  <c r="S46" i="9"/>
  <c r="S24" i="9"/>
  <c r="M17" i="10" s="1"/>
  <c r="T44" i="9"/>
  <c r="S51" i="9"/>
  <c r="T35" i="9"/>
  <c r="S54" i="9"/>
  <c r="M47" i="10" s="1"/>
  <c r="S55" i="9"/>
  <c r="M48" i="10" s="1"/>
  <c r="K17" i="10"/>
  <c r="L17" i="10" s="1"/>
  <c r="S44" i="9"/>
  <c r="M37" i="10" s="1"/>
  <c r="S35" i="9"/>
  <c r="T48" i="9"/>
  <c r="S30" i="9"/>
  <c r="K26" i="10"/>
  <c r="N26" i="10" s="1"/>
  <c r="T19" i="9"/>
  <c r="S36" i="9"/>
  <c r="M29" i="10" s="1"/>
  <c r="S43" i="9"/>
  <c r="M36" i="10" s="1"/>
  <c r="S40" i="9"/>
  <c r="M33" i="10" s="1"/>
  <c r="S60" i="7"/>
  <c r="I53" i="10" s="1"/>
  <c r="T36" i="7"/>
  <c r="S55" i="7"/>
  <c r="I48" i="10" s="1"/>
  <c r="C33" i="10"/>
  <c r="D33" i="10" s="1"/>
  <c r="S40" i="5"/>
  <c r="E33" i="10" s="1"/>
  <c r="C29" i="10"/>
  <c r="D29" i="10" s="1"/>
  <c r="T22" i="5"/>
  <c r="C14" i="10"/>
  <c r="D14" i="10" s="1"/>
  <c r="C43" i="10"/>
  <c r="D43" i="10" s="1"/>
  <c r="S58" i="5"/>
  <c r="S49" i="5"/>
  <c r="E42" i="10" s="1"/>
  <c r="S41" i="5"/>
  <c r="E34" i="10" s="1"/>
  <c r="C31" i="10"/>
  <c r="D31" i="10" s="1"/>
  <c r="S45" i="5"/>
  <c r="E38" i="10" s="1"/>
  <c r="C38" i="10"/>
  <c r="D38" i="10" s="1"/>
  <c r="S47" i="5"/>
  <c r="E40" i="10" s="1"/>
  <c r="S44" i="5"/>
  <c r="E37" i="10" s="1"/>
  <c r="T46" i="5"/>
  <c r="N47" i="10"/>
  <c r="L47" i="10"/>
  <c r="L27" i="10"/>
  <c r="N48" i="10"/>
  <c r="L48" i="10"/>
  <c r="L39" i="10"/>
  <c r="N17" i="10"/>
  <c r="L12" i="10"/>
  <c r="L40" i="10"/>
  <c r="N37" i="10"/>
  <c r="L37" i="10"/>
  <c r="L52" i="10"/>
  <c r="N44" i="10"/>
  <c r="L44" i="10"/>
  <c r="N33" i="10"/>
  <c r="L33" i="10"/>
  <c r="N21" i="10"/>
  <c r="L21" i="10"/>
  <c r="N14" i="10"/>
  <c r="N34" i="10"/>
  <c r="L34" i="10"/>
  <c r="N45" i="10"/>
  <c r="L45" i="10"/>
  <c r="N41" i="10"/>
  <c r="L41" i="10"/>
  <c r="N28" i="10"/>
  <c r="L28" i="10"/>
  <c r="L31" i="10"/>
  <c r="L51" i="10"/>
  <c r="N32" i="10"/>
  <c r="N23" i="10"/>
  <c r="N53" i="10"/>
  <c r="L35" i="10"/>
  <c r="N43" i="10"/>
  <c r="N29" i="10"/>
  <c r="N49" i="10"/>
  <c r="N22" i="10"/>
  <c r="L22" i="10"/>
  <c r="L16" i="10"/>
  <c r="N30" i="10"/>
  <c r="L30" i="10"/>
  <c r="J43" i="10"/>
  <c r="J50" i="10"/>
  <c r="J51" i="10"/>
  <c r="J35" i="10"/>
  <c r="J30" i="10"/>
  <c r="J52" i="10"/>
  <c r="J47" i="10"/>
  <c r="J39" i="10"/>
  <c r="J41" i="10"/>
  <c r="J32" i="10"/>
  <c r="J28" i="10"/>
  <c r="J44" i="10"/>
  <c r="J46" i="10"/>
  <c r="J42" i="10"/>
  <c r="J53" i="10"/>
  <c r="J38" i="10"/>
  <c r="J36" i="10"/>
  <c r="J48" i="10"/>
  <c r="J49" i="10"/>
  <c r="J19" i="10"/>
  <c r="J33" i="10"/>
  <c r="F21" i="10"/>
  <c r="F45" i="10"/>
  <c r="F15" i="10"/>
  <c r="F47" i="10"/>
  <c r="F12" i="10"/>
  <c r="F46" i="10"/>
  <c r="F42" i="10"/>
  <c r="F53" i="10"/>
  <c r="F29" i="10"/>
  <c r="F49" i="10"/>
  <c r="F26" i="10"/>
  <c r="F37" i="10"/>
  <c r="F14" i="10"/>
  <c r="F35" i="10"/>
  <c r="F52" i="10"/>
  <c r="F20" i="10"/>
  <c r="F39" i="10"/>
  <c r="T52" i="9"/>
  <c r="T41" i="9"/>
  <c r="S52" i="9"/>
  <c r="M45" i="10" s="1"/>
  <c r="S48" i="9"/>
  <c r="S45" i="9"/>
  <c r="M38" i="10" s="1"/>
  <c r="T31" i="9"/>
  <c r="K38" i="10"/>
  <c r="S38" i="7"/>
  <c r="T49" i="7"/>
  <c r="G29" i="10"/>
  <c r="H29" i="10" s="1"/>
  <c r="G40" i="10"/>
  <c r="H40" i="10" s="1"/>
  <c r="G31" i="10"/>
  <c r="H31" i="10" s="1"/>
  <c r="T40" i="7"/>
  <c r="G11" i="10"/>
  <c r="H11" i="10" s="1"/>
  <c r="S47" i="7"/>
  <c r="I40" i="10" s="1"/>
  <c r="T26" i="7"/>
  <c r="T23" i="7"/>
  <c r="S39" i="7"/>
  <c r="T51" i="7"/>
  <c r="S35" i="7"/>
  <c r="G20" i="10"/>
  <c r="H20" i="10" s="1"/>
  <c r="G27" i="10"/>
  <c r="H27" i="10" s="1"/>
  <c r="T39" i="7"/>
  <c r="T35" i="7"/>
  <c r="C36" i="10"/>
  <c r="D36" i="10" s="1"/>
  <c r="S46" i="5"/>
  <c r="E39" i="10" s="1"/>
  <c r="S36" i="5"/>
  <c r="E29" i="10" s="1"/>
  <c r="C41" i="10"/>
  <c r="D41" i="10" s="1"/>
  <c r="S50" i="5"/>
  <c r="E43" i="10" s="1"/>
  <c r="S38" i="5"/>
  <c r="E31" i="10" s="1"/>
  <c r="T40" i="5"/>
  <c r="K24" i="10"/>
  <c r="S41" i="9"/>
  <c r="M34" i="10" s="1"/>
  <c r="S37" i="9"/>
  <c r="M30" i="10" s="1"/>
  <c r="G12" i="10"/>
  <c r="H12" i="10" s="1"/>
  <c r="S29" i="7"/>
  <c r="S27" i="7"/>
  <c r="I20" i="10" s="1"/>
  <c r="S34" i="7"/>
  <c r="I27" i="10" s="1"/>
  <c r="G34" i="10"/>
  <c r="H34" i="10" s="1"/>
  <c r="S40" i="7"/>
  <c r="I33" i="10" s="1"/>
  <c r="S26" i="7"/>
  <c r="I19" i="10" s="1"/>
  <c r="S19" i="7"/>
  <c r="I12" i="10" s="1"/>
  <c r="G22" i="10"/>
  <c r="H22" i="10" s="1"/>
  <c r="S24" i="7"/>
  <c r="I17" i="10" s="1"/>
  <c r="C40" i="10"/>
  <c r="D40" i="10" s="1"/>
  <c r="S43" i="5"/>
  <c r="E36" i="10" s="1"/>
  <c r="S28" i="5"/>
  <c r="E21" i="10" s="1"/>
  <c r="S48" i="5"/>
  <c r="E41" i="10" s="1"/>
  <c r="T21" i="9"/>
  <c r="G17" i="10"/>
  <c r="H17" i="10" s="1"/>
  <c r="S32" i="7"/>
  <c r="S20" i="7"/>
  <c r="G23" i="10"/>
  <c r="H23" i="10" s="1"/>
  <c r="T30" i="7"/>
  <c r="C11" i="10"/>
  <c r="D11" i="10" s="1"/>
  <c r="T18" i="5"/>
  <c r="T16" i="5"/>
  <c r="T28" i="9"/>
  <c r="T33" i="9"/>
  <c r="S18" i="9"/>
  <c r="K11" i="10"/>
  <c r="S33" i="7"/>
  <c r="I26" i="10" s="1"/>
  <c r="G16" i="10"/>
  <c r="H16" i="10" s="1"/>
  <c r="S17" i="5"/>
  <c r="T17" i="5"/>
  <c r="S34" i="5"/>
  <c r="E27" i="10" s="1"/>
  <c r="T34" i="5"/>
  <c r="C9" i="10"/>
  <c r="D9" i="10" s="1"/>
  <c r="C13" i="10"/>
  <c r="D13" i="10" s="1"/>
  <c r="C10" i="10"/>
  <c r="D10" i="10" s="1"/>
  <c r="C27" i="10"/>
  <c r="D27" i="10" s="1"/>
  <c r="S16" i="5"/>
  <c r="K15" i="10"/>
  <c r="S22" i="9"/>
  <c r="T29" i="9"/>
  <c r="T22" i="9"/>
  <c r="T32" i="9"/>
  <c r="K10" i="10"/>
  <c r="S29" i="9"/>
  <c r="S17" i="9"/>
  <c r="T17" i="9"/>
  <c r="G26" i="10"/>
  <c r="H26" i="10" s="1"/>
  <c r="T22" i="7"/>
  <c r="T32" i="7"/>
  <c r="S21" i="7"/>
  <c r="T20" i="7"/>
  <c r="G13" i="10"/>
  <c r="H13" i="10" s="1"/>
  <c r="S16" i="7"/>
  <c r="T16" i="7"/>
  <c r="G18" i="10"/>
  <c r="H18" i="10" s="1"/>
  <c r="G25" i="10"/>
  <c r="H25" i="10" s="1"/>
  <c r="S22" i="7"/>
  <c r="G9" i="10"/>
  <c r="H9" i="10" s="1"/>
  <c r="S31" i="7"/>
  <c r="T31" i="7"/>
  <c r="C18" i="10"/>
  <c r="D18" i="10" s="1"/>
  <c r="T35" i="5"/>
  <c r="S35" i="5"/>
  <c r="S20" i="5"/>
  <c r="E13" i="10" s="1"/>
  <c r="S25" i="5"/>
  <c r="T25" i="5"/>
  <c r="C28" i="10"/>
  <c r="D28" i="10" s="1"/>
  <c r="C22" i="10"/>
  <c r="D22" i="10" s="1"/>
  <c r="S29" i="5"/>
  <c r="T26" i="5"/>
  <c r="T29" i="5"/>
  <c r="E20" i="10"/>
  <c r="S32" i="5"/>
  <c r="T32" i="5"/>
  <c r="C17" i="10"/>
  <c r="D17" i="10" s="1"/>
  <c r="T30" i="5"/>
  <c r="K20" i="10"/>
  <c r="S27" i="9"/>
  <c r="S28" i="9"/>
  <c r="K13" i="10"/>
  <c r="T20" i="9"/>
  <c r="S20" i="9"/>
  <c r="M14" i="10"/>
  <c r="K25" i="10"/>
  <c r="S32" i="9"/>
  <c r="I16" i="10"/>
  <c r="T21" i="7"/>
  <c r="G24" i="10"/>
  <c r="H24" i="10" s="1"/>
  <c r="S25" i="7"/>
  <c r="S17" i="7"/>
  <c r="G10" i="10"/>
  <c r="H10" i="10" s="1"/>
  <c r="G14" i="10"/>
  <c r="H14" i="10" s="1"/>
  <c r="G21" i="10"/>
  <c r="H21" i="10" s="1"/>
  <c r="G15" i="10"/>
  <c r="H15" i="10" s="1"/>
  <c r="S28" i="7"/>
  <c r="T28" i="7"/>
  <c r="S30" i="5"/>
  <c r="C19" i="10"/>
  <c r="D19" i="10" s="1"/>
  <c r="C23" i="10"/>
  <c r="D23" i="10" s="1"/>
  <c r="S24" i="5"/>
  <c r="S19" i="5"/>
  <c r="S26" i="5"/>
  <c r="T19" i="5"/>
  <c r="C25" i="10"/>
  <c r="D25" i="10" s="1"/>
  <c r="K18" i="10"/>
  <c r="T25" i="9"/>
  <c r="S25" i="9"/>
  <c r="E26" i="10"/>
  <c r="M52" i="10"/>
  <c r="E49" i="10"/>
  <c r="I42" i="10"/>
  <c r="I31" i="10"/>
  <c r="M41" i="10"/>
  <c r="M51" i="10"/>
  <c r="T31" i="5"/>
  <c r="C24" i="10"/>
  <c r="D24" i="10" s="1"/>
  <c r="S31" i="5"/>
  <c r="M39" i="10"/>
  <c r="I51" i="10"/>
  <c r="M35" i="10"/>
  <c r="E11" i="10"/>
  <c r="M43" i="10"/>
  <c r="I32" i="10"/>
  <c r="T55" i="5"/>
  <c r="S55" i="5"/>
  <c r="C48" i="10"/>
  <c r="D48" i="10" s="1"/>
  <c r="I38" i="10"/>
  <c r="T26" i="9"/>
  <c r="K19" i="10"/>
  <c r="S26" i="9"/>
  <c r="E14" i="10"/>
  <c r="E51" i="10"/>
  <c r="I41" i="10"/>
  <c r="M49" i="10"/>
  <c r="I44" i="10"/>
  <c r="I28" i="10"/>
  <c r="T44" i="7"/>
  <c r="G37" i="10"/>
  <c r="H37" i="10" s="1"/>
  <c r="S44" i="7"/>
  <c r="K9" i="10"/>
  <c r="L9" i="10" s="1"/>
  <c r="T16" i="9"/>
  <c r="Q61" i="9"/>
  <c r="S61" i="9" s="1"/>
  <c r="S16" i="9"/>
  <c r="E45" i="10"/>
  <c r="K42" i="10"/>
  <c r="T49" i="9"/>
  <c r="S49" i="9"/>
  <c r="I47" i="10"/>
  <c r="M27" i="10"/>
  <c r="I43" i="10"/>
  <c r="T23" i="5"/>
  <c r="S23" i="5"/>
  <c r="C16" i="10"/>
  <c r="D16" i="10" s="1"/>
  <c r="Q61" i="5"/>
  <c r="S61" i="5" s="1"/>
  <c r="M23" i="10"/>
  <c r="K50" i="10"/>
  <c r="T57" i="9"/>
  <c r="S57" i="9"/>
  <c r="T39" i="5"/>
  <c r="C32" i="10"/>
  <c r="D32" i="10" s="1"/>
  <c r="S39" i="5"/>
  <c r="M24" i="10"/>
  <c r="M46" i="10"/>
  <c r="E47" i="10"/>
  <c r="I49" i="10"/>
  <c r="I46" i="10"/>
  <c r="I50" i="10"/>
  <c r="T52" i="7"/>
  <c r="G45" i="10"/>
  <c r="H45" i="10" s="1"/>
  <c r="S52" i="7"/>
  <c r="M26" i="10"/>
  <c r="I22" i="10"/>
  <c r="I35" i="10"/>
  <c r="I30" i="10"/>
  <c r="I52" i="10"/>
  <c r="I29" i="10"/>
  <c r="E15" i="10"/>
  <c r="E50" i="10"/>
  <c r="M44" i="10"/>
  <c r="I39" i="10"/>
  <c r="M28" i="10"/>
  <c r="I36" i="10"/>
  <c r="I23" i="10"/>
  <c r="Q61" i="7"/>
  <c r="E35" i="10"/>
  <c r="L36" i="10" l="1"/>
  <c r="N46" i="10"/>
  <c r="O46" i="10" s="1"/>
  <c r="X46" i="10" s="1"/>
  <c r="Y46" i="10" s="1"/>
  <c r="O47" i="10"/>
  <c r="X47" i="10" s="1"/>
  <c r="Y47" i="10" s="1"/>
  <c r="F34" i="10"/>
  <c r="F44" i="10"/>
  <c r="F51" i="10"/>
  <c r="O51" i="10" s="1"/>
  <c r="X51" i="10" s="1"/>
  <c r="Y51" i="10" s="1"/>
  <c r="F50" i="10"/>
  <c r="F30" i="10"/>
  <c r="O30" i="10" s="1"/>
  <c r="X30" i="10" s="1"/>
  <c r="Y30" i="10" s="1"/>
  <c r="F33" i="10"/>
  <c r="O33" i="10" s="1"/>
  <c r="X33" i="10" s="1"/>
  <c r="Y33" i="10" s="1"/>
  <c r="F38" i="10"/>
  <c r="F31" i="10"/>
  <c r="F43" i="10"/>
  <c r="O43" i="10" s="1"/>
  <c r="X43" i="10" s="1"/>
  <c r="Y43" i="10" s="1"/>
  <c r="O44" i="10"/>
  <c r="X44" i="10" s="1"/>
  <c r="Y44" i="10" s="1"/>
  <c r="O35" i="10"/>
  <c r="X35" i="10" s="1"/>
  <c r="Y35" i="10" s="1"/>
  <c r="O49" i="10"/>
  <c r="X49" i="10" s="1"/>
  <c r="Y49" i="10" s="1"/>
  <c r="O53" i="10"/>
  <c r="X53" i="10" s="1"/>
  <c r="Y53" i="10" s="1"/>
  <c r="L26" i="10"/>
  <c r="O52" i="10"/>
  <c r="X52" i="10" s="1"/>
  <c r="Y52" i="10" s="1"/>
  <c r="O39" i="10"/>
  <c r="X39" i="10" s="1"/>
  <c r="Y39" i="10" s="1"/>
  <c r="N50" i="10"/>
  <c r="O50" i="10" s="1"/>
  <c r="X50" i="10" s="1"/>
  <c r="L50" i="10"/>
  <c r="N19" i="10"/>
  <c r="L19" i="10"/>
  <c r="N20" i="10"/>
  <c r="L20" i="10"/>
  <c r="N10" i="10"/>
  <c r="L10" i="10"/>
  <c r="N24" i="10"/>
  <c r="L24" i="10"/>
  <c r="N38" i="10"/>
  <c r="L38" i="10"/>
  <c r="N42" i="10"/>
  <c r="O42" i="10" s="1"/>
  <c r="X42" i="10" s="1"/>
  <c r="L42" i="10"/>
  <c r="N18" i="10"/>
  <c r="L18" i="10"/>
  <c r="N25" i="10"/>
  <c r="L25" i="10"/>
  <c r="N13" i="10"/>
  <c r="L13" i="10"/>
  <c r="N15" i="10"/>
  <c r="L15" i="10"/>
  <c r="N11" i="10"/>
  <c r="L11" i="10"/>
  <c r="N9" i="10"/>
  <c r="J45" i="10"/>
  <c r="O45" i="10" s="1"/>
  <c r="X45" i="10" s="1"/>
  <c r="J37" i="10"/>
  <c r="O37" i="10" s="1"/>
  <c r="X37" i="10" s="1"/>
  <c r="AA37" i="10" s="1"/>
  <c r="J21" i="10"/>
  <c r="O21" i="10" s="1"/>
  <c r="X21" i="10" s="1"/>
  <c r="J10" i="10"/>
  <c r="J18" i="10"/>
  <c r="J26" i="10"/>
  <c r="O26" i="10" s="1"/>
  <c r="X26" i="10" s="1"/>
  <c r="J17" i="10"/>
  <c r="J22" i="10"/>
  <c r="J27" i="10"/>
  <c r="J11" i="10"/>
  <c r="J31" i="10"/>
  <c r="J29" i="10"/>
  <c r="O29" i="10" s="1"/>
  <c r="X29" i="10" s="1"/>
  <c r="Y29" i="10" s="1"/>
  <c r="J15" i="10"/>
  <c r="J14" i="10"/>
  <c r="O14" i="10" s="1"/>
  <c r="X14" i="10" s="1"/>
  <c r="J24" i="10"/>
  <c r="J9" i="10"/>
  <c r="J25" i="10"/>
  <c r="J13" i="10"/>
  <c r="J16" i="10"/>
  <c r="J23" i="10"/>
  <c r="J34" i="10"/>
  <c r="O34" i="10" s="1"/>
  <c r="X34" i="10" s="1"/>
  <c r="J12" i="10"/>
  <c r="O12" i="10" s="1"/>
  <c r="X12" i="10" s="1"/>
  <c r="J20" i="10"/>
  <c r="J40" i="10"/>
  <c r="F32" i="10"/>
  <c r="O32" i="10" s="1"/>
  <c r="X32" i="10" s="1"/>
  <c r="F48" i="10"/>
  <c r="O48" i="10" s="1"/>
  <c r="X48" i="10" s="1"/>
  <c r="Y48" i="10" s="1"/>
  <c r="F23" i="10"/>
  <c r="F17" i="10"/>
  <c r="F28" i="10"/>
  <c r="O28" i="10" s="1"/>
  <c r="X28" i="10" s="1"/>
  <c r="F18" i="10"/>
  <c r="F10" i="10"/>
  <c r="F9" i="10"/>
  <c r="O9" i="10" s="1"/>
  <c r="X9" i="10" s="1"/>
  <c r="Y9" i="10" s="1"/>
  <c r="F41" i="10"/>
  <c r="O41" i="10" s="1"/>
  <c r="X41" i="10" s="1"/>
  <c r="F16" i="10"/>
  <c r="F24" i="10"/>
  <c r="F25" i="10"/>
  <c r="F19" i="10"/>
  <c r="F22" i="10"/>
  <c r="O22" i="10" s="1"/>
  <c r="X22" i="10" s="1"/>
  <c r="Y22" i="10" s="1"/>
  <c r="F27" i="10"/>
  <c r="O27" i="10" s="1"/>
  <c r="X27" i="10" s="1"/>
  <c r="Y27" i="10" s="1"/>
  <c r="F13" i="10"/>
  <c r="O13" i="10" s="1"/>
  <c r="X13" i="10" s="1"/>
  <c r="Y13" i="10" s="1"/>
  <c r="F11" i="10"/>
  <c r="F40" i="10"/>
  <c r="O40" i="10" s="1"/>
  <c r="X40" i="10" s="1"/>
  <c r="F36" i="10"/>
  <c r="O36" i="10" s="1"/>
  <c r="X36" i="10" s="1"/>
  <c r="Z47" i="10"/>
  <c r="Z39" i="10"/>
  <c r="I25" i="10"/>
  <c r="I13" i="10"/>
  <c r="E10" i="10"/>
  <c r="M11" i="10"/>
  <c r="M20" i="10"/>
  <c r="M15" i="10"/>
  <c r="E9" i="10"/>
  <c r="M10" i="10"/>
  <c r="M22" i="10"/>
  <c r="G74" i="9"/>
  <c r="G72" i="9"/>
  <c r="G70" i="9"/>
  <c r="G68" i="9"/>
  <c r="G66" i="9"/>
  <c r="G73" i="9"/>
  <c r="G71" i="9"/>
  <c r="G69" i="9"/>
  <c r="G67" i="9"/>
  <c r="M21" i="10"/>
  <c r="I14" i="10"/>
  <c r="I15" i="10"/>
  <c r="I9" i="10"/>
  <c r="G67" i="7"/>
  <c r="G71" i="7"/>
  <c r="G68" i="7"/>
  <c r="G72" i="7"/>
  <c r="I24" i="10"/>
  <c r="G65" i="7"/>
  <c r="G69" i="7"/>
  <c r="G73" i="7"/>
  <c r="G70" i="7"/>
  <c r="G74" i="7"/>
  <c r="E28" i="10"/>
  <c r="E18" i="10"/>
  <c r="E22" i="10"/>
  <c r="E23" i="10"/>
  <c r="E25" i="10"/>
  <c r="G71" i="5"/>
  <c r="E17" i="10"/>
  <c r="G70" i="5"/>
  <c r="G74" i="5"/>
  <c r="G69" i="5"/>
  <c r="G73" i="5"/>
  <c r="G68" i="5"/>
  <c r="G72" i="5"/>
  <c r="G67" i="5"/>
  <c r="M13" i="10"/>
  <c r="M25" i="10"/>
  <c r="I10" i="10"/>
  <c r="I18" i="10"/>
  <c r="I21" i="10"/>
  <c r="E19" i="10"/>
  <c r="E12" i="10"/>
  <c r="G66" i="5"/>
  <c r="M18" i="10"/>
  <c r="I45" i="10"/>
  <c r="M42" i="10"/>
  <c r="E32" i="10"/>
  <c r="AA47" i="10"/>
  <c r="G65" i="9"/>
  <c r="M9" i="10"/>
  <c r="I37" i="10"/>
  <c r="E48" i="10"/>
  <c r="M50" i="10"/>
  <c r="E16" i="10"/>
  <c r="G66" i="7"/>
  <c r="M19" i="10"/>
  <c r="E24" i="10"/>
  <c r="G65" i="5"/>
  <c r="AA43" i="10" l="1"/>
  <c r="Z33" i="10"/>
  <c r="AA49" i="10"/>
  <c r="O38" i="10"/>
  <c r="X38" i="10" s="1"/>
  <c r="AA38" i="10" s="1"/>
  <c r="AA33" i="10"/>
  <c r="Z35" i="10"/>
  <c r="AA52" i="10"/>
  <c r="AA35" i="10"/>
  <c r="AA30" i="10"/>
  <c r="Z52" i="10"/>
  <c r="AA46" i="10"/>
  <c r="O31" i="10"/>
  <c r="X31" i="10" s="1"/>
  <c r="AA31" i="10" s="1"/>
  <c r="AA53" i="10"/>
  <c r="AA44" i="10"/>
  <c r="Z44" i="10"/>
  <c r="Z51" i="10"/>
  <c r="Z53" i="10"/>
  <c r="AA39" i="10"/>
  <c r="O18" i="10"/>
  <c r="X18" i="10" s="1"/>
  <c r="Y18" i="10" s="1"/>
  <c r="Z48" i="10"/>
  <c r="Z40" i="10"/>
  <c r="Y40" i="10"/>
  <c r="Z12" i="10"/>
  <c r="Y12" i="10"/>
  <c r="Z14" i="10"/>
  <c r="Y14" i="10"/>
  <c r="Z26" i="10"/>
  <c r="Y26" i="10"/>
  <c r="Z37" i="10"/>
  <c r="Y37" i="10"/>
  <c r="Z42" i="10"/>
  <c r="Y42" i="10"/>
  <c r="Z50" i="10"/>
  <c r="Y50" i="10"/>
  <c r="AA48" i="10"/>
  <c r="AA42" i="10"/>
  <c r="AA40" i="10"/>
  <c r="AA29" i="10"/>
  <c r="Z36" i="10"/>
  <c r="Y36" i="10"/>
  <c r="Z41" i="10"/>
  <c r="Y41" i="10"/>
  <c r="Z28" i="10"/>
  <c r="Y28" i="10"/>
  <c r="AA32" i="10"/>
  <c r="Y32" i="10"/>
  <c r="AA34" i="10"/>
  <c r="Y34" i="10"/>
  <c r="AA21" i="10"/>
  <c r="Y21" i="10"/>
  <c r="Z45" i="10"/>
  <c r="Y45" i="10"/>
  <c r="AA22" i="10"/>
  <c r="Z22" i="10"/>
  <c r="AA26" i="10"/>
  <c r="AA50" i="10"/>
  <c r="O11" i="10"/>
  <c r="X11" i="10" s="1"/>
  <c r="O19" i="10"/>
  <c r="X19" i="10" s="1"/>
  <c r="Y19" i="10" s="1"/>
  <c r="O24" i="10"/>
  <c r="X24" i="10" s="1"/>
  <c r="Y24" i="10" s="1"/>
  <c r="O10" i="10"/>
  <c r="X10" i="10" s="1"/>
  <c r="O23" i="10"/>
  <c r="X23" i="10" s="1"/>
  <c r="Y23" i="10" s="1"/>
  <c r="O20" i="10"/>
  <c r="X20" i="10" s="1"/>
  <c r="O25" i="10"/>
  <c r="X25" i="10" s="1"/>
  <c r="Y25" i="10" s="1"/>
  <c r="O15" i="10"/>
  <c r="X15" i="10" s="1"/>
  <c r="AA36" i="10"/>
  <c r="AA41" i="10"/>
  <c r="Z21" i="10"/>
  <c r="Z34" i="10"/>
  <c r="Z32" i="10"/>
  <c r="O16" i="10"/>
  <c r="X16" i="10" s="1"/>
  <c r="Y16" i="10" s="1"/>
  <c r="Z27" i="10"/>
  <c r="AA27" i="10"/>
  <c r="AA45" i="10"/>
  <c r="O17" i="10"/>
  <c r="X17" i="10" s="1"/>
  <c r="AA51" i="10"/>
  <c r="Z46" i="10"/>
  <c r="Z49" i="10"/>
  <c r="Z19" i="10"/>
  <c r="AA28" i="10"/>
  <c r="AA14" i="10"/>
  <c r="AA11" i="10"/>
  <c r="AA9" i="10"/>
  <c r="Z13" i="10"/>
  <c r="Z30" i="10"/>
  <c r="Z29" i="10"/>
  <c r="Z43" i="10"/>
  <c r="AA12" i="10"/>
  <c r="Y38" i="10" l="1"/>
  <c r="Z38" i="10"/>
  <c r="Z25" i="10"/>
  <c r="Z31" i="10"/>
  <c r="Y31" i="10"/>
  <c r="AA25" i="10"/>
  <c r="Z18" i="10"/>
  <c r="Z24" i="10"/>
  <c r="AA23" i="10"/>
  <c r="Z17" i="10"/>
  <c r="Y17" i="10"/>
  <c r="Z15" i="10"/>
  <c r="Y15" i="10"/>
  <c r="Z20" i="10"/>
  <c r="Y20" i="10"/>
  <c r="Z10" i="10"/>
  <c r="Y10" i="10"/>
  <c r="AA15" i="10"/>
  <c r="Z16" i="10"/>
  <c r="Z11" i="10"/>
  <c r="Y11" i="10"/>
  <c r="AA10" i="10"/>
  <c r="AA20" i="10"/>
  <c r="AA17" i="10"/>
  <c r="Z9" i="10"/>
  <c r="AA19" i="10"/>
  <c r="AA13" i="10"/>
  <c r="AA16" i="10"/>
  <c r="Z23" i="10"/>
  <c r="X54" i="10"/>
  <c r="AA24" i="10"/>
  <c r="AA18" i="10"/>
  <c r="G63" i="10" l="1"/>
  <c r="G66" i="10"/>
  <c r="Z54" i="10"/>
  <c r="Y54" i="10"/>
  <c r="G59" i="10"/>
  <c r="G62" i="10"/>
  <c r="G64" i="10"/>
  <c r="G58" i="10"/>
  <c r="G61" i="10"/>
  <c r="G67" i="10"/>
  <c r="G60" i="10"/>
  <c r="G65" i="10"/>
</calcChain>
</file>

<file path=xl/sharedStrings.xml><?xml version="1.0" encoding="utf-8"?>
<sst xmlns="http://schemas.openxmlformats.org/spreadsheetml/2006/main" count="397" uniqueCount="171">
  <si>
    <t>Plantel:</t>
  </si>
  <si>
    <t>UNIDAD EDUCATIVA MARCO AURELIO SUBÍA MARTÍNEZ - BATALLA DE PANUPALI</t>
  </si>
  <si>
    <t>Año Lectivo:</t>
  </si>
  <si>
    <t>2023 - 2024</t>
  </si>
  <si>
    <t>Asignatura:</t>
  </si>
  <si>
    <t>Docente:</t>
  </si>
  <si>
    <t>Curso:</t>
  </si>
  <si>
    <t>Tutor:</t>
  </si>
  <si>
    <t>Jornada:</t>
  </si>
  <si>
    <t>Nivel:</t>
  </si>
  <si>
    <t>LISTA DE ESTUDIANTES</t>
  </si>
  <si>
    <t>Nº</t>
  </si>
  <si>
    <t>APELLIDOS Y NOMBRES</t>
  </si>
  <si>
    <t>INGRESAR</t>
  </si>
  <si>
    <t>NÓMINA DE</t>
  </si>
  <si>
    <t>ESTUDIANTES</t>
  </si>
  <si>
    <t>ORDENADA</t>
  </si>
  <si>
    <t>COPIAR Pegado/Valores</t>
  </si>
  <si>
    <t>Matriz de Notas</t>
  </si>
  <si>
    <t>Acuerdo 2023-00063-A</t>
  </si>
  <si>
    <t>NOTAS: La nómina de estudiantes se la ingresa en esta hoja "DATOS", en las otras NO.</t>
  </si>
  <si>
    <t xml:space="preserve">             Evitar borrar las fórmulas o que se alteren.</t>
  </si>
  <si>
    <t xml:space="preserve">             Los promedios tienen dos decimales sin redondear.</t>
  </si>
  <si>
    <t xml:space="preserve">             Solo debe ingresar notas (números) entre el 0 y el 10 [Ejemplo: 10 - 7,5 - 8,2 - 0]</t>
  </si>
  <si>
    <t xml:space="preserve">             No inserte ni borre filas o columnas, los datos están con celdas vinculadas.</t>
  </si>
  <si>
    <t>REGISTRO DE CALIFICACIONES 2023-2024</t>
  </si>
  <si>
    <t>Por: Lic. Luis Jaya</t>
  </si>
  <si>
    <t>Tanicuchi - Latacunga - Ecuador</t>
  </si>
  <si>
    <t>CURSO:</t>
  </si>
  <si>
    <t>TRIMESTRE</t>
  </si>
  <si>
    <t>PROFESOR:</t>
  </si>
  <si>
    <t>I TRIMESTRE</t>
  </si>
  <si>
    <t>ASIGNATURA:</t>
  </si>
  <si>
    <t>No.</t>
  </si>
  <si>
    <t>NOMBRES COMPLETOS</t>
  </si>
  <si>
    <t>Actividades interdisciplinarias Individual</t>
  </si>
  <si>
    <t>Actividades interdisciplinarias grupales</t>
  </si>
  <si>
    <t>Evaluación del período académico</t>
  </si>
  <si>
    <t>P. indisciplinario    FASE 1    5 %</t>
  </si>
  <si>
    <t>Evaluación trimestral 5 %</t>
  </si>
  <si>
    <t>A-1</t>
  </si>
  <si>
    <t>A-2</t>
  </si>
  <si>
    <t>A-3</t>
  </si>
  <si>
    <t>NOTA  CUALITATIVA</t>
  </si>
  <si>
    <t>NOTA CUANTITATIVA</t>
  </si>
  <si>
    <t>FECHA INICIO:</t>
  </si>
  <si>
    <t>FECHA FINAL:</t>
  </si>
  <si>
    <t>JORNADA</t>
  </si>
  <si>
    <t>TUTOR</t>
  </si>
  <si>
    <t>REGISTRO DE NOTAS DE LOS APRENDIZAJES</t>
  </si>
  <si>
    <t>PROYECTO FINAL                         10 %</t>
  </si>
  <si>
    <t>CUALITATIVA</t>
  </si>
  <si>
    <t>Actividades Grupales</t>
  </si>
  <si>
    <t>APORTE   90%</t>
  </si>
  <si>
    <t>FALTAS Y ATRASOS</t>
  </si>
  <si>
    <t>Total 45%</t>
  </si>
  <si>
    <t>Faltas Justificadas</t>
  </si>
  <si>
    <t>Faltas Injustificadas</t>
  </si>
  <si>
    <t>Atrasos</t>
  </si>
  <si>
    <t>MATUTINA</t>
  </si>
  <si>
    <t>PROMEDIO  CUANTITATIVA</t>
  </si>
  <si>
    <t>ACTIVIDADES INDIVIDUALES</t>
  </si>
  <si>
    <t>PROMEDIO  CUALITATIVA</t>
  </si>
  <si>
    <t xml:space="preserve">P. indisciplinario    </t>
  </si>
  <si>
    <t>Evaluación trimestral</t>
  </si>
  <si>
    <t>NOTA FINAL 100% CUANTITATIVA</t>
  </si>
  <si>
    <t>AÑO LECTIVO:</t>
  </si>
  <si>
    <t>PRIMERO</t>
  </si>
  <si>
    <t>ESCALA CUALITATIVA</t>
  </si>
  <si>
    <t>Domina los aprendizajes</t>
  </si>
  <si>
    <t>A+</t>
  </si>
  <si>
    <t>A-</t>
  </si>
  <si>
    <t>ESCALA CUANTITATIVA</t>
  </si>
  <si>
    <t>VALOR</t>
  </si>
  <si>
    <t>9,00 - 10,00</t>
  </si>
  <si>
    <t>7,00 -  8,99</t>
  </si>
  <si>
    <t>4,01 -  6,99</t>
  </si>
  <si>
    <t>Menor o igual a 4</t>
  </si>
  <si>
    <t>Alcanza los aprendizajes</t>
  </si>
  <si>
    <t>Está próximo alcanzar los aprendizajes</t>
  </si>
  <si>
    <t>No alcanza los aprendizajes</t>
  </si>
  <si>
    <t>total</t>
  </si>
  <si>
    <t>&lt;</t>
  </si>
  <si>
    <t>B+</t>
  </si>
  <si>
    <t>B-</t>
  </si>
  <si>
    <t>C+</t>
  </si>
  <si>
    <t>C-</t>
  </si>
  <si>
    <t>D+</t>
  </si>
  <si>
    <t>D-</t>
  </si>
  <si>
    <t>E+</t>
  </si>
  <si>
    <t>E-</t>
  </si>
  <si>
    <t>Vicerrector/a:</t>
  </si>
  <si>
    <t>SEGUNDO</t>
  </si>
  <si>
    <t>TERCERO</t>
  </si>
  <si>
    <t>INFORME DE RENDIMIENTO ACADÉMICO ANUAL</t>
  </si>
  <si>
    <t xml:space="preserve">P. FINAL </t>
  </si>
  <si>
    <t xml:space="preserve">E. SUBNIVEL </t>
  </si>
  <si>
    <t>OBSERVACIÓN FINAL</t>
  </si>
  <si>
    <t>NOTA PROYECTO</t>
  </si>
  <si>
    <t>PROYECTO  FINAL 5%</t>
  </si>
  <si>
    <t>AÑO LECTIVO</t>
  </si>
  <si>
    <t>1 ER TRIMESTRE</t>
  </si>
  <si>
    <t>PROMEDIO CUANTITATIVO</t>
  </si>
  <si>
    <t>PROMEDIO CUALITATIVO</t>
  </si>
  <si>
    <t>2DO TRIMESTRE</t>
  </si>
  <si>
    <t>3ER TRIMESTRE</t>
  </si>
  <si>
    <t>3ER  Trimestre 30%</t>
  </si>
  <si>
    <t>2DO  Trimestre 30%</t>
  </si>
  <si>
    <t>1ER  Trimestre 30%</t>
  </si>
  <si>
    <t>NOTA 90%</t>
  </si>
  <si>
    <t>PROMEDIO FINAL 100% CUANTITATIVO</t>
  </si>
  <si>
    <t>PROMEDIO FINAL CUALITATIVO</t>
  </si>
  <si>
    <t>NOTA DE SUPLETORIO</t>
  </si>
  <si>
    <t>PROMEDIO FINAL + SUPLETORIO</t>
  </si>
  <si>
    <t>TOTAL</t>
  </si>
  <si>
    <t>OSERVACIONES</t>
  </si>
  <si>
    <t>MEDIA ARITMETICA</t>
  </si>
  <si>
    <t>EVALUACIÓN DE FIN DE NIVEL O SUBNIVEL</t>
  </si>
  <si>
    <t>EVALUACIÓN DE FIN DE NIVEL O SUBNIVEL 5%</t>
  </si>
  <si>
    <t>Msc. Myrian Zurita</t>
  </si>
  <si>
    <t>Ing. Margarita Ronquillo</t>
  </si>
  <si>
    <t>Matutina</t>
  </si>
  <si>
    <t>PROMEDIO NOTA PROYECTO+EVALUACION FIN NIVEL 10%</t>
  </si>
  <si>
    <t>Décimo EGB A</t>
  </si>
  <si>
    <t>Lic. Gabriela Banda</t>
  </si>
  <si>
    <t>AIMACAÑA LEMA JOSELYN MARISOL</t>
  </si>
  <si>
    <t>ALMACHI YUGCHA AYAN MIGUEL</t>
  </si>
  <si>
    <t>ANCHUNDIA PLUAS KEYSI BETSABED</t>
  </si>
  <si>
    <t>ANCHUNDIA SUAREZ MAILY VALENTINA</t>
  </si>
  <si>
    <t>CAIZA CHICAIZA BRYAN JOEL</t>
  </si>
  <si>
    <t>CASA CASA JOSUE DAVID</t>
  </si>
  <si>
    <t>CASA TASINCHANA MARIA MERCEDES</t>
  </si>
  <si>
    <t>CASA TUSO KATTY LISETH</t>
  </si>
  <si>
    <t>CENTENO GUISÑAN ALISON PAMELA</t>
  </si>
  <si>
    <t>CHANCUSIG CHILIQUINGA NORMA NICOLE</t>
  </si>
  <si>
    <t>CHASI CHANCUSIG JORGE LUIS</t>
  </si>
  <si>
    <t>CHUQUI PASSO BRITHANY SOLANGE</t>
  </si>
  <si>
    <t>CUCHIPARTE CASA KARLA CAROLINA</t>
  </si>
  <si>
    <t>GUAÑA CHINGO EDGAR ISMAEL</t>
  </si>
  <si>
    <t>IZA CASA ANGEL DAVID</t>
  </si>
  <si>
    <t>IZA PEREZ ERICK ISMAEL</t>
  </si>
  <si>
    <t>IZA QUINATOA JOSTIN JOSE</t>
  </si>
  <si>
    <t xml:space="preserve">JAMI JAMI ANTHONI JOEL                            </t>
  </si>
  <si>
    <t>LOOR LOPEZ ALEXANDER JEAMPIERRE</t>
  </si>
  <si>
    <t>LOPEZ CARRASCO LIA ALEJANDRA</t>
  </si>
  <si>
    <t>MASAPANTA CASA JUAN MIGUEL</t>
  </si>
  <si>
    <t>MENDOZA TOAPANTA VERONICA MARISOL</t>
  </si>
  <si>
    <t>MONTA CHICAIZA JOSSELYN MICAELA</t>
  </si>
  <si>
    <t>OTO ABRIL ERICK JAHIR</t>
  </si>
  <si>
    <t>PROAÑO TOAQUIZA FERNANDO JOSUE</t>
  </si>
  <si>
    <t>QUILUMBA TOAPANTA ADRIANA CAROLINA</t>
  </si>
  <si>
    <t>RENGIFO COLLANTES DANNY SANTIAGO</t>
  </si>
  <si>
    <t xml:space="preserve">SIMBAÑA HERNANDEZ JOAO JAVIER                     </t>
  </si>
  <si>
    <t>TOAPANTA CHICAIZA JENNY ESTEFANIA</t>
  </si>
  <si>
    <t>TOAQUIZA CATOTA DENNIS ALEXANDER</t>
  </si>
  <si>
    <t>TOAQUIZA LEMA MELANY ANAHI</t>
  </si>
  <si>
    <t>TOCTAGUANO TUMBACO MAHOLY GUADALUPE</t>
  </si>
  <si>
    <t>TONATO YUGCHA STALIN JOEL</t>
  </si>
  <si>
    <t>VILLACRESES MUÑOZ MARIA LUCRECIA</t>
  </si>
  <si>
    <t>ZAMORA LEAL MAYKEL JOSUE</t>
  </si>
  <si>
    <t>Educación Cultural y Artitica</t>
  </si>
  <si>
    <t>Básica Superior</t>
  </si>
  <si>
    <t>9,5</t>
  </si>
  <si>
    <t>III TRIMESTRE</t>
  </si>
  <si>
    <t>II TRIMESTRE</t>
  </si>
  <si>
    <t>PROMEDIO NOTA PROYECTO+EVALUACION FIN NIVEL CUALITATIVA</t>
  </si>
  <si>
    <t>PROMEDIO NOTA PROYECTO+EVALUACION FIN NIVEL CUANTITATIVA</t>
  </si>
  <si>
    <t>PROMEDIO FINAL 100% CUALITATIVO</t>
  </si>
  <si>
    <t>NOTA CUALITATIVA</t>
  </si>
  <si>
    <t>EVALUACIÓN FINAL</t>
  </si>
  <si>
    <t>NOTA FINAL 100% CUALITATIVA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</si>
</sst>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/mmm/yyyy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24"/>
      <color theme="3" tint="0.14999847407452621"/>
      <name val="Calibri"/>
      <family val="2"/>
      <scheme val="minor"/>
    </font>
    <font>
      <sz val="12"/>
      <color rgb="FF300DFF"/>
      <name val="Noto Sans Symbols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sz val="12"/>
      <color rgb="FFFF0000"/>
      <name val="Noto Sans Symbols"/>
    </font>
    <font>
      <b/>
      <sz val="28"/>
      <color rgb="FF300DFF"/>
      <name val="Arial"/>
      <family val="2"/>
    </font>
    <font>
      <b/>
      <sz val="26"/>
      <color rgb="FF300DFF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lternateGothic2 BT"/>
    </font>
    <font>
      <b/>
      <sz val="13"/>
      <color theme="1"/>
      <name val="Calibri"/>
      <family val="2"/>
    </font>
    <font>
      <b/>
      <sz val="13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28"/>
      <color theme="1"/>
      <name val="AlternateGothic2 BT"/>
      <family val="2"/>
    </font>
    <font>
      <b/>
      <sz val="2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odoni MT Black"/>
      <family val="1"/>
    </font>
    <font>
      <b/>
      <sz val="1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9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E9F7"/>
      </patternFill>
    </fill>
    <fill>
      <patternFill patternType="solid">
        <fgColor rgb="FFDDE9F7"/>
        <bgColor rgb="FFDDE9F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8EAADB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55A11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C55A11"/>
      </patternFill>
    </fill>
    <fill>
      <patternFill patternType="solid">
        <fgColor rgb="FFE2EFD9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theme="2"/>
        <bgColor rgb="FFD9E2F3"/>
      </patternFill>
    </fill>
    <fill>
      <patternFill patternType="solid">
        <fgColor theme="2"/>
        <bgColor rgb="FFC5E0B3"/>
      </patternFill>
    </fill>
    <fill>
      <patternFill patternType="solid">
        <fgColor theme="2"/>
        <bgColor rgb="FFFEF2CB"/>
      </patternFill>
    </fill>
    <fill>
      <patternFill patternType="solid">
        <fgColor theme="0"/>
        <bgColor rgb="FFD6DCE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5" tint="0.59999389629810485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0"/>
        <bgColor rgb="FFC55A11"/>
      </patternFill>
    </fill>
    <fill>
      <patternFill patternType="solid">
        <fgColor theme="4" tint="0.59999389629810485"/>
        <bgColor rgb="FFC55A11"/>
      </patternFill>
    </fill>
    <fill>
      <patternFill patternType="solid">
        <fgColor theme="0"/>
        <bgColor rgb="FFE2EFD9"/>
      </patternFill>
    </fill>
    <fill>
      <patternFill patternType="solid">
        <fgColor rgb="FF00B0F0"/>
        <bgColor rgb="FF2F5496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2F5496"/>
      </patternFill>
    </fill>
    <fill>
      <patternFill patternType="solid">
        <fgColor rgb="FF00B0F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1"/>
        <bgColor rgb="FFE2EF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DE9F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2EFD9"/>
      </patternFill>
    </fill>
    <fill>
      <patternFill patternType="solid">
        <fgColor theme="9" tint="0.39997558519241921"/>
        <bgColor rgb="FFC55A11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E2EFD9"/>
      </patternFill>
    </fill>
    <fill>
      <patternFill patternType="solid">
        <fgColor theme="1"/>
        <bgColor rgb="FFFEF2CB"/>
      </patternFill>
    </fill>
  </fills>
  <borders count="1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00DFF"/>
      </left>
      <right/>
      <top style="thin">
        <color rgb="FF300DFF"/>
      </top>
      <bottom/>
      <diagonal/>
    </border>
    <border>
      <left/>
      <right style="thin">
        <color rgb="FF300DFF"/>
      </right>
      <top style="thin">
        <color rgb="FF300DFF"/>
      </top>
      <bottom/>
      <diagonal/>
    </border>
    <border>
      <left style="thin">
        <color rgb="FF300DFF"/>
      </left>
      <right/>
      <top/>
      <bottom/>
      <diagonal/>
    </border>
    <border>
      <left/>
      <right style="thin">
        <color rgb="FF300DFF"/>
      </right>
      <top/>
      <bottom/>
      <diagonal/>
    </border>
    <border>
      <left style="thin">
        <color rgb="FF300DFF"/>
      </left>
      <right/>
      <top/>
      <bottom style="thin">
        <color rgb="FF300DFF"/>
      </bottom>
      <diagonal/>
    </border>
    <border>
      <left/>
      <right style="thin">
        <color rgb="FF300DFF"/>
      </right>
      <top/>
      <bottom style="thin">
        <color rgb="FF300DFF"/>
      </bottom>
      <diagonal/>
    </border>
    <border>
      <left style="thin">
        <color rgb="FF300DFF"/>
      </left>
      <right/>
      <top style="thin">
        <color rgb="FF300DFF"/>
      </top>
      <bottom style="thin">
        <color rgb="FF300DFF"/>
      </bottom>
      <diagonal/>
    </border>
    <border>
      <left/>
      <right style="thin">
        <color rgb="FF300DFF"/>
      </right>
      <top style="thin">
        <color rgb="FF300DFF"/>
      </top>
      <bottom style="thin">
        <color rgb="FF300D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2F549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/>
      <bottom style="thin">
        <color rgb="FF2F5496"/>
      </bottom>
      <diagonal/>
    </border>
    <border>
      <left/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/>
      <bottom style="thin">
        <color rgb="FF2F5496"/>
      </bottom>
      <diagonal/>
    </border>
    <border>
      <left style="thin">
        <color rgb="FF2F5496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/>
      <top/>
      <bottom style="thin">
        <color rgb="FF2F5496"/>
      </bottom>
      <diagonal/>
    </border>
    <border>
      <left style="medium">
        <color indexed="64"/>
      </left>
      <right style="thin">
        <color rgb="FF2F5496"/>
      </right>
      <top/>
      <bottom style="thin">
        <color rgb="FF2F5496"/>
      </bottom>
      <diagonal/>
    </border>
    <border>
      <left style="medium">
        <color indexed="64"/>
      </left>
      <right/>
      <top style="thin">
        <color rgb="FF2F549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2F5496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 style="thin">
        <color rgb="FF2F549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2F5496"/>
      </top>
      <bottom style="thin">
        <color rgb="FF2F549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indexed="64"/>
      </left>
      <right style="medium">
        <color indexed="64"/>
      </right>
      <top style="thin">
        <color rgb="FF2F5496"/>
      </top>
      <bottom/>
      <diagonal/>
    </border>
    <border>
      <left style="medium">
        <color indexed="64"/>
      </left>
      <right style="thin">
        <color rgb="FF2F5496"/>
      </right>
      <top/>
      <bottom/>
      <diagonal/>
    </border>
    <border>
      <left style="thin">
        <color rgb="FF2F5496"/>
      </left>
      <right style="thin">
        <color rgb="FF2F5496"/>
      </right>
      <top/>
      <bottom/>
      <diagonal/>
    </border>
    <border>
      <left style="thin">
        <color rgb="FF2F5496"/>
      </left>
      <right style="medium">
        <color indexed="64"/>
      </right>
      <top/>
      <bottom/>
      <diagonal/>
    </border>
    <border>
      <left/>
      <right style="thin">
        <color rgb="FF2F5496"/>
      </right>
      <top/>
      <bottom/>
      <diagonal/>
    </border>
    <border>
      <left style="thin">
        <color rgb="FF2F5496"/>
      </left>
      <right/>
      <top/>
      <bottom/>
      <diagonal/>
    </border>
    <border>
      <left style="medium">
        <color indexed="64"/>
      </left>
      <right/>
      <top style="thin">
        <color rgb="FF2F5496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rgb="FF0070C0"/>
      </left>
      <right style="thick">
        <color rgb="FF0070C0"/>
      </right>
      <top style="medium">
        <color indexed="64"/>
      </top>
      <bottom style="medium">
        <color indexed="64"/>
      </bottom>
      <diagonal/>
    </border>
    <border>
      <left style="thin">
        <color rgb="FF2F5496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rgb="FF2F5496"/>
      </right>
      <top style="thin">
        <color theme="4" tint="-0.249977111117893"/>
      </top>
      <bottom style="thin">
        <color rgb="FF2F549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70C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0" fillId="0" borderId="0"/>
    <xf numFmtId="0" fontId="40" fillId="0" borderId="0"/>
    <xf numFmtId="0" fontId="40" fillId="0" borderId="0"/>
  </cellStyleXfs>
  <cellXfs count="440">
    <xf numFmtId="0" fontId="0" fillId="0" borderId="0" xfId="0"/>
    <xf numFmtId="0" fontId="4" fillId="3" borderId="0" xfId="0" applyFont="1" applyFill="1" applyAlignment="1" applyProtection="1">
      <alignment horizontal="left"/>
      <protection locked="0"/>
    </xf>
    <xf numFmtId="0" fontId="5" fillId="4" borderId="0" xfId="0" applyFont="1" applyFill="1" applyProtection="1">
      <protection locked="0"/>
    </xf>
    <xf numFmtId="0" fontId="5" fillId="5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9" fillId="5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6" fillId="0" borderId="4" xfId="0" applyFont="1" applyBorder="1" applyProtection="1">
      <protection locked="0"/>
    </xf>
    <xf numFmtId="0" fontId="6" fillId="0" borderId="6" xfId="0" applyFont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17" fillId="5" borderId="0" xfId="0" applyFont="1" applyFill="1" applyAlignment="1" applyProtection="1">
      <alignment vertical="center"/>
      <protection locked="0"/>
    </xf>
    <xf numFmtId="0" fontId="6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1" fillId="5" borderId="0" xfId="0" applyFont="1" applyFill="1" applyProtection="1">
      <protection locked="0"/>
    </xf>
    <xf numFmtId="164" fontId="5" fillId="5" borderId="0" xfId="0" applyNumberFormat="1" applyFont="1" applyFill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shrinkToFi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2" borderId="41" xfId="0" applyFont="1" applyFill="1" applyBorder="1" applyAlignment="1" applyProtection="1">
      <alignment shrinkToFit="1"/>
      <protection locked="0"/>
    </xf>
    <xf numFmtId="0" fontId="3" fillId="2" borderId="42" xfId="0" applyFont="1" applyFill="1" applyBorder="1" applyAlignment="1" applyProtection="1">
      <alignment horizontal="left" shrinkToFit="1"/>
      <protection locked="0"/>
    </xf>
    <xf numFmtId="0" fontId="3" fillId="2" borderId="43" xfId="0" applyFont="1" applyFill="1" applyBorder="1" applyAlignment="1" applyProtection="1">
      <alignment horizontal="left" shrinkToFit="1"/>
      <protection locked="0"/>
    </xf>
    <xf numFmtId="0" fontId="3" fillId="2" borderId="44" xfId="0" applyFont="1" applyFill="1" applyBorder="1" applyAlignment="1" applyProtection="1">
      <alignment horizontal="left" wrapText="1"/>
      <protection locked="0"/>
    </xf>
    <xf numFmtId="0" fontId="5" fillId="2" borderId="40" xfId="0" applyFont="1" applyFill="1" applyBorder="1" applyProtection="1">
      <protection locked="0"/>
    </xf>
    <xf numFmtId="0" fontId="12" fillId="2" borderId="45" xfId="0" applyFont="1" applyFill="1" applyBorder="1" applyAlignment="1" applyProtection="1">
      <alignment horizontal="center" vertical="center"/>
      <protection locked="0"/>
    </xf>
    <xf numFmtId="0" fontId="13" fillId="2" borderId="46" xfId="0" applyFont="1" applyFill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 applyProtection="1">
      <alignment horizontal="center"/>
      <protection locked="0"/>
    </xf>
    <xf numFmtId="0" fontId="15" fillId="0" borderId="46" xfId="0" applyFont="1" applyBorder="1" applyAlignment="1" applyProtection="1">
      <alignment horizontal="left" vertical="center"/>
      <protection locked="0"/>
    </xf>
    <xf numFmtId="0" fontId="15" fillId="8" borderId="46" xfId="0" applyFont="1" applyFill="1" applyBorder="1" applyAlignment="1" applyProtection="1">
      <alignment horizontal="left" vertical="center"/>
      <protection locked="0"/>
    </xf>
    <xf numFmtId="0" fontId="12" fillId="2" borderId="47" xfId="0" applyFont="1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0" borderId="0" xfId="0" applyProtection="1"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11" borderId="0" xfId="0" applyFill="1" applyProtection="1"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3" borderId="1" xfId="0" applyFont="1" applyFill="1" applyBorder="1" applyAlignment="1" applyProtection="1">
      <alignment horizontal="center"/>
      <protection locked="0"/>
    </xf>
    <xf numFmtId="0" fontId="7" fillId="14" borderId="4" xfId="0" applyFont="1" applyFill="1" applyBorder="1" applyAlignment="1" applyProtection="1">
      <alignment horizontal="center" vertical="center" textRotation="90"/>
      <protection locked="0"/>
    </xf>
    <xf numFmtId="0" fontId="7" fillId="14" borderId="30" xfId="0" applyFont="1" applyFill="1" applyBorder="1" applyAlignment="1" applyProtection="1">
      <alignment horizontal="center" vertical="center" textRotation="90"/>
      <protection locked="0"/>
    </xf>
    <xf numFmtId="0" fontId="28" fillId="12" borderId="39" xfId="0" applyFont="1" applyFill="1" applyBorder="1" applyAlignment="1" applyProtection="1">
      <alignment horizontal="center" vertical="center" textRotation="90" wrapText="1"/>
      <protection locked="0"/>
    </xf>
    <xf numFmtId="0" fontId="28" fillId="12" borderId="35" xfId="0" applyFont="1" applyFill="1" applyBorder="1" applyAlignment="1" applyProtection="1">
      <alignment horizontal="center" vertical="center" textRotation="90" wrapText="1"/>
      <protection locked="0"/>
    </xf>
    <xf numFmtId="0" fontId="28" fillId="12" borderId="4" xfId="0" applyFont="1" applyFill="1" applyBorder="1" applyAlignment="1" applyProtection="1">
      <alignment horizontal="center" vertical="center" textRotation="90" wrapText="1"/>
      <protection locked="0"/>
    </xf>
    <xf numFmtId="0" fontId="7" fillId="14" borderId="6" xfId="0" applyFont="1" applyFill="1" applyBorder="1" applyAlignment="1" applyProtection="1">
      <alignment horizontal="center" vertical="center" textRotation="90"/>
      <protection locked="0"/>
    </xf>
    <xf numFmtId="0" fontId="28" fillId="12" borderId="26" xfId="0" applyFont="1" applyFill="1" applyBorder="1" applyAlignment="1" applyProtection="1">
      <alignment horizontal="center" vertical="center" textRotation="90" wrapText="1"/>
      <protection locked="0"/>
    </xf>
    <xf numFmtId="0" fontId="5" fillId="9" borderId="49" xfId="0" applyFont="1" applyFill="1" applyBorder="1" applyAlignment="1" applyProtection="1">
      <alignment horizontal="center"/>
      <protection locked="0"/>
    </xf>
    <xf numFmtId="2" fontId="5" fillId="13" borderId="34" xfId="0" applyNumberFormat="1" applyFont="1" applyFill="1" applyBorder="1" applyAlignment="1" applyProtection="1">
      <alignment horizontal="center" vertical="center"/>
      <protection locked="0"/>
    </xf>
    <xf numFmtId="0" fontId="5" fillId="9" borderId="50" xfId="0" applyFont="1" applyFill="1" applyBorder="1" applyAlignment="1" applyProtection="1">
      <alignment horizontal="center"/>
      <protection locked="0"/>
    </xf>
    <xf numFmtId="0" fontId="5" fillId="9" borderId="51" xfId="0" applyFont="1" applyFill="1" applyBorder="1" applyAlignment="1" applyProtection="1">
      <alignment horizontal="center"/>
      <protection locked="0"/>
    </xf>
    <xf numFmtId="2" fontId="5" fillId="13" borderId="32" xfId="0" applyNumberFormat="1" applyFont="1" applyFill="1" applyBorder="1" applyAlignment="1" applyProtection="1">
      <alignment horizontal="center" vertical="center"/>
      <protection locked="0"/>
    </xf>
    <xf numFmtId="0" fontId="24" fillId="9" borderId="48" xfId="0" applyFont="1" applyFill="1" applyBorder="1" applyProtection="1">
      <protection locked="0"/>
    </xf>
    <xf numFmtId="0" fontId="5" fillId="9" borderId="56" xfId="0" applyFont="1" applyFill="1" applyBorder="1" applyAlignment="1" applyProtection="1">
      <alignment horizontal="left"/>
      <protection locked="0"/>
    </xf>
    <xf numFmtId="0" fontId="5" fillId="9" borderId="57" xfId="0" applyFont="1" applyFill="1" applyBorder="1" applyAlignment="1" applyProtection="1">
      <alignment horizontal="left"/>
      <protection locked="0"/>
    </xf>
    <xf numFmtId="0" fontId="5" fillId="9" borderId="58" xfId="0" applyFont="1" applyFill="1" applyBorder="1" applyAlignment="1" applyProtection="1">
      <alignment horizontal="left"/>
      <protection locked="0"/>
    </xf>
    <xf numFmtId="2" fontId="5" fillId="11" borderId="52" xfId="0" applyNumberFormat="1" applyFont="1" applyFill="1" applyBorder="1" applyAlignment="1">
      <alignment horizontal="center"/>
    </xf>
    <xf numFmtId="2" fontId="5" fillId="9" borderId="61" xfId="0" applyNumberFormat="1" applyFont="1" applyFill="1" applyBorder="1" applyAlignment="1" applyProtection="1">
      <alignment horizontal="center"/>
      <protection locked="0"/>
    </xf>
    <xf numFmtId="2" fontId="5" fillId="9" borderId="61" xfId="0" applyNumberFormat="1" applyFont="1" applyFill="1" applyBorder="1" applyAlignment="1" applyProtection="1">
      <alignment horizontal="left"/>
      <protection locked="0"/>
    </xf>
    <xf numFmtId="2" fontId="5" fillId="9" borderId="61" xfId="0" applyNumberFormat="1" applyFont="1" applyFill="1" applyBorder="1" applyAlignment="1" applyProtection="1">
      <alignment horizontal="center" vertical="center"/>
      <protection locked="0"/>
    </xf>
    <xf numFmtId="2" fontId="5" fillId="9" borderId="61" xfId="0" applyNumberFormat="1" applyFont="1" applyFill="1" applyBorder="1" applyAlignment="1" applyProtection="1">
      <alignment horizontal="left" vertical="center"/>
      <protection locked="0"/>
    </xf>
    <xf numFmtId="0" fontId="24" fillId="9" borderId="0" xfId="0" applyFont="1" applyFill="1" applyProtection="1">
      <protection locked="0"/>
    </xf>
    <xf numFmtId="0" fontId="32" fillId="9" borderId="23" xfId="0" applyFont="1" applyFill="1" applyBorder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35" fillId="9" borderId="23" xfId="0" applyFont="1" applyFill="1" applyBorder="1" applyProtection="1">
      <protection locked="0"/>
    </xf>
    <xf numFmtId="0" fontId="5" fillId="16" borderId="0" xfId="0" applyFont="1" applyFill="1" applyProtection="1">
      <protection locked="0"/>
    </xf>
    <xf numFmtId="0" fontId="5" fillId="15" borderId="0" xfId="0" applyFont="1" applyFill="1" applyProtection="1">
      <protection locked="0"/>
    </xf>
    <xf numFmtId="0" fontId="28" fillId="12" borderId="23" xfId="0" applyFont="1" applyFill="1" applyBorder="1" applyAlignment="1" applyProtection="1">
      <alignment horizontal="center" vertic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 textRotation="90"/>
      <protection locked="0"/>
    </xf>
    <xf numFmtId="4" fontId="10" fillId="28" borderId="23" xfId="0" applyNumberFormat="1" applyFont="1" applyFill="1" applyBorder="1" applyAlignment="1" applyProtection="1">
      <alignment horizontal="center"/>
      <protection locked="0"/>
    </xf>
    <xf numFmtId="3" fontId="10" fillId="25" borderId="23" xfId="0" applyNumberFormat="1" applyFont="1" applyFill="1" applyBorder="1" applyAlignment="1" applyProtection="1">
      <alignment horizontal="center" vertical="center"/>
      <protection locked="0"/>
    </xf>
    <xf numFmtId="4" fontId="4" fillId="9" borderId="23" xfId="0" applyNumberFormat="1" applyFont="1" applyFill="1" applyBorder="1" applyProtection="1"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left"/>
    </xf>
    <xf numFmtId="4" fontId="10" fillId="9" borderId="23" xfId="0" applyNumberFormat="1" applyFont="1" applyFill="1" applyBorder="1" applyAlignment="1">
      <alignment horizontal="center"/>
    </xf>
    <xf numFmtId="4" fontId="10" fillId="23" borderId="23" xfId="0" applyNumberFormat="1" applyFont="1" applyFill="1" applyBorder="1" applyAlignment="1">
      <alignment horizontal="center"/>
    </xf>
    <xf numFmtId="4" fontId="10" fillId="24" borderId="23" xfId="0" applyNumberFormat="1" applyFont="1" applyFill="1" applyBorder="1" applyAlignment="1">
      <alignment horizontal="center"/>
    </xf>
    <xf numFmtId="4" fontId="10" fillId="27" borderId="23" xfId="0" applyNumberFormat="1" applyFont="1" applyFill="1" applyBorder="1" applyAlignment="1">
      <alignment horizontal="center"/>
    </xf>
    <xf numFmtId="4" fontId="10" fillId="28" borderId="23" xfId="0" applyNumberFormat="1" applyFont="1" applyFill="1" applyBorder="1" applyAlignment="1">
      <alignment horizontal="center"/>
    </xf>
    <xf numFmtId="0" fontId="0" fillId="9" borderId="0" xfId="0" applyFill="1"/>
    <xf numFmtId="0" fontId="37" fillId="32" borderId="28" xfId="0" applyFont="1" applyFill="1" applyBorder="1" applyAlignment="1">
      <alignment horizontal="center"/>
    </xf>
    <xf numFmtId="0" fontId="37" fillId="34" borderId="28" xfId="0" applyFont="1" applyFill="1" applyBorder="1" applyAlignment="1">
      <alignment horizontal="center"/>
    </xf>
    <xf numFmtId="0" fontId="32" fillId="9" borderId="26" xfId="0" applyFont="1" applyFill="1" applyBorder="1" applyProtection="1"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7" fillId="34" borderId="2" xfId="0" applyFont="1" applyFill="1" applyBorder="1" applyAlignment="1">
      <alignment horizontal="center"/>
    </xf>
    <xf numFmtId="0" fontId="32" fillId="11" borderId="26" xfId="0" applyFont="1" applyFill="1" applyBorder="1" applyProtection="1">
      <protection locked="0"/>
    </xf>
    <xf numFmtId="2" fontId="11" fillId="33" borderId="67" xfId="0" applyNumberFormat="1" applyFont="1" applyFill="1" applyBorder="1" applyAlignment="1">
      <alignment horizontal="center"/>
    </xf>
    <xf numFmtId="2" fontId="11" fillId="33" borderId="65" xfId="0" applyNumberFormat="1" applyFont="1" applyFill="1" applyBorder="1" applyAlignment="1">
      <alignment horizontal="center"/>
    </xf>
    <xf numFmtId="2" fontId="11" fillId="9" borderId="66" xfId="0" applyNumberFormat="1" applyFont="1" applyFill="1" applyBorder="1" applyAlignment="1">
      <alignment horizontal="center"/>
    </xf>
    <xf numFmtId="2" fontId="11" fillId="9" borderId="67" xfId="0" applyNumberFormat="1" applyFont="1" applyFill="1" applyBorder="1" applyAlignment="1">
      <alignment horizontal="center"/>
    </xf>
    <xf numFmtId="2" fontId="11" fillId="9" borderId="64" xfId="0" applyNumberFormat="1" applyFont="1" applyFill="1" applyBorder="1" applyAlignment="1">
      <alignment horizontal="center"/>
    </xf>
    <xf numFmtId="2" fontId="38" fillId="31" borderId="66" xfId="0" applyNumberFormat="1" applyFont="1" applyFill="1" applyBorder="1" applyAlignment="1">
      <alignment horizontal="center"/>
    </xf>
    <xf numFmtId="0" fontId="11" fillId="11" borderId="2" xfId="0" applyFont="1" applyFill="1" applyBorder="1"/>
    <xf numFmtId="0" fontId="11" fillId="11" borderId="0" xfId="0" applyFont="1" applyFill="1"/>
    <xf numFmtId="0" fontId="38" fillId="32" borderId="24" xfId="0" applyFont="1" applyFill="1" applyBorder="1" applyAlignment="1">
      <alignment horizontal="center" vertical="center"/>
    </xf>
    <xf numFmtId="0" fontId="38" fillId="11" borderId="87" xfId="0" applyFont="1" applyFill="1" applyBorder="1" applyAlignment="1">
      <alignment horizontal="center" vertical="center" textRotation="90"/>
    </xf>
    <xf numFmtId="0" fontId="38" fillId="11" borderId="89" xfId="0" applyFont="1" applyFill="1" applyBorder="1" applyAlignment="1">
      <alignment horizontal="center" vertical="center" textRotation="90"/>
    </xf>
    <xf numFmtId="0" fontId="11" fillId="0" borderId="68" xfId="0" applyFont="1" applyBorder="1" applyAlignment="1">
      <alignment horizontal="center"/>
    </xf>
    <xf numFmtId="0" fontId="11" fillId="0" borderId="90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38" fillId="32" borderId="1" xfId="0" applyFont="1" applyFill="1" applyBorder="1" applyAlignment="1">
      <alignment horizontal="center" vertical="center"/>
    </xf>
    <xf numFmtId="0" fontId="11" fillId="9" borderId="78" xfId="0" applyFont="1" applyFill="1" applyBorder="1" applyAlignment="1">
      <alignment horizontal="left"/>
    </xf>
    <xf numFmtId="0" fontId="11" fillId="9" borderId="79" xfId="0" applyFont="1" applyFill="1" applyBorder="1" applyAlignment="1">
      <alignment horizontal="left"/>
    </xf>
    <xf numFmtId="2" fontId="38" fillId="31" borderId="68" xfId="0" applyNumberFormat="1" applyFont="1" applyFill="1" applyBorder="1" applyAlignment="1">
      <alignment horizontal="center"/>
    </xf>
    <xf numFmtId="0" fontId="33" fillId="9" borderId="35" xfId="0" applyFont="1" applyFill="1" applyBorder="1" applyAlignment="1" applyProtection="1">
      <alignment horizontal="center"/>
      <protection locked="0"/>
    </xf>
    <xf numFmtId="0" fontId="32" fillId="9" borderId="0" xfId="0" applyFont="1" applyFill="1" applyProtection="1">
      <protection locked="0"/>
    </xf>
    <xf numFmtId="0" fontId="37" fillId="34" borderId="0" xfId="0" applyFont="1" applyFill="1" applyAlignment="1">
      <alignment horizontal="center"/>
    </xf>
    <xf numFmtId="0" fontId="34" fillId="9" borderId="0" xfId="0" applyFont="1" applyFill="1" applyAlignment="1" applyProtection="1">
      <alignment horizontal="center"/>
      <protection locked="0"/>
    </xf>
    <xf numFmtId="0" fontId="34" fillId="9" borderId="40" xfId="0" applyFont="1" applyFill="1" applyBorder="1" applyAlignment="1" applyProtection="1">
      <alignment horizontal="center"/>
      <protection locked="0"/>
    </xf>
    <xf numFmtId="0" fontId="37" fillId="34" borderId="31" xfId="0" applyFont="1" applyFill="1" applyBorder="1" applyAlignment="1">
      <alignment horizontal="center"/>
    </xf>
    <xf numFmtId="0" fontId="32" fillId="9" borderId="32" xfId="0" applyFont="1" applyFill="1" applyBorder="1" applyProtection="1">
      <protection locked="0"/>
    </xf>
    <xf numFmtId="0" fontId="37" fillId="34" borderId="32" xfId="0" applyFont="1" applyFill="1" applyBorder="1" applyAlignment="1">
      <alignment horizontal="center"/>
    </xf>
    <xf numFmtId="2" fontId="11" fillId="6" borderId="78" xfId="0" applyNumberFormat="1" applyFont="1" applyFill="1" applyBorder="1" applyAlignment="1">
      <alignment horizontal="center"/>
    </xf>
    <xf numFmtId="2" fontId="38" fillId="31" borderId="92" xfId="0" applyNumberFormat="1" applyFont="1" applyFill="1" applyBorder="1" applyAlignment="1">
      <alignment horizontal="center"/>
    </xf>
    <xf numFmtId="4" fontId="11" fillId="25" borderId="23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9" borderId="96" xfId="0" applyFont="1" applyFill="1" applyBorder="1" applyAlignment="1">
      <alignment horizontal="left"/>
    </xf>
    <xf numFmtId="2" fontId="11" fillId="9" borderId="98" xfId="0" applyNumberFormat="1" applyFont="1" applyFill="1" applyBorder="1" applyAlignment="1">
      <alignment horizontal="center"/>
    </xf>
    <xf numFmtId="2" fontId="11" fillId="9" borderId="99" xfId="0" applyNumberFormat="1" applyFont="1" applyFill="1" applyBorder="1" applyAlignment="1">
      <alignment horizontal="center"/>
    </xf>
    <xf numFmtId="2" fontId="11" fillId="9" borderId="101" xfId="0" applyNumberFormat="1" applyFont="1" applyFill="1" applyBorder="1" applyAlignment="1">
      <alignment horizontal="center"/>
    </xf>
    <xf numFmtId="2" fontId="11" fillId="33" borderId="99" xfId="0" applyNumberFormat="1" applyFont="1" applyFill="1" applyBorder="1" applyAlignment="1">
      <alignment horizontal="center"/>
    </xf>
    <xf numFmtId="2" fontId="11" fillId="33" borderId="100" xfId="0" applyNumberFormat="1" applyFont="1" applyFill="1" applyBorder="1" applyAlignment="1">
      <alignment horizontal="center"/>
    </xf>
    <xf numFmtId="2" fontId="38" fillId="31" borderId="98" xfId="0" applyNumberFormat="1" applyFont="1" applyFill="1" applyBorder="1" applyAlignment="1">
      <alignment horizontal="center"/>
    </xf>
    <xf numFmtId="2" fontId="38" fillId="31" borderId="2" xfId="0" applyNumberFormat="1" applyFont="1" applyFill="1" applyBorder="1" applyAlignment="1">
      <alignment horizontal="center"/>
    </xf>
    <xf numFmtId="2" fontId="38" fillId="31" borderId="103" xfId="0" applyNumberFormat="1" applyFont="1" applyFill="1" applyBorder="1" applyAlignment="1">
      <alignment horizontal="center"/>
    </xf>
    <xf numFmtId="0" fontId="11" fillId="38" borderId="61" xfId="0" applyFont="1" applyFill="1" applyBorder="1" applyAlignment="1">
      <alignment horizontal="left"/>
    </xf>
    <xf numFmtId="2" fontId="11" fillId="38" borderId="3" xfId="0" applyNumberFormat="1" applyFont="1" applyFill="1" applyBorder="1" applyAlignment="1">
      <alignment horizontal="center"/>
    </xf>
    <xf numFmtId="2" fontId="11" fillId="38" borderId="86" xfId="0" applyNumberFormat="1" applyFont="1" applyFill="1" applyBorder="1" applyAlignment="1">
      <alignment horizontal="center"/>
    </xf>
    <xf numFmtId="2" fontId="38" fillId="37" borderId="86" xfId="0" applyNumberFormat="1" applyFont="1" applyFill="1" applyBorder="1" applyAlignment="1">
      <alignment horizontal="center"/>
    </xf>
    <xf numFmtId="2" fontId="38" fillId="37" borderId="87" xfId="0" applyNumberFormat="1" applyFont="1" applyFill="1" applyBorder="1" applyAlignment="1">
      <alignment horizontal="center"/>
    </xf>
    <xf numFmtId="2" fontId="38" fillId="37" borderId="88" xfId="0" applyNumberFormat="1" applyFont="1" applyFill="1" applyBorder="1" applyAlignment="1">
      <alignment horizontal="center"/>
    </xf>
    <xf numFmtId="4" fontId="4" fillId="37" borderId="23" xfId="0" applyNumberFormat="1" applyFont="1" applyFill="1" applyBorder="1" applyProtection="1">
      <protection locked="0"/>
    </xf>
    <xf numFmtId="0" fontId="0" fillId="38" borderId="0" xfId="0" applyFill="1" applyProtection="1">
      <protection locked="0"/>
    </xf>
    <xf numFmtId="0" fontId="16" fillId="38" borderId="54" xfId="0" applyFont="1" applyFill="1" applyBorder="1" applyProtection="1">
      <protection locked="0"/>
    </xf>
    <xf numFmtId="4" fontId="4" fillId="31" borderId="23" xfId="0" applyNumberFormat="1" applyFont="1" applyFill="1" applyBorder="1" applyProtection="1">
      <protection locked="0"/>
    </xf>
    <xf numFmtId="0" fontId="16" fillId="38" borderId="53" xfId="0" applyFont="1" applyFill="1" applyBorder="1" applyProtection="1">
      <protection locked="0"/>
    </xf>
    <xf numFmtId="0" fontId="6" fillId="39" borderId="0" xfId="0" applyFont="1" applyFill="1" applyAlignment="1" applyProtection="1">
      <alignment horizontal="center"/>
      <protection locked="0"/>
    </xf>
    <xf numFmtId="0" fontId="7" fillId="40" borderId="0" xfId="0" applyFont="1" applyFill="1" applyProtection="1">
      <protection locked="0"/>
    </xf>
    <xf numFmtId="0" fontId="5" fillId="41" borderId="0" xfId="0" applyFont="1" applyFill="1" applyProtection="1">
      <protection locked="0"/>
    </xf>
    <xf numFmtId="0" fontId="5" fillId="40" borderId="0" xfId="0" applyFont="1" applyFill="1" applyAlignment="1" applyProtection="1">
      <alignment horizontal="center"/>
      <protection locked="0"/>
    </xf>
    <xf numFmtId="0" fontId="0" fillId="40" borderId="0" xfId="0" applyFill="1" applyProtection="1">
      <protection locked="0"/>
    </xf>
    <xf numFmtId="0" fontId="10" fillId="41" borderId="0" xfId="0" applyFont="1" applyFill="1" applyProtection="1">
      <protection locked="0"/>
    </xf>
    <xf numFmtId="0" fontId="11" fillId="41" borderId="0" xfId="0" applyFont="1" applyFill="1" applyProtection="1">
      <protection locked="0"/>
    </xf>
    <xf numFmtId="2" fontId="5" fillId="9" borderId="107" xfId="0" applyNumberFormat="1" applyFont="1" applyFill="1" applyBorder="1" applyAlignment="1">
      <alignment horizontal="left"/>
    </xf>
    <xf numFmtId="2" fontId="5" fillId="9" borderId="65" xfId="0" applyNumberFormat="1" applyFont="1" applyFill="1" applyBorder="1" applyAlignment="1">
      <alignment horizontal="left"/>
    </xf>
    <xf numFmtId="2" fontId="5" fillId="9" borderId="100" xfId="0" applyNumberFormat="1" applyFont="1" applyFill="1" applyBorder="1" applyAlignment="1">
      <alignment horizontal="left"/>
    </xf>
    <xf numFmtId="2" fontId="5" fillId="9" borderId="108" xfId="0" applyNumberFormat="1" applyFont="1" applyFill="1" applyBorder="1" applyAlignment="1">
      <alignment horizontal="left"/>
    </xf>
    <xf numFmtId="0" fontId="15" fillId="0" borderId="109" xfId="0" applyFont="1" applyBorder="1" applyAlignment="1" applyProtection="1">
      <alignment horizontal="left" vertical="center"/>
      <protection locked="0"/>
    </xf>
    <xf numFmtId="0" fontId="15" fillId="8" borderId="109" xfId="0" applyFont="1" applyFill="1" applyBorder="1" applyAlignment="1" applyProtection="1">
      <alignment horizontal="left" vertical="center"/>
      <protection locked="0"/>
    </xf>
    <xf numFmtId="2" fontId="5" fillId="9" borderId="65" xfId="0" applyNumberFormat="1" applyFont="1" applyFill="1" applyBorder="1" applyAlignment="1">
      <alignment horizontal="center" vertical="center"/>
    </xf>
    <xf numFmtId="0" fontId="37" fillId="34" borderId="26" xfId="0" applyFont="1" applyFill="1" applyBorder="1" applyAlignment="1">
      <alignment horizontal="center"/>
    </xf>
    <xf numFmtId="2" fontId="38" fillId="31" borderId="111" xfId="0" applyNumberFormat="1" applyFont="1" applyFill="1" applyBorder="1" applyAlignment="1">
      <alignment horizontal="center"/>
    </xf>
    <xf numFmtId="2" fontId="38" fillId="43" borderId="64" xfId="0" applyNumberFormat="1" applyFont="1" applyFill="1" applyBorder="1" applyAlignment="1">
      <alignment horizontal="center"/>
    </xf>
    <xf numFmtId="0" fontId="0" fillId="42" borderId="0" xfId="0" applyFill="1"/>
    <xf numFmtId="0" fontId="38" fillId="42" borderId="85" xfId="0" applyFont="1" applyFill="1" applyBorder="1" applyAlignment="1">
      <alignment horizontal="center" vertical="center" textRotation="90"/>
    </xf>
    <xf numFmtId="2" fontId="11" fillId="42" borderId="69" xfId="0" applyNumberFormat="1" applyFont="1" applyFill="1" applyBorder="1" applyAlignment="1">
      <alignment horizontal="center"/>
    </xf>
    <xf numFmtId="2" fontId="11" fillId="42" borderId="97" xfId="0" applyNumberFormat="1" applyFont="1" applyFill="1" applyBorder="1" applyAlignment="1">
      <alignment horizontal="center"/>
    </xf>
    <xf numFmtId="0" fontId="38" fillId="42" borderId="88" xfId="0" applyFont="1" applyFill="1" applyBorder="1" applyAlignment="1">
      <alignment horizontal="center" vertical="center" textRotation="90"/>
    </xf>
    <xf numFmtId="2" fontId="11" fillId="42" borderId="65" xfId="0" applyNumberFormat="1" applyFont="1" applyFill="1" applyBorder="1" applyAlignment="1">
      <alignment horizontal="center"/>
    </xf>
    <xf numFmtId="2" fontId="11" fillId="42" borderId="100" xfId="0" applyNumberFormat="1" applyFont="1" applyFill="1" applyBorder="1" applyAlignment="1">
      <alignment horizontal="center"/>
    </xf>
    <xf numFmtId="0" fontId="0" fillId="9" borderId="61" xfId="0" applyFill="1" applyBorder="1" applyAlignment="1" applyProtection="1">
      <alignment horizontal="center" vertical="center"/>
      <protection locked="0"/>
    </xf>
    <xf numFmtId="0" fontId="0" fillId="9" borderId="62" xfId="0" applyFill="1" applyBorder="1" applyAlignment="1" applyProtection="1">
      <alignment horizontal="center"/>
      <protection locked="0"/>
    </xf>
    <xf numFmtId="0" fontId="2" fillId="9" borderId="0" xfId="0" applyFont="1" applyFill="1" applyAlignment="1" applyProtection="1">
      <alignment horizontal="center" vertical="center"/>
      <protection locked="0"/>
    </xf>
    <xf numFmtId="0" fontId="37" fillId="34" borderId="26" xfId="0" applyFont="1" applyFill="1" applyBorder="1" applyAlignment="1">
      <alignment horizontal="center"/>
    </xf>
    <xf numFmtId="0" fontId="2" fillId="9" borderId="0" xfId="0" applyFont="1" applyFill="1" applyAlignment="1" applyProtection="1">
      <alignment horizontal="center"/>
      <protection locked="0"/>
    </xf>
    <xf numFmtId="2" fontId="5" fillId="9" borderId="65" xfId="0" applyNumberFormat="1" applyFont="1" applyFill="1" applyBorder="1" applyAlignment="1">
      <alignment horizontal="center"/>
    </xf>
    <xf numFmtId="2" fontId="0" fillId="0" borderId="61" xfId="0" applyNumberFormat="1" applyBorder="1" applyAlignment="1">
      <alignment horizontal="center"/>
    </xf>
    <xf numFmtId="2" fontId="0" fillId="0" borderId="61" xfId="0" applyNumberFormat="1" applyFont="1" applyFill="1" applyBorder="1" applyAlignment="1" applyProtection="1">
      <alignment horizontal="center" wrapText="1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0" fillId="9" borderId="0" xfId="0" applyFill="1" applyBorder="1" applyAlignment="1" applyProtection="1">
      <alignment horizontal="center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2" fontId="5" fillId="27" borderId="52" xfId="0" applyNumberFormat="1" applyFont="1" applyFill="1" applyBorder="1" applyAlignment="1">
      <alignment horizontal="center"/>
    </xf>
    <xf numFmtId="2" fontId="5" fillId="27" borderId="48" xfId="0" applyNumberFormat="1" applyFont="1" applyFill="1" applyBorder="1" applyAlignment="1">
      <alignment horizontal="center"/>
    </xf>
    <xf numFmtId="0" fontId="2" fillId="9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2" fontId="5" fillId="27" borderId="57" xfId="0" applyNumberFormat="1" applyFont="1" applyFill="1" applyBorder="1" applyAlignment="1">
      <alignment horizontal="center"/>
    </xf>
    <xf numFmtId="2" fontId="5" fillId="46" borderId="52" xfId="0" applyNumberFormat="1" applyFont="1" applyFill="1" applyBorder="1" applyAlignment="1">
      <alignment horizontal="center"/>
    </xf>
    <xf numFmtId="2" fontId="5" fillId="46" borderId="48" xfId="0" applyNumberFormat="1" applyFont="1" applyFill="1" applyBorder="1" applyAlignment="1">
      <alignment horizontal="center"/>
    </xf>
    <xf numFmtId="2" fontId="5" fillId="46" borderId="57" xfId="0" applyNumberFormat="1" applyFont="1" applyFill="1" applyBorder="1" applyAlignment="1">
      <alignment horizontal="center"/>
    </xf>
    <xf numFmtId="0" fontId="38" fillId="46" borderId="88" xfId="0" applyFont="1" applyFill="1" applyBorder="1" applyAlignment="1">
      <alignment horizontal="center" vertical="center" textRotation="90"/>
    </xf>
    <xf numFmtId="0" fontId="38" fillId="46" borderId="86" xfId="0" applyFont="1" applyFill="1" applyBorder="1" applyAlignment="1">
      <alignment horizontal="center" vertical="center" textRotation="90"/>
    </xf>
    <xf numFmtId="2" fontId="11" fillId="46" borderId="65" xfId="0" applyNumberFormat="1" applyFont="1" applyFill="1" applyBorder="1" applyAlignment="1">
      <alignment horizontal="center"/>
    </xf>
    <xf numFmtId="2" fontId="11" fillId="46" borderId="66" xfId="0" applyNumberFormat="1" applyFont="1" applyFill="1" applyBorder="1" applyAlignment="1">
      <alignment horizontal="center"/>
    </xf>
    <xf numFmtId="2" fontId="11" fillId="46" borderId="98" xfId="0" applyNumberFormat="1" applyFont="1" applyFill="1" applyBorder="1" applyAlignment="1">
      <alignment horizontal="center"/>
    </xf>
    <xf numFmtId="2" fontId="11" fillId="46" borderId="61" xfId="0" applyNumberFormat="1" applyFont="1" applyFill="1" applyBorder="1" applyAlignment="1">
      <alignment horizontal="center"/>
    </xf>
    <xf numFmtId="2" fontId="11" fillId="47" borderId="66" xfId="0" applyNumberFormat="1" applyFont="1" applyFill="1" applyBorder="1" applyAlignment="1">
      <alignment horizontal="center"/>
    </xf>
    <xf numFmtId="2" fontId="11" fillId="47" borderId="98" xfId="0" applyNumberFormat="1" applyFont="1" applyFill="1" applyBorder="1" applyAlignment="1">
      <alignment horizontal="center"/>
    </xf>
    <xf numFmtId="2" fontId="38" fillId="48" borderId="34" xfId="0" applyNumberFormat="1" applyFont="1" applyFill="1" applyBorder="1" applyAlignment="1">
      <alignment horizontal="center"/>
    </xf>
    <xf numFmtId="2" fontId="38" fillId="48" borderId="64" xfId="0" applyNumberFormat="1" applyFont="1" applyFill="1" applyBorder="1" applyAlignment="1">
      <alignment horizontal="center"/>
    </xf>
    <xf numFmtId="0" fontId="39" fillId="24" borderId="35" xfId="0" applyFont="1" applyFill="1" applyBorder="1" applyAlignment="1" applyProtection="1">
      <alignment horizontal="center" vertical="center" textRotation="90" wrapText="1"/>
      <protection locked="0"/>
    </xf>
    <xf numFmtId="0" fontId="39" fillId="24" borderId="40" xfId="0" applyFont="1" applyFill="1" applyBorder="1" applyAlignment="1" applyProtection="1">
      <alignment horizontal="center" vertical="center" textRotation="90" wrapText="1"/>
      <protection locked="0"/>
    </xf>
    <xf numFmtId="0" fontId="39" fillId="24" borderId="91" xfId="0" applyFont="1" applyFill="1" applyBorder="1" applyAlignment="1" applyProtection="1">
      <alignment horizontal="center" vertical="center" textRotation="90" wrapText="1"/>
      <protection locked="0"/>
    </xf>
    <xf numFmtId="2" fontId="11" fillId="24" borderId="65" xfId="0" applyNumberFormat="1" applyFont="1" applyFill="1" applyBorder="1" applyAlignment="1">
      <alignment horizontal="center"/>
    </xf>
    <xf numFmtId="2" fontId="38" fillId="36" borderId="64" xfId="0" applyNumberFormat="1" applyFont="1" applyFill="1" applyBorder="1" applyAlignment="1">
      <alignment horizontal="center"/>
    </xf>
    <xf numFmtId="2" fontId="4" fillId="36" borderId="105" xfId="0" applyNumberFormat="1" applyFont="1" applyFill="1" applyBorder="1" applyAlignment="1">
      <alignment horizontal="center"/>
    </xf>
    <xf numFmtId="2" fontId="38" fillId="50" borderId="64" xfId="0" applyNumberFormat="1" applyFont="1" applyFill="1" applyBorder="1" applyAlignment="1">
      <alignment horizontal="center"/>
    </xf>
    <xf numFmtId="4" fontId="4" fillId="49" borderId="104" xfId="0" applyNumberFormat="1" applyFont="1" applyFill="1" applyBorder="1" applyProtection="1">
      <protection locked="0"/>
    </xf>
    <xf numFmtId="0" fontId="5" fillId="5" borderId="0" xfId="0" applyFont="1" applyFill="1" applyProtection="1">
      <protection locked="0"/>
    </xf>
    <xf numFmtId="0" fontId="19" fillId="7" borderId="18" xfId="0" applyFont="1" applyFill="1" applyBorder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0" fontId="19" fillId="7" borderId="19" xfId="0" applyFont="1" applyFill="1" applyBorder="1" applyAlignment="1" applyProtection="1">
      <alignment horizontal="center" vertical="center"/>
      <protection locked="0"/>
    </xf>
    <xf numFmtId="0" fontId="19" fillId="7" borderId="20" xfId="0" applyFont="1" applyFill="1" applyBorder="1" applyAlignment="1" applyProtection="1">
      <alignment horizontal="center" vertical="center"/>
      <protection locked="0"/>
    </xf>
    <xf numFmtId="0" fontId="19" fillId="7" borderId="21" xfId="0" applyFont="1" applyFill="1" applyBorder="1" applyAlignment="1" applyProtection="1">
      <alignment horizontal="center" vertical="center"/>
      <protection locked="0"/>
    </xf>
    <xf numFmtId="0" fontId="19" fillId="7" borderId="22" xfId="0" applyFont="1" applyFill="1" applyBorder="1" applyAlignment="1" applyProtection="1">
      <alignment horizontal="center" vertical="center"/>
      <protection locked="0"/>
    </xf>
    <xf numFmtId="0" fontId="22" fillId="10" borderId="15" xfId="0" applyFont="1" applyFill="1" applyBorder="1" applyAlignment="1">
      <alignment horizontal="center"/>
    </xf>
    <xf numFmtId="0" fontId="22" fillId="10" borderId="16" xfId="0" applyFont="1" applyFill="1" applyBorder="1" applyAlignment="1">
      <alignment horizontal="center"/>
    </xf>
    <xf numFmtId="0" fontId="22" fillId="10" borderId="17" xfId="0" applyFont="1" applyFill="1" applyBorder="1" applyAlignment="1">
      <alignment horizontal="center"/>
    </xf>
    <xf numFmtId="0" fontId="22" fillId="10" borderId="18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22" fillId="10" borderId="19" xfId="0" applyFont="1" applyFill="1" applyBorder="1" applyAlignment="1">
      <alignment horizontal="center"/>
    </xf>
    <xf numFmtId="165" fontId="22" fillId="10" borderId="18" xfId="0" applyNumberFormat="1" applyFont="1" applyFill="1" applyBorder="1" applyAlignment="1">
      <alignment horizontal="center"/>
    </xf>
    <xf numFmtId="165" fontId="22" fillId="10" borderId="0" xfId="0" applyNumberFormat="1" applyFont="1" applyFill="1" applyAlignment="1">
      <alignment horizontal="center"/>
    </xf>
    <xf numFmtId="165" fontId="22" fillId="10" borderId="19" xfId="0" applyNumberFormat="1" applyFont="1" applyFill="1" applyBorder="1" applyAlignment="1">
      <alignment horizontal="center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left"/>
      <protection locked="0"/>
    </xf>
    <xf numFmtId="0" fontId="16" fillId="0" borderId="13" xfId="0" applyFont="1" applyBorder="1" applyAlignment="1" applyProtection="1">
      <alignment horizontal="left"/>
      <protection locked="0"/>
    </xf>
    <xf numFmtId="0" fontId="16" fillId="0" borderId="14" xfId="0" applyFont="1" applyBorder="1" applyAlignment="1" applyProtection="1">
      <alignment horizontal="left"/>
      <protection locked="0"/>
    </xf>
    <xf numFmtId="0" fontId="22" fillId="10" borderId="20" xfId="0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/>
    </xf>
    <xf numFmtId="0" fontId="22" fillId="10" borderId="22" xfId="0" applyFont="1" applyFill="1" applyBorder="1" applyAlignment="1">
      <alignment horizontal="center"/>
    </xf>
    <xf numFmtId="0" fontId="18" fillId="7" borderId="15" xfId="0" applyFont="1" applyFill="1" applyBorder="1" applyAlignment="1" applyProtection="1">
      <alignment horizontal="center" vertical="center"/>
      <protection locked="0"/>
    </xf>
    <xf numFmtId="0" fontId="18" fillId="7" borderId="16" xfId="0" applyFont="1" applyFill="1" applyBorder="1" applyAlignment="1" applyProtection="1">
      <alignment horizontal="center" vertical="center"/>
      <protection locked="0"/>
    </xf>
    <xf numFmtId="0" fontId="18" fillId="7" borderId="17" xfId="0" applyFont="1" applyFill="1" applyBorder="1" applyAlignment="1" applyProtection="1">
      <alignment horizontal="center" vertical="center"/>
      <protection locked="0"/>
    </xf>
    <xf numFmtId="0" fontId="18" fillId="7" borderId="18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Alignment="1" applyProtection="1">
      <alignment horizontal="center" vertical="center"/>
      <protection locked="0"/>
    </xf>
    <xf numFmtId="0" fontId="18" fillId="7" borderId="19" xfId="0" applyFont="1" applyFill="1" applyBorder="1" applyAlignment="1" applyProtection="1">
      <alignment horizontal="center" vertical="center"/>
      <protection locked="0"/>
    </xf>
    <xf numFmtId="0" fontId="0" fillId="40" borderId="0" xfId="0" applyFill="1"/>
    <xf numFmtId="0" fontId="4" fillId="3" borderId="0" xfId="0" applyFont="1" applyFill="1" applyAlignment="1" applyProtection="1">
      <alignment horizontal="left"/>
      <protection locked="0"/>
    </xf>
    <xf numFmtId="0" fontId="2" fillId="40" borderId="0" xfId="0" applyFont="1" applyFill="1" applyProtection="1">
      <protection locked="0"/>
    </xf>
    <xf numFmtId="0" fontId="14" fillId="40" borderId="0" xfId="0" applyFont="1" applyFill="1" applyAlignment="1" applyProtection="1">
      <alignment horizontal="center" vertical="center" wrapText="1"/>
      <protection locked="0"/>
    </xf>
    <xf numFmtId="0" fontId="16" fillId="0" borderId="7" xfId="0" applyFont="1" applyBorder="1" applyAlignment="1" applyProtection="1">
      <alignment horizontal="left"/>
      <protection locked="0"/>
    </xf>
    <xf numFmtId="0" fontId="16" fillId="0" borderId="8" xfId="0" applyFont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8" fillId="40" borderId="0" xfId="0" applyFont="1" applyFill="1" applyAlignment="1">
      <alignment horizontal="center" vertical="center"/>
    </xf>
    <xf numFmtId="0" fontId="6" fillId="39" borderId="0" xfId="0" applyFont="1" applyFill="1" applyAlignment="1" applyProtection="1">
      <alignment horizontal="center"/>
      <protection locked="0"/>
    </xf>
    <xf numFmtId="0" fontId="2" fillId="40" borderId="0" xfId="0" applyFont="1" applyFill="1" applyAlignment="1" applyProtection="1">
      <alignment horizontal="center" vertical="center" wrapText="1"/>
      <protection locked="0"/>
    </xf>
    <xf numFmtId="0" fontId="25" fillId="12" borderId="26" xfId="0" applyFont="1" applyFill="1" applyBorder="1" applyAlignment="1" applyProtection="1">
      <alignment horizontal="center" vertical="center" wrapText="1"/>
      <protection locked="0"/>
    </xf>
    <xf numFmtId="0" fontId="25" fillId="12" borderId="35" xfId="0" applyFont="1" applyFill="1" applyBorder="1" applyAlignment="1" applyProtection="1">
      <alignment horizontal="center" vertical="center" wrapText="1"/>
      <protection locked="0"/>
    </xf>
    <xf numFmtId="0" fontId="25" fillId="12" borderId="29" xfId="0" applyFont="1" applyFill="1" applyBorder="1" applyAlignment="1" applyProtection="1">
      <alignment horizontal="center" vertical="center" wrapText="1"/>
      <protection locked="0"/>
    </xf>
    <xf numFmtId="0" fontId="25" fillId="12" borderId="36" xfId="0" applyFont="1" applyFill="1" applyBorder="1" applyAlignment="1" applyProtection="1">
      <alignment horizontal="center" vertical="center" wrapText="1"/>
      <protection locked="0"/>
    </xf>
    <xf numFmtId="9" fontId="7" fillId="12" borderId="28" xfId="0" applyNumberFormat="1" applyFont="1" applyFill="1" applyBorder="1" applyAlignment="1" applyProtection="1">
      <alignment horizontal="center" vertical="center"/>
      <protection locked="0"/>
    </xf>
    <xf numFmtId="9" fontId="7" fillId="12" borderId="26" xfId="0" applyNumberFormat="1" applyFont="1" applyFill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29" fillId="12" borderId="4" xfId="0" applyFont="1" applyFill="1" applyBorder="1" applyAlignment="1" applyProtection="1">
      <alignment horizontal="center" textRotation="90" wrapText="1"/>
      <protection locked="0"/>
    </xf>
    <xf numFmtId="0" fontId="29" fillId="12" borderId="30" xfId="0" applyFont="1" applyFill="1" applyBorder="1" applyAlignment="1" applyProtection="1">
      <alignment horizontal="center" textRotation="90" wrapText="1"/>
      <protection locked="0"/>
    </xf>
    <xf numFmtId="0" fontId="26" fillId="0" borderId="26" xfId="0" applyFont="1" applyBorder="1" applyAlignment="1" applyProtection="1">
      <alignment horizontal="center" vertical="center"/>
      <protection locked="0"/>
    </xf>
    <xf numFmtId="0" fontId="26" fillId="0" borderId="31" xfId="0" applyFont="1" applyBorder="1" applyAlignment="1" applyProtection="1">
      <alignment horizontal="center" vertical="center"/>
      <protection locked="0"/>
    </xf>
    <xf numFmtId="0" fontId="26" fillId="0" borderId="32" xfId="0" applyFont="1" applyBorder="1" applyAlignment="1" applyProtection="1">
      <alignment horizontal="center" vertical="center"/>
      <protection locked="0"/>
    </xf>
    <xf numFmtId="0" fontId="27" fillId="12" borderId="2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3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7" xfId="0" applyFont="1" applyFill="1" applyBorder="1" applyAlignment="1" applyProtection="1">
      <alignment horizontal="center" vertical="center" textRotation="90" wrapText="1"/>
      <protection locked="0"/>
    </xf>
    <xf numFmtId="0" fontId="27" fillId="12" borderId="38" xfId="0" applyFont="1" applyFill="1" applyBorder="1" applyAlignment="1" applyProtection="1">
      <alignment horizontal="center" vertical="center" textRotation="90" wrapText="1"/>
      <protection locked="0"/>
    </xf>
    <xf numFmtId="0" fontId="29" fillId="44" borderId="4" xfId="0" applyFont="1" applyFill="1" applyBorder="1" applyAlignment="1" applyProtection="1">
      <alignment horizontal="center" textRotation="90" wrapText="1"/>
      <protection locked="0"/>
    </xf>
    <xf numFmtId="0" fontId="29" fillId="44" borderId="30" xfId="0" applyFont="1" applyFill="1" applyBorder="1" applyAlignment="1" applyProtection="1">
      <alignment horizontal="center" textRotation="90" wrapText="1"/>
      <protection locked="0"/>
    </xf>
    <xf numFmtId="0" fontId="26" fillId="11" borderId="2" xfId="0" applyFont="1" applyFill="1" applyBorder="1" applyAlignment="1" applyProtection="1">
      <alignment horizontal="center" wrapText="1"/>
      <protection locked="0"/>
    </xf>
    <xf numFmtId="0" fontId="26" fillId="11" borderId="0" xfId="0" applyFont="1" applyFill="1" applyAlignment="1" applyProtection="1">
      <alignment horizontal="center" wrapText="1"/>
      <protection locked="0"/>
    </xf>
    <xf numFmtId="0" fontId="26" fillId="11" borderId="59" xfId="0" applyFont="1" applyFill="1" applyBorder="1" applyAlignment="1" applyProtection="1">
      <alignment horizontal="center" wrapText="1"/>
      <protection locked="0"/>
    </xf>
    <xf numFmtId="0" fontId="29" fillId="44" borderId="114" xfId="0" applyFont="1" applyFill="1" applyBorder="1" applyAlignment="1" applyProtection="1">
      <alignment horizontal="center" textRotation="90" wrapText="1"/>
      <protection locked="0"/>
    </xf>
    <xf numFmtId="0" fontId="23" fillId="11" borderId="0" xfId="0" applyFont="1" applyFill="1" applyAlignment="1" applyProtection="1">
      <alignment horizontal="center"/>
      <protection locked="0"/>
    </xf>
    <xf numFmtId="0" fontId="2" fillId="9" borderId="48" xfId="0" applyFont="1" applyFill="1" applyBorder="1" applyAlignment="1" applyProtection="1">
      <alignment horizontal="center"/>
      <protection locked="0"/>
    </xf>
    <xf numFmtId="0" fontId="1" fillId="9" borderId="48" xfId="0" applyFont="1" applyFill="1" applyBorder="1" applyAlignment="1" applyProtection="1">
      <alignment horizontal="center" vertical="center"/>
      <protection locked="0"/>
    </xf>
    <xf numFmtId="0" fontId="0" fillId="9" borderId="48" xfId="0" applyFill="1" applyBorder="1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25" fillId="12" borderId="4" xfId="0" applyFont="1" applyFill="1" applyBorder="1" applyAlignment="1" applyProtection="1">
      <alignment horizontal="center" vertical="center"/>
      <protection locked="0"/>
    </xf>
    <xf numFmtId="0" fontId="25" fillId="12" borderId="30" xfId="0" applyFont="1" applyFill="1" applyBorder="1" applyAlignment="1" applyProtection="1">
      <alignment horizontal="center" vertical="center"/>
      <protection locked="0"/>
    </xf>
    <xf numFmtId="0" fontId="25" fillId="12" borderId="35" xfId="0" applyFont="1" applyFill="1" applyBorder="1" applyAlignment="1" applyProtection="1">
      <alignment horizontal="center" vertical="center"/>
      <protection locked="0"/>
    </xf>
    <xf numFmtId="0" fontId="25" fillId="12" borderId="40" xfId="0" applyFont="1" applyFill="1" applyBorder="1" applyAlignment="1" applyProtection="1">
      <alignment horizontal="center" vertical="center"/>
      <protection locked="0"/>
    </xf>
    <xf numFmtId="0" fontId="10" fillId="9" borderId="48" xfId="0" applyFont="1" applyFill="1" applyBorder="1" applyAlignment="1" applyProtection="1">
      <alignment horizontal="center"/>
      <protection locked="0"/>
    </xf>
    <xf numFmtId="0" fontId="26" fillId="11" borderId="24" xfId="0" applyFont="1" applyFill="1" applyBorder="1" applyAlignment="1" applyProtection="1">
      <alignment horizontal="center" wrapText="1"/>
      <protection locked="0"/>
    </xf>
    <xf numFmtId="0" fontId="26" fillId="11" borderId="25" xfId="0" applyFont="1" applyFill="1" applyBorder="1" applyAlignment="1" applyProtection="1">
      <alignment horizontal="center" wrapText="1"/>
      <protection locked="0"/>
    </xf>
    <xf numFmtId="0" fontId="26" fillId="11" borderId="63" xfId="0" applyFont="1" applyFill="1" applyBorder="1" applyAlignment="1" applyProtection="1">
      <alignment horizontal="center" wrapText="1"/>
      <protection locked="0"/>
    </xf>
    <xf numFmtId="0" fontId="16" fillId="9" borderId="54" xfId="0" applyFont="1" applyFill="1" applyBorder="1" applyAlignment="1" applyProtection="1">
      <alignment horizontal="center"/>
      <protection locked="0"/>
    </xf>
    <xf numFmtId="0" fontId="16" fillId="9" borderId="55" xfId="0" applyFont="1" applyFill="1" applyBorder="1" applyAlignment="1" applyProtection="1">
      <alignment horizontal="center"/>
      <protection locked="0"/>
    </xf>
    <xf numFmtId="0" fontId="31" fillId="17" borderId="0" xfId="0" applyFont="1" applyFill="1" applyAlignment="1" applyProtection="1">
      <alignment horizontal="center"/>
      <protection locked="0"/>
    </xf>
    <xf numFmtId="0" fontId="31" fillId="17" borderId="60" xfId="0" applyFont="1" applyFill="1" applyBorder="1" applyAlignment="1" applyProtection="1">
      <alignment horizontal="center"/>
      <protection locked="0"/>
    </xf>
    <xf numFmtId="0" fontId="28" fillId="24" borderId="23" xfId="0" applyFont="1" applyFill="1" applyBorder="1" applyAlignment="1">
      <alignment horizontal="center" vertical="center" textRotation="255" wrapText="1"/>
    </xf>
    <xf numFmtId="0" fontId="28" fillId="20" borderId="23" xfId="0" applyFont="1" applyFill="1" applyBorder="1" applyAlignment="1">
      <alignment horizontal="center" vertical="center"/>
    </xf>
    <xf numFmtId="0" fontId="29" fillId="19" borderId="23" xfId="0" applyFont="1" applyFill="1" applyBorder="1" applyAlignment="1">
      <alignment horizontal="center" vertical="center"/>
    </xf>
    <xf numFmtId="0" fontId="28" fillId="12" borderId="23" xfId="0" applyFont="1" applyFill="1" applyBorder="1" applyAlignment="1">
      <alignment horizontal="center" vertical="center"/>
    </xf>
    <xf numFmtId="0" fontId="34" fillId="0" borderId="53" xfId="0" applyFont="1" applyBorder="1" applyAlignment="1" applyProtection="1">
      <alignment horizontal="center"/>
      <protection locked="0"/>
    </xf>
    <xf numFmtId="0" fontId="34" fillId="0" borderId="54" xfId="0" applyFont="1" applyBorder="1" applyAlignment="1" applyProtection="1">
      <alignment horizontal="center"/>
      <protection locked="0"/>
    </xf>
    <xf numFmtId="0" fontId="34" fillId="0" borderId="55" xfId="0" applyFont="1" applyBorder="1" applyAlignment="1" applyProtection="1">
      <alignment horizontal="center"/>
      <protection locked="0"/>
    </xf>
    <xf numFmtId="0" fontId="28" fillId="18" borderId="23" xfId="0" applyFont="1" applyFill="1" applyBorder="1" applyAlignment="1" applyProtection="1">
      <alignment horizontal="center" vertical="center"/>
      <protection locked="0"/>
    </xf>
    <xf numFmtId="9" fontId="28" fillId="21" borderId="23" xfId="0" applyNumberFormat="1" applyFont="1" applyFill="1" applyBorder="1" applyAlignment="1">
      <alignment horizontal="center" vertical="center" textRotation="90" wrapText="1"/>
    </xf>
    <xf numFmtId="9" fontId="28" fillId="30" borderId="23" xfId="0" applyNumberFormat="1" applyFont="1" applyFill="1" applyBorder="1" applyAlignment="1">
      <alignment horizontal="center" vertical="center" textRotation="90" wrapText="1"/>
    </xf>
    <xf numFmtId="0" fontId="28" fillId="30" borderId="23" xfId="0" applyFont="1" applyFill="1" applyBorder="1" applyAlignment="1">
      <alignment horizontal="center" vertical="center" textRotation="90" wrapText="1"/>
    </xf>
    <xf numFmtId="0" fontId="29" fillId="12" borderId="23" xfId="0" applyFont="1" applyFill="1" applyBorder="1" applyAlignment="1">
      <alignment horizontal="center" vertical="center" wrapText="1"/>
    </xf>
    <xf numFmtId="0" fontId="28" fillId="29" borderId="23" xfId="0" applyFont="1" applyFill="1" applyBorder="1" applyAlignment="1">
      <alignment horizontal="center" vertical="center" textRotation="90" wrapText="1"/>
    </xf>
    <xf numFmtId="0" fontId="7" fillId="9" borderId="23" xfId="0" applyFont="1" applyFill="1" applyBorder="1"/>
    <xf numFmtId="0" fontId="29" fillId="18" borderId="93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4" xfId="0" applyFont="1" applyFill="1" applyBorder="1" applyAlignment="1" applyProtection="1">
      <alignment horizontal="center" vertical="center" textRotation="90" wrapText="1"/>
      <protection locked="0"/>
    </xf>
    <xf numFmtId="0" fontId="29" fillId="18" borderId="95" xfId="0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>
      <alignment horizontal="center" vertical="center"/>
    </xf>
    <xf numFmtId="0" fontId="26" fillId="23" borderId="23" xfId="0" applyFont="1" applyFill="1" applyBorder="1" applyAlignment="1">
      <alignment horizontal="center" vertical="center"/>
    </xf>
    <xf numFmtId="0" fontId="28" fillId="27" borderId="23" xfId="0" applyFont="1" applyFill="1" applyBorder="1" applyAlignment="1" applyProtection="1">
      <alignment horizontal="center" vertical="center" textRotation="89"/>
      <protection locked="0"/>
    </xf>
    <xf numFmtId="0" fontId="7" fillId="27" borderId="23" xfId="0" applyFont="1" applyFill="1" applyBorder="1" applyProtection="1">
      <protection locked="0"/>
    </xf>
    <xf numFmtId="0" fontId="28" fillId="26" borderId="23" xfId="0" applyFont="1" applyFill="1" applyBorder="1" applyAlignment="1">
      <alignment horizontal="center" vertical="center" textRotation="90" wrapText="1"/>
    </xf>
    <xf numFmtId="0" fontId="7" fillId="24" borderId="23" xfId="0" applyFont="1" applyFill="1" applyBorder="1"/>
    <xf numFmtId="0" fontId="28" fillId="27" borderId="23" xfId="0" applyFont="1" applyFill="1" applyBorder="1" applyAlignment="1">
      <alignment horizontal="center" vertical="center" textRotation="90" wrapText="1"/>
    </xf>
    <xf numFmtId="0" fontId="7" fillId="27" borderId="23" xfId="0" applyFont="1" applyFill="1" applyBorder="1" applyAlignment="1">
      <alignment wrapText="1"/>
    </xf>
    <xf numFmtId="0" fontId="30" fillId="11" borderId="0" xfId="0" applyFont="1" applyFill="1" applyAlignment="1" applyProtection="1">
      <alignment horizontal="center" wrapText="1"/>
      <protection locked="0"/>
    </xf>
    <xf numFmtId="0" fontId="33" fillId="9" borderId="53" xfId="0" applyFont="1" applyFill="1" applyBorder="1" applyAlignment="1" applyProtection="1">
      <alignment horizontal="center"/>
      <protection locked="0"/>
    </xf>
    <xf numFmtId="0" fontId="33" fillId="9" borderId="54" xfId="0" applyFont="1" applyFill="1" applyBorder="1" applyAlignment="1" applyProtection="1">
      <alignment horizontal="center"/>
      <protection locked="0"/>
    </xf>
    <xf numFmtId="0" fontId="33" fillId="9" borderId="55" xfId="0" applyFont="1" applyFill="1" applyBorder="1" applyAlignment="1" applyProtection="1">
      <alignment horizontal="center"/>
      <protection locked="0"/>
    </xf>
    <xf numFmtId="0" fontId="34" fillId="9" borderId="53" xfId="0" applyFont="1" applyFill="1" applyBorder="1" applyAlignment="1" applyProtection="1">
      <alignment horizontal="center"/>
      <protection locked="0"/>
    </xf>
    <xf numFmtId="0" fontId="34" fillId="9" borderId="54" xfId="0" applyFont="1" applyFill="1" applyBorder="1" applyAlignment="1" applyProtection="1">
      <alignment horizontal="center"/>
      <protection locked="0"/>
    </xf>
    <xf numFmtId="0" fontId="34" fillId="9" borderId="55" xfId="0" applyFont="1" applyFill="1" applyBorder="1" applyAlignment="1" applyProtection="1">
      <alignment horizontal="center"/>
      <protection locked="0"/>
    </xf>
    <xf numFmtId="0" fontId="32" fillId="9" borderId="53" xfId="0" applyFont="1" applyFill="1" applyBorder="1" applyAlignment="1" applyProtection="1">
      <alignment horizontal="center"/>
      <protection locked="0"/>
    </xf>
    <xf numFmtId="0" fontId="32" fillId="9" borderId="54" xfId="0" applyFont="1" applyFill="1" applyBorder="1" applyAlignment="1" applyProtection="1">
      <alignment horizontal="center"/>
      <protection locked="0"/>
    </xf>
    <xf numFmtId="0" fontId="32" fillId="9" borderId="55" xfId="0" applyFont="1" applyFill="1" applyBorder="1" applyAlignment="1" applyProtection="1">
      <alignment horizontal="center"/>
      <protection locked="0"/>
    </xf>
    <xf numFmtId="0" fontId="32" fillId="9" borderId="23" xfId="0" applyFont="1" applyFill="1" applyBorder="1" applyAlignment="1" applyProtection="1">
      <alignment horizontal="center"/>
      <protection locked="0"/>
    </xf>
    <xf numFmtId="14" fontId="0" fillId="9" borderId="0" xfId="0" applyNumberFormat="1" applyFill="1" applyAlignment="1" applyProtection="1">
      <alignment horizontal="center"/>
      <protection locked="0"/>
    </xf>
    <xf numFmtId="0" fontId="35" fillId="9" borderId="23" xfId="0" applyFont="1" applyFill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 wrapText="1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0" fillId="0" borderId="61" xfId="0" applyBorder="1" applyAlignment="1" applyProtection="1">
      <alignment horizontal="center" vertical="center" wrapText="1"/>
      <protection locked="0"/>
    </xf>
    <xf numFmtId="0" fontId="0" fillId="9" borderId="48" xfId="0" applyFont="1" applyFill="1" applyBorder="1" applyAlignment="1" applyProtection="1">
      <alignment horizontal="center" vertical="center"/>
      <protection locked="0"/>
    </xf>
    <xf numFmtId="0" fontId="29" fillId="45" borderId="4" xfId="0" applyFont="1" applyFill="1" applyBorder="1" applyAlignment="1" applyProtection="1">
      <alignment horizontal="center" textRotation="90" wrapText="1"/>
      <protection locked="0"/>
    </xf>
    <xf numFmtId="0" fontId="29" fillId="45" borderId="30" xfId="0" applyFont="1" applyFill="1" applyBorder="1" applyAlignment="1" applyProtection="1">
      <alignment horizontal="center" textRotation="90" wrapText="1"/>
      <protection locked="0"/>
    </xf>
    <xf numFmtId="0" fontId="28" fillId="12" borderId="23" xfId="0" applyFont="1" applyFill="1" applyBorder="1" applyAlignment="1" applyProtection="1">
      <alignment horizontal="center" vertical="center"/>
      <protection locked="0"/>
    </xf>
    <xf numFmtId="0" fontId="28" fillId="26" borderId="23" xfId="0" applyFont="1" applyFill="1" applyBorder="1" applyAlignment="1" applyProtection="1">
      <alignment horizontal="center" vertical="center" textRotation="90" wrapText="1"/>
      <protection locked="0"/>
    </xf>
    <xf numFmtId="0" fontId="7" fillId="24" borderId="23" xfId="0" applyFont="1" applyFill="1" applyBorder="1" applyProtection="1">
      <protection locked="0"/>
    </xf>
    <xf numFmtId="0" fontId="29" fillId="19" borderId="23" xfId="0" applyFont="1" applyFill="1" applyBorder="1" applyAlignment="1" applyProtection="1">
      <alignment horizontal="center" vertical="center"/>
      <protection locked="0"/>
    </xf>
    <xf numFmtId="0" fontId="28" fillId="20" borderId="23" xfId="0" applyFont="1" applyFill="1" applyBorder="1" applyAlignment="1" applyProtection="1">
      <alignment horizontal="center" vertical="center"/>
      <protection locked="0"/>
    </xf>
    <xf numFmtId="0" fontId="28" fillId="24" borderId="23" xfId="0" applyFont="1" applyFill="1" applyBorder="1" applyAlignment="1" applyProtection="1">
      <alignment horizontal="center" vertical="center" textRotation="255" wrapText="1"/>
      <protection locked="0"/>
    </xf>
    <xf numFmtId="0" fontId="29" fillId="12" borderId="23" xfId="0" applyFont="1" applyFill="1" applyBorder="1" applyAlignment="1" applyProtection="1">
      <alignment horizontal="center" vertical="center" wrapText="1"/>
      <protection locked="0"/>
    </xf>
    <xf numFmtId="9" fontId="28" fillId="21" borderId="23" xfId="0" applyNumberFormat="1" applyFont="1" applyFill="1" applyBorder="1" applyAlignment="1" applyProtection="1">
      <alignment horizontal="center" vertical="center" textRotation="90" wrapText="1"/>
      <protection locked="0"/>
    </xf>
    <xf numFmtId="9" fontId="28" fillId="22" borderId="23" xfId="0" applyNumberFormat="1" applyFont="1" applyFill="1" applyBorder="1" applyAlignment="1" applyProtection="1">
      <alignment horizontal="center" vertical="center"/>
      <protection locked="0"/>
    </xf>
    <xf numFmtId="0" fontId="26" fillId="23" borderId="23" xfId="0" applyFont="1" applyFill="1" applyBorder="1" applyAlignment="1" applyProtection="1">
      <alignment horizontal="center" vertical="center"/>
      <protection locked="0"/>
    </xf>
    <xf numFmtId="0" fontId="28" fillId="27" borderId="23" xfId="0" applyFont="1" applyFill="1" applyBorder="1" applyAlignment="1" applyProtection="1">
      <alignment horizontal="center" vertical="center" textRotation="90" wrapText="1"/>
      <protection locked="0"/>
    </xf>
    <xf numFmtId="0" fontId="7" fillId="27" borderId="23" xfId="0" applyFont="1" applyFill="1" applyBorder="1" applyAlignment="1" applyProtection="1">
      <alignment wrapText="1"/>
      <protection locked="0"/>
    </xf>
    <xf numFmtId="0" fontId="28" fillId="29" borderId="23" xfId="0" applyFont="1" applyFill="1" applyBorder="1" applyAlignment="1" applyProtection="1">
      <alignment horizontal="center" vertical="center" textRotation="90" wrapText="1"/>
      <protection locked="0"/>
    </xf>
    <xf numFmtId="0" fontId="7" fillId="9" borderId="23" xfId="0" applyFont="1" applyFill="1" applyBorder="1" applyProtection="1">
      <protection locked="0"/>
    </xf>
    <xf numFmtId="9" fontId="28" fillId="30" borderId="23" xfId="0" applyNumberFormat="1" applyFont="1" applyFill="1" applyBorder="1" applyAlignment="1" applyProtection="1">
      <alignment horizontal="center" vertical="center" textRotation="90" wrapText="1"/>
      <protection locked="0"/>
    </xf>
    <xf numFmtId="0" fontId="28" fillId="30" borderId="23" xfId="0" applyFont="1" applyFill="1" applyBorder="1" applyAlignment="1" applyProtection="1">
      <alignment horizontal="center" vertical="center" textRotation="90" wrapText="1"/>
      <protection locked="0"/>
    </xf>
    <xf numFmtId="0" fontId="29" fillId="45" borderId="4" xfId="0" applyFont="1" applyFill="1" applyBorder="1" applyAlignment="1">
      <alignment horizontal="center" textRotation="90" wrapText="1"/>
    </xf>
    <xf numFmtId="0" fontId="29" fillId="45" borderId="30" xfId="0" applyFont="1" applyFill="1" applyBorder="1" applyAlignment="1">
      <alignment horizontal="center" textRotation="90" wrapText="1"/>
    </xf>
    <xf numFmtId="0" fontId="29" fillId="12" borderId="4" xfId="0" applyFont="1" applyFill="1" applyBorder="1" applyAlignment="1">
      <alignment horizontal="center" textRotation="90" wrapText="1"/>
    </xf>
    <xf numFmtId="0" fontId="29" fillId="12" borderId="30" xfId="0" applyFont="1" applyFill="1" applyBorder="1" applyAlignment="1">
      <alignment horizontal="center" textRotation="90" wrapText="1"/>
    </xf>
    <xf numFmtId="0" fontId="16" fillId="9" borderId="53" xfId="0" applyFont="1" applyFill="1" applyBorder="1" applyAlignment="1" applyProtection="1">
      <alignment horizontal="center"/>
      <protection locked="0"/>
    </xf>
    <xf numFmtId="2" fontId="4" fillId="33" borderId="24" xfId="0" applyNumberFormat="1" applyFont="1" applyFill="1" applyBorder="1" applyAlignment="1">
      <alignment horizontal="center"/>
    </xf>
    <xf numFmtId="2" fontId="4" fillId="33" borderId="25" xfId="0" applyNumberFormat="1" applyFont="1" applyFill="1" applyBorder="1" applyAlignment="1">
      <alignment horizontal="center"/>
    </xf>
    <xf numFmtId="2" fontId="4" fillId="33" borderId="32" xfId="0" applyNumberFormat="1" applyFont="1" applyFill="1" applyBorder="1" applyAlignment="1">
      <alignment horizontal="center"/>
    </xf>
    <xf numFmtId="2" fontId="4" fillId="33" borderId="110" xfId="0" applyNumberFormat="1" applyFont="1" applyFill="1" applyBorder="1" applyAlignment="1">
      <alignment horizontal="center"/>
    </xf>
    <xf numFmtId="0" fontId="38" fillId="11" borderId="61" xfId="0" applyFont="1" applyFill="1" applyBorder="1" applyAlignment="1">
      <alignment horizontal="center" vertical="center" textRotation="90" wrapText="1"/>
    </xf>
    <xf numFmtId="0" fontId="38" fillId="11" borderId="74" xfId="0" applyFont="1" applyFill="1" applyBorder="1" applyAlignment="1">
      <alignment horizontal="center" vertical="center" textRotation="90" wrapText="1"/>
    </xf>
    <xf numFmtId="0" fontId="14" fillId="11" borderId="4" xfId="0" applyFont="1" applyFill="1" applyBorder="1" applyAlignment="1" applyProtection="1">
      <alignment horizontal="center" textRotation="90"/>
      <protection locked="0"/>
    </xf>
    <xf numFmtId="0" fontId="14" fillId="11" borderId="30" xfId="0" applyFont="1" applyFill="1" applyBorder="1" applyAlignment="1" applyProtection="1">
      <alignment horizontal="center" textRotation="90"/>
      <protection locked="0"/>
    </xf>
    <xf numFmtId="0" fontId="14" fillId="11" borderId="6" xfId="0" applyFont="1" applyFill="1" applyBorder="1" applyAlignment="1" applyProtection="1">
      <alignment horizontal="center" textRotation="90"/>
      <protection locked="0"/>
    </xf>
    <xf numFmtId="0" fontId="35" fillId="9" borderId="32" xfId="0" applyFont="1" applyFill="1" applyBorder="1" applyAlignment="1" applyProtection="1">
      <alignment horizontal="center"/>
      <protection locked="0"/>
    </xf>
    <xf numFmtId="0" fontId="35" fillId="9" borderId="0" xfId="0" applyFont="1" applyFill="1" applyAlignment="1" applyProtection="1">
      <alignment horizontal="center"/>
      <protection locked="0"/>
    </xf>
    <xf numFmtId="0" fontId="34" fillId="9" borderId="0" xfId="0" applyFont="1" applyFill="1" applyAlignment="1" applyProtection="1">
      <alignment horizontal="center"/>
      <protection locked="0"/>
    </xf>
    <xf numFmtId="0" fontId="39" fillId="11" borderId="72" xfId="0" applyFont="1" applyFill="1" applyBorder="1" applyAlignment="1" applyProtection="1">
      <alignment horizontal="center" vertical="center"/>
      <protection locked="0"/>
    </xf>
    <xf numFmtId="0" fontId="39" fillId="11" borderId="76" xfId="0" applyFont="1" applyFill="1" applyBorder="1" applyAlignment="1" applyProtection="1">
      <alignment horizontal="center" vertical="center"/>
      <protection locked="0"/>
    </xf>
    <xf numFmtId="0" fontId="39" fillId="49" borderId="35" xfId="0" applyFont="1" applyFill="1" applyBorder="1" applyAlignment="1" applyProtection="1">
      <alignment horizontal="center" vertical="center" textRotation="90" wrapText="1"/>
      <protection locked="0"/>
    </xf>
    <xf numFmtId="0" fontId="39" fillId="49" borderId="40" xfId="0" applyFont="1" applyFill="1" applyBorder="1" applyAlignment="1" applyProtection="1">
      <alignment horizontal="center" vertical="center" textRotation="90" wrapText="1"/>
      <protection locked="0"/>
    </xf>
    <xf numFmtId="0" fontId="39" fillId="49" borderId="91" xfId="0" applyFont="1" applyFill="1" applyBorder="1" applyAlignment="1" applyProtection="1">
      <alignment horizontal="center" vertical="center" textRotation="90" wrapText="1"/>
      <protection locked="0"/>
    </xf>
    <xf numFmtId="0" fontId="39" fillId="24" borderId="4" xfId="0" applyFont="1" applyFill="1" applyBorder="1" applyAlignment="1" applyProtection="1">
      <alignment horizontal="center" textRotation="90"/>
      <protection locked="0"/>
    </xf>
    <xf numFmtId="0" fontId="39" fillId="24" borderId="30" xfId="0" applyFont="1" applyFill="1" applyBorder="1" applyAlignment="1" applyProtection="1">
      <alignment horizontal="center" textRotation="90"/>
      <protection locked="0"/>
    </xf>
    <xf numFmtId="0" fontId="39" fillId="24" borderId="6" xfId="0" applyFont="1" applyFill="1" applyBorder="1" applyAlignment="1" applyProtection="1">
      <alignment horizontal="center" textRotation="90"/>
      <protection locked="0"/>
    </xf>
    <xf numFmtId="0" fontId="39" fillId="11" borderId="28" xfId="0" applyFont="1" applyFill="1" applyBorder="1" applyAlignment="1" applyProtection="1">
      <alignment horizontal="center" textRotation="90"/>
      <protection locked="0"/>
    </xf>
    <xf numFmtId="0" fontId="39" fillId="11" borderId="2" xfId="0" applyFont="1" applyFill="1" applyBorder="1" applyAlignment="1" applyProtection="1">
      <alignment horizontal="center" textRotation="90"/>
      <protection locked="0"/>
    </xf>
    <xf numFmtId="0" fontId="39" fillId="11" borderId="31" xfId="0" applyFont="1" applyFill="1" applyBorder="1" applyAlignment="1" applyProtection="1">
      <alignment horizontal="center" textRotation="90"/>
      <protection locked="0"/>
    </xf>
    <xf numFmtId="0" fontId="38" fillId="11" borderId="4" xfId="0" applyFont="1" applyFill="1" applyBorder="1" applyAlignment="1">
      <alignment horizontal="center" vertical="center" textRotation="90"/>
    </xf>
    <xf numFmtId="0" fontId="38" fillId="11" borderId="30" xfId="0" applyFont="1" applyFill="1" applyBorder="1" applyAlignment="1">
      <alignment horizontal="center" vertical="center" textRotation="90"/>
    </xf>
    <xf numFmtId="0" fontId="38" fillId="11" borderId="6" xfId="0" applyFont="1" applyFill="1" applyBorder="1" applyAlignment="1">
      <alignment horizontal="center" vertical="center" textRotation="90"/>
    </xf>
    <xf numFmtId="0" fontId="39" fillId="42" borderId="61" xfId="0" applyFont="1" applyFill="1" applyBorder="1" applyAlignment="1" applyProtection="1">
      <alignment horizontal="center" vertical="center" textRotation="90" wrapText="1"/>
      <protection locked="0"/>
    </xf>
    <xf numFmtId="0" fontId="39" fillId="46" borderId="61" xfId="0" applyFont="1" applyFill="1" applyBorder="1" applyAlignment="1" applyProtection="1">
      <alignment horizontal="center" vertical="center" textRotation="90" wrapText="1"/>
      <protection locked="0"/>
    </xf>
    <xf numFmtId="0" fontId="4" fillId="11" borderId="71" xfId="0" applyFont="1" applyFill="1" applyBorder="1" applyAlignment="1" applyProtection="1">
      <alignment horizontal="center" vertical="center" wrapText="1"/>
      <protection locked="0"/>
    </xf>
    <xf numFmtId="0" fontId="4" fillId="11" borderId="75" xfId="0" applyFont="1" applyFill="1" applyBorder="1" applyAlignment="1" applyProtection="1">
      <alignment horizontal="center" vertical="center" wrapText="1"/>
      <protection locked="0"/>
    </xf>
    <xf numFmtId="0" fontId="4" fillId="11" borderId="72" xfId="0" applyFont="1" applyFill="1" applyBorder="1" applyAlignment="1" applyProtection="1">
      <alignment horizontal="center" vertical="center" wrapText="1"/>
      <protection locked="0"/>
    </xf>
    <xf numFmtId="0" fontId="4" fillId="11" borderId="73" xfId="0" applyFont="1" applyFill="1" applyBorder="1" applyAlignment="1" applyProtection="1">
      <alignment horizontal="center" vertical="center" wrapText="1"/>
      <protection locked="0"/>
    </xf>
    <xf numFmtId="0" fontId="4" fillId="11" borderId="80" xfId="0" applyFont="1" applyFill="1" applyBorder="1" applyAlignment="1" applyProtection="1">
      <alignment horizontal="center" vertical="center" wrapText="1"/>
      <protection locked="0"/>
    </xf>
    <xf numFmtId="0" fontId="4" fillId="11" borderId="83" xfId="0" applyFont="1" applyFill="1" applyBorder="1" applyAlignment="1" applyProtection="1">
      <alignment horizontal="center" vertical="center" wrapText="1"/>
      <protection locked="0"/>
    </xf>
    <xf numFmtId="0" fontId="4" fillId="11" borderId="81" xfId="0" applyFont="1" applyFill="1" applyBorder="1" applyAlignment="1" applyProtection="1">
      <alignment horizontal="center" vertical="center" wrapText="1"/>
      <protection locked="0"/>
    </xf>
    <xf numFmtId="0" fontId="4" fillId="11" borderId="82" xfId="0" applyFont="1" applyFill="1" applyBorder="1" applyAlignment="1" applyProtection="1">
      <alignment horizontal="center" vertical="center" wrapText="1"/>
      <protection locked="0"/>
    </xf>
    <xf numFmtId="0" fontId="4" fillId="11" borderId="76" xfId="0" applyFont="1" applyFill="1" applyBorder="1" applyAlignment="1" applyProtection="1">
      <alignment horizontal="center" vertical="center" wrapText="1"/>
      <protection locked="0"/>
    </xf>
    <xf numFmtId="0" fontId="4" fillId="11" borderId="84" xfId="0" applyFont="1" applyFill="1" applyBorder="1" applyAlignment="1" applyProtection="1">
      <alignment horizontal="center" vertical="center" wrapText="1"/>
      <protection locked="0"/>
    </xf>
    <xf numFmtId="0" fontId="35" fillId="11" borderId="4" xfId="0" applyFont="1" applyFill="1" applyBorder="1" applyAlignment="1" applyProtection="1">
      <alignment horizontal="center" vertical="center" textRotation="90"/>
      <protection locked="0"/>
    </xf>
    <xf numFmtId="0" fontId="35" fillId="11" borderId="30" xfId="0" applyFont="1" applyFill="1" applyBorder="1" applyAlignment="1" applyProtection="1">
      <alignment horizontal="center" vertical="center" textRotation="90"/>
      <protection locked="0"/>
    </xf>
    <xf numFmtId="0" fontId="35" fillId="11" borderId="6" xfId="0" applyFont="1" applyFill="1" applyBorder="1" applyAlignment="1" applyProtection="1">
      <alignment horizontal="center" vertical="center" textRotation="90"/>
      <protection locked="0"/>
    </xf>
    <xf numFmtId="0" fontId="39" fillId="11" borderId="71" xfId="0" applyFont="1" applyFill="1" applyBorder="1" applyAlignment="1" applyProtection="1">
      <alignment horizontal="center"/>
      <protection locked="0"/>
    </xf>
    <xf numFmtId="0" fontId="39" fillId="11" borderId="72" xfId="0" applyFont="1" applyFill="1" applyBorder="1" applyAlignment="1" applyProtection="1">
      <alignment horizontal="center"/>
      <protection locked="0"/>
    </xf>
    <xf numFmtId="0" fontId="38" fillId="11" borderId="112" xfId="0" applyFont="1" applyFill="1" applyBorder="1" applyAlignment="1">
      <alignment horizontal="center" vertical="center" textRotation="90" wrapText="1"/>
    </xf>
    <xf numFmtId="0" fontId="38" fillId="11" borderId="113" xfId="0" applyFont="1" applyFill="1" applyBorder="1" applyAlignment="1">
      <alignment horizontal="center" vertical="center" textRotation="90" wrapText="1"/>
    </xf>
    <xf numFmtId="0" fontId="36" fillId="35" borderId="24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/>
    </xf>
    <xf numFmtId="0" fontId="36" fillId="35" borderId="63" xfId="0" applyFont="1" applyFill="1" applyBorder="1" applyAlignment="1">
      <alignment horizontal="center" vertical="center"/>
    </xf>
    <xf numFmtId="0" fontId="37" fillId="34" borderId="28" xfId="0" applyFont="1" applyFill="1" applyBorder="1" applyAlignment="1">
      <alignment horizontal="center"/>
    </xf>
    <xf numFmtId="0" fontId="37" fillId="34" borderId="26" xfId="0" applyFont="1" applyFill="1" applyBorder="1" applyAlignment="1">
      <alignment horizontal="center"/>
    </xf>
    <xf numFmtId="0" fontId="37" fillId="34" borderId="35" xfId="0" applyFont="1" applyFill="1" applyBorder="1" applyAlignment="1">
      <alignment horizontal="center"/>
    </xf>
    <xf numFmtId="0" fontId="39" fillId="11" borderId="4" xfId="0" applyFont="1" applyFill="1" applyBorder="1" applyAlignment="1" applyProtection="1">
      <alignment horizontal="center" textRotation="90"/>
      <protection locked="0"/>
    </xf>
    <xf numFmtId="0" fontId="39" fillId="11" borderId="30" xfId="0" applyFont="1" applyFill="1" applyBorder="1" applyAlignment="1" applyProtection="1">
      <alignment horizontal="center" textRotation="90"/>
      <protection locked="0"/>
    </xf>
    <xf numFmtId="0" fontId="39" fillId="11" borderId="6" xfId="0" applyFont="1" applyFill="1" applyBorder="1" applyAlignment="1" applyProtection="1">
      <alignment horizontal="center" textRotation="90"/>
      <protection locked="0"/>
    </xf>
    <xf numFmtId="0" fontId="2" fillId="9" borderId="61" xfId="0" applyFont="1" applyFill="1" applyBorder="1" applyAlignment="1" applyProtection="1">
      <alignment horizontal="center" vertical="center"/>
      <protection locked="0"/>
    </xf>
    <xf numFmtId="0" fontId="14" fillId="9" borderId="61" xfId="0" applyFont="1" applyFill="1" applyBorder="1" applyAlignment="1" applyProtection="1">
      <alignment horizontal="center" vertical="center" wrapText="1"/>
      <protection locked="0"/>
    </xf>
    <xf numFmtId="0" fontId="2" fillId="9" borderId="61" xfId="0" applyFont="1" applyFill="1" applyBorder="1" applyAlignment="1" applyProtection="1">
      <alignment horizontal="center"/>
      <protection locked="0"/>
    </xf>
    <xf numFmtId="0" fontId="33" fillId="9" borderId="26" xfId="0" applyFont="1" applyFill="1" applyBorder="1" applyAlignment="1" applyProtection="1">
      <alignment horizontal="center"/>
      <protection locked="0"/>
    </xf>
    <xf numFmtId="0" fontId="33" fillId="9" borderId="0" xfId="0" applyFont="1" applyFill="1" applyAlignment="1" applyProtection="1">
      <alignment horizontal="center"/>
      <protection locked="0"/>
    </xf>
    <xf numFmtId="0" fontId="33" fillId="9" borderId="32" xfId="0" applyFont="1" applyFill="1" applyBorder="1" applyAlignment="1" applyProtection="1">
      <alignment horizontal="center"/>
      <protection locked="0"/>
    </xf>
    <xf numFmtId="0" fontId="32" fillId="9" borderId="26" xfId="0" applyFont="1" applyFill="1" applyBorder="1" applyAlignment="1" applyProtection="1">
      <alignment horizontal="center"/>
      <protection locked="0"/>
    </xf>
    <xf numFmtId="0" fontId="38" fillId="11" borderId="3" xfId="0" applyFont="1" applyFill="1" applyBorder="1" applyAlignment="1">
      <alignment horizontal="center" vertical="center" textRotation="90" wrapText="1"/>
    </xf>
    <xf numFmtId="0" fontId="38" fillId="11" borderId="77" xfId="0" applyFont="1" applyFill="1" applyBorder="1" applyAlignment="1">
      <alignment horizontal="center" vertical="center" textRotation="90" wrapText="1"/>
    </xf>
    <xf numFmtId="0" fontId="0" fillId="9" borderId="61" xfId="0" applyFill="1" applyBorder="1" applyAlignment="1" applyProtection="1">
      <alignment horizontal="center" vertical="center"/>
      <protection locked="0"/>
    </xf>
    <xf numFmtId="0" fontId="0" fillId="9" borderId="61" xfId="0" applyFill="1" applyBorder="1" applyAlignment="1" applyProtection="1">
      <alignment horizontal="center"/>
      <protection locked="0"/>
    </xf>
    <xf numFmtId="0" fontId="0" fillId="9" borderId="62" xfId="0" applyFill="1" applyBorder="1" applyAlignment="1" applyProtection="1">
      <alignment horizontal="center"/>
      <protection locked="0"/>
    </xf>
    <xf numFmtId="0" fontId="2" fillId="9" borderId="0" xfId="0" applyFont="1" applyFill="1" applyAlignment="1" applyProtection="1">
      <alignment horizontal="center"/>
      <protection locked="0"/>
    </xf>
    <xf numFmtId="0" fontId="0" fillId="9" borderId="61" xfId="0" applyFill="1" applyBorder="1" applyAlignment="1" applyProtection="1">
      <alignment horizontal="center" vertical="center" wrapText="1"/>
      <protection locked="0"/>
    </xf>
    <xf numFmtId="2" fontId="38" fillId="24" borderId="65" xfId="0" applyNumberFormat="1" applyFont="1" applyFill="1" applyBorder="1" applyAlignment="1">
      <alignment horizontal="center"/>
    </xf>
    <xf numFmtId="2" fontId="11" fillId="38" borderId="61" xfId="0" applyNumberFormat="1" applyFont="1" applyFill="1" applyBorder="1" applyAlignment="1">
      <alignment horizontal="center"/>
    </xf>
    <xf numFmtId="2" fontId="11" fillId="38" borderId="85" xfId="0" applyNumberFormat="1" applyFont="1" applyFill="1" applyBorder="1" applyAlignment="1">
      <alignment horizontal="center"/>
    </xf>
    <xf numFmtId="2" fontId="11" fillId="38" borderId="88" xfId="0" applyNumberFormat="1" applyFont="1" applyFill="1" applyBorder="1" applyAlignment="1">
      <alignment horizontal="center"/>
    </xf>
    <xf numFmtId="2" fontId="11" fillId="38" borderId="65" xfId="0" applyNumberFormat="1" applyFont="1" applyFill="1" applyBorder="1" applyAlignment="1">
      <alignment horizontal="center"/>
    </xf>
    <xf numFmtId="2" fontId="11" fillId="51" borderId="89" xfId="0" applyNumberFormat="1" applyFont="1" applyFill="1" applyBorder="1" applyAlignment="1">
      <alignment horizontal="center"/>
    </xf>
    <xf numFmtId="2" fontId="38" fillId="25" borderId="68" xfId="0" applyNumberFormat="1" applyFont="1" applyFill="1" applyBorder="1" applyAlignment="1">
      <alignment horizontal="center"/>
    </xf>
    <xf numFmtId="2" fontId="38" fillId="25" borderId="106" xfId="0" applyNumberFormat="1" applyFont="1" applyFill="1" applyBorder="1" applyAlignment="1">
      <alignment horizontal="center"/>
    </xf>
    <xf numFmtId="2" fontId="38" fillId="25" borderId="90" xfId="0" applyNumberFormat="1" applyFont="1" applyFill="1" applyBorder="1" applyAlignment="1">
      <alignment horizontal="center"/>
    </xf>
    <xf numFmtId="2" fontId="38" fillId="25" borderId="61" xfId="0" applyNumberFormat="1" applyFont="1" applyFill="1" applyBorder="1" applyAlignment="1">
      <alignment horizontal="center"/>
    </xf>
    <xf numFmtId="2" fontId="38" fillId="25" borderId="102" xfId="0" applyNumberFormat="1" applyFont="1" applyFill="1" applyBorder="1" applyAlignment="1">
      <alignment horizontal="center"/>
    </xf>
    <xf numFmtId="0" fontId="39" fillId="46" borderId="106" xfId="0" applyFont="1" applyFill="1" applyBorder="1" applyAlignment="1" applyProtection="1">
      <alignment horizontal="center" vertical="center" textRotation="90" wrapText="1"/>
      <protection locked="0"/>
    </xf>
    <xf numFmtId="2" fontId="11" fillId="46" borderId="106" xfId="0" applyNumberFormat="1" applyFont="1" applyFill="1" applyBorder="1" applyAlignment="1">
      <alignment horizontal="center"/>
    </xf>
    <xf numFmtId="0" fontId="39" fillId="46" borderId="61" xfId="0" applyFont="1" applyFill="1" applyBorder="1" applyAlignment="1" applyProtection="1">
      <alignment horizontal="center" textRotation="90"/>
      <protection locked="0"/>
    </xf>
    <xf numFmtId="0" fontId="39" fillId="46" borderId="81" xfId="0" applyFont="1" applyFill="1" applyBorder="1" applyAlignment="1" applyProtection="1">
      <alignment horizontal="center" vertical="center" textRotation="90" wrapText="1"/>
      <protection locked="0"/>
    </xf>
    <xf numFmtId="0" fontId="41" fillId="42" borderId="3" xfId="0" applyFont="1" applyFill="1" applyBorder="1" applyAlignment="1" applyProtection="1">
      <alignment horizontal="center" vertical="center" wrapText="1"/>
      <protection locked="0"/>
    </xf>
    <xf numFmtId="0" fontId="41" fillId="42" borderId="115" xfId="0" applyFont="1" applyFill="1" applyBorder="1" applyAlignment="1" applyProtection="1">
      <alignment horizontal="center" vertical="center" wrapText="1"/>
      <protection locked="0"/>
    </xf>
    <xf numFmtId="0" fontId="41" fillId="42" borderId="116" xfId="0" applyFont="1" applyFill="1" applyBorder="1" applyAlignment="1" applyProtection="1">
      <alignment horizontal="center" vertical="center" wrapText="1"/>
      <protection locked="0"/>
    </xf>
    <xf numFmtId="9" fontId="28" fillId="21" borderId="93" xfId="0" applyNumberFormat="1" applyFont="1" applyFill="1" applyBorder="1" applyAlignment="1">
      <alignment horizontal="center" vertical="center" textRotation="90" wrapText="1"/>
    </xf>
    <xf numFmtId="9" fontId="28" fillId="21" borderId="95" xfId="0" applyNumberFormat="1" applyFont="1" applyFill="1" applyBorder="1" applyAlignment="1">
      <alignment horizontal="center" vertical="center" textRotation="90" wrapText="1"/>
    </xf>
    <xf numFmtId="4" fontId="4" fillId="9" borderId="23" xfId="0" applyNumberFormat="1" applyFont="1" applyFill="1" applyBorder="1" applyAlignment="1">
      <alignment horizontal="center"/>
    </xf>
  </cellXfs>
  <cellStyles count="4">
    <cellStyle name="Normal" xfId="0" builtinId="0"/>
    <cellStyle name="Normal 4" xfId="1"/>
    <cellStyle name="Normal 5" xfId="2"/>
    <cellStyle name="Normal 6" xfId="3"/>
  </cellStyles>
  <dxfs count="29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'J.CURSO 1ER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TRIMESTRE'!$G$63:$G$74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A4D5-4386-8352-C00F50CA181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A4D5-4386-8352-C00F50CA18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A4D5-4386-8352-C00F50CA18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A4D5-4386-8352-C00F50CA1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A4D5-4386-8352-C00F50CA18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A4D5-4386-8352-C00F50CA18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A4D5-4386-8352-C00F50CA18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A4D5-4386-8352-C00F50CA18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A4D5-4386-8352-C00F50CA18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A4D5-4386-8352-C00F50CA18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A4D5-4386-8352-C00F50CA18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A4D5-4386-8352-C00F50CA18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A4D5-4386-8352-C00F50CA181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'J.CURSO 1ER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1ER TRIMESTRE'!$I$63:$I$74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A4D5-4386-8352-C00F50CA181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'J.CURSO 2DO TRIMESTRE 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'!$G$63:$G$74</c:f>
              <c:numCache>
                <c:formatCode>General</c:formatCode>
                <c:ptCount val="12"/>
                <c:pt idx="0">
                  <c:v>0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7B5-4F9A-930E-ED8556B765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7B5-4F9A-930E-ED8556B765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7B5-4F9A-930E-ED8556B765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7B5-4F9A-930E-ED8556B765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7B5-4F9A-930E-ED8556B765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7B5-4F9A-930E-ED8556B765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7B5-4F9A-930E-ED8556B765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7B5-4F9A-930E-ED8556B765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7B5-4F9A-930E-ED8556B765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7B5-4F9A-930E-ED8556B765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7B5-4F9A-930E-ED8556B765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7B5-4F9A-930E-ED8556B765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7B5-4F9A-930E-ED8556B765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'J.CURSO 2DO TRIMESTRE 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2DO TRIMESTRE '!$I$63:$I$74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77B5-4F9A-930E-ED8556B765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'J.CURSO 3 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TRIMESTRE'!$G$63:$G$74</c:f>
              <c:numCache>
                <c:formatCode>General</c:formatCode>
                <c:ptCount val="12"/>
                <c:pt idx="0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53F-4EF2-9B06-FC1A68B4346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753F-4EF2-9B06-FC1A68B434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753F-4EF2-9B06-FC1A68B434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753F-4EF2-9B06-FC1A68B434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753F-4EF2-9B06-FC1A68B434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753F-4EF2-9B06-FC1A68B434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753F-4EF2-9B06-FC1A68B434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753F-4EF2-9B06-FC1A68B434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753F-4EF2-9B06-FC1A68B434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A-753F-4EF2-9B06-FC1A68B434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753F-4EF2-9B06-FC1A68B434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E-753F-4EF2-9B06-FC1A68B434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0-753F-4EF2-9B06-FC1A68B4346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'J.CURSO 3 ER TRIMESTRE'!$F$63:$F$74</c:f>
              <c:strCache>
                <c:ptCount val="12"/>
                <c:pt idx="0">
                  <c:v>VALOR</c:v>
                </c:pt>
                <c:pt idx="2">
                  <c:v>A+</c:v>
                </c:pt>
                <c:pt idx="3">
                  <c:v>A-</c:v>
                </c:pt>
                <c:pt idx="4">
                  <c:v>B+</c:v>
                </c:pt>
                <c:pt idx="5">
                  <c:v>B-</c:v>
                </c:pt>
                <c:pt idx="6">
                  <c:v>C+</c:v>
                </c:pt>
                <c:pt idx="7">
                  <c:v>C-</c:v>
                </c:pt>
                <c:pt idx="8">
                  <c:v>D+</c:v>
                </c:pt>
                <c:pt idx="9">
                  <c:v>D-</c:v>
                </c:pt>
                <c:pt idx="10">
                  <c:v>E+</c:v>
                </c:pt>
                <c:pt idx="11">
                  <c:v>E-</c:v>
                </c:pt>
              </c:strCache>
            </c:strRef>
          </c:cat>
          <c:val>
            <c:numRef>
              <c:f>'J.CURSO 3 ER TRIMESTRE'!$I$63:$I$74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753F-4EF2-9B06-FC1A68B434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A2-4D49-BFD5-BF39E9BAF3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A2-4D49-BFD5-BF39E9BAF3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A2-4D49-BFD5-BF39E9BAF3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A2-4D49-BFD5-BF39E9BAF3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A2-4D49-BFD5-BF39E9BAF3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A2-4D49-BFD5-BF39E9BAF3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3A2-4D49-BFD5-BF39E9BAF3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3A2-4D49-BFD5-BF39E9BAF3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3A2-4D49-BFD5-BF39E9BAF3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3A2-4D49-BFD5-BF39E9BAF3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3A2-4D49-BFD5-BF39E9BAF3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3A2-4D49-BFD5-BF39E9BAF3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'FINAL 7mo y 10mo'!$G$56:$G$67</c:f>
              <c:numCache>
                <c:formatCode>General</c:formatCode>
                <c:ptCount val="12"/>
                <c:pt idx="0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F-4769-985F-F95486C13FC8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'FINAL 7mo y 10mo'!$F$56:$F$67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63A2-4D49-BFD5-BF39E9BAF3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3A2-4D49-BFD5-BF39E9BAF3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63A2-4D49-BFD5-BF39E9BAF3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63A2-4D49-BFD5-BF39E9BAF3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63A2-4D49-BFD5-BF39E9BAF3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63A2-4D49-BFD5-BF39E9BAF3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63A2-4D49-BFD5-BF39E9BAF3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63A2-4D49-BFD5-BF39E9BAF3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63A2-4D49-BFD5-BF39E9BAF3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63A2-4D49-BFD5-BF39E9BAF3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63A2-4D49-BFD5-BF39E9BAF3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63A2-4D49-BFD5-BF39E9BAF3A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'FINAL 7mo y 10mo'!$I$56:$I$67</c:f>
              <c:numCache>
                <c:formatCode>General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F-4769-985F-F95486C13FC8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'FINAL 7mo y 10mo'!$F$56:$F$67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5" Type="http://schemas.microsoft.com/office/2007/relationships/hdphoto" Target="../media/hdphoto1.wdp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TOS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3.png"/><Relationship Id="rId1" Type="http://schemas.openxmlformats.org/officeDocument/2006/relationships/hyperlink" Target="#DATO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368752</xdr:colOff>
      <xdr:row>0</xdr:row>
      <xdr:rowOff>223210</xdr:rowOff>
    </xdr:from>
    <xdr:to>
      <xdr:col>4</xdr:col>
      <xdr:colOff>1085850</xdr:colOff>
      <xdr:row>9</xdr:row>
      <xdr:rowOff>24494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02" y="223210"/>
          <a:ext cx="1841048" cy="2087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400049</xdr:colOff>
      <xdr:row>0</xdr:row>
      <xdr:rowOff>9525</xdr:rowOff>
    </xdr:from>
    <xdr:to>
      <xdr:col>13</xdr:col>
      <xdr:colOff>85725</xdr:colOff>
      <xdr:row>18</xdr:row>
      <xdr:rowOff>99671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553" t="21837" r="3081" b="3968"/>
        <a:stretch/>
      </xdr:blipFill>
      <xdr:spPr>
        <a:xfrm>
          <a:off x="7686674" y="9525"/>
          <a:ext cx="5857876" cy="41001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92553"/>
          <a:ext cx="1443718" cy="128372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147448</xdr:colOff>
      <xdr:row>7</xdr:row>
      <xdr:rowOff>182335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266" y="975179"/>
          <a:ext cx="1314032" cy="11597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342900</xdr:colOff>
      <xdr:row>61</xdr:row>
      <xdr:rowOff>119062</xdr:rowOff>
    </xdr:from>
    <xdr:to>
      <xdr:col>19</xdr:col>
      <xdr:colOff>285750</xdr:colOff>
      <xdr:row>75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342900</xdr:colOff>
      <xdr:row>61</xdr:row>
      <xdr:rowOff>85725</xdr:rowOff>
    </xdr:from>
    <xdr:to>
      <xdr:col>23</xdr:col>
      <xdr:colOff>175983</xdr:colOff>
      <xdr:row>72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</a:extLst>
        </a:blip>
        <a:srcRect l="11553" t="21837" r="3081" b="3968"/>
        <a:stretch/>
      </xdr:blipFill>
      <xdr:spPr>
        <a:xfrm>
          <a:off x="11153775" y="14620875"/>
          <a:ext cx="3062058" cy="215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17</xdr:col>
      <xdr:colOff>273503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66675</xdr:colOff>
      <xdr:row>61</xdr:row>
      <xdr:rowOff>166687</xdr:rowOff>
    </xdr:from>
    <xdr:to>
      <xdr:col>19</xdr:col>
      <xdr:colOff>9525</xdr:colOff>
      <xdr:row>76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28575</xdr:colOff>
      <xdr:row>61</xdr:row>
      <xdr:rowOff>114299</xdr:rowOff>
    </xdr:from>
    <xdr:to>
      <xdr:col>23</xdr:col>
      <xdr:colOff>102321</xdr:colOff>
      <xdr:row>73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39450" y="14887574"/>
          <a:ext cx="3197946" cy="2238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54428</xdr:rowOff>
    </xdr:from>
    <xdr:to>
      <xdr:col>16</xdr:col>
      <xdr:colOff>681718</xdr:colOff>
      <xdr:row>7</xdr:row>
      <xdr:rowOff>4654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54428"/>
          <a:ext cx="1443718" cy="14837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519341</xdr:colOff>
      <xdr:row>2</xdr:row>
      <xdr:rowOff>22679</xdr:rowOff>
    </xdr:from>
    <xdr:to>
      <xdr:col>20</xdr:col>
      <xdr:colOff>252223</xdr:colOff>
      <xdr:row>7</xdr:row>
      <xdr:rowOff>182335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0691" y="918029"/>
          <a:ext cx="1314032" cy="132170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85725</xdr:colOff>
      <xdr:row>61</xdr:row>
      <xdr:rowOff>138112</xdr:rowOff>
    </xdr:from>
    <xdr:to>
      <xdr:col>19</xdr:col>
      <xdr:colOff>28575</xdr:colOff>
      <xdr:row>76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38100</xdr:colOff>
      <xdr:row>61</xdr:row>
      <xdr:rowOff>114300</xdr:rowOff>
    </xdr:from>
    <xdr:to>
      <xdr:col>23</xdr:col>
      <xdr:colOff>111846</xdr:colOff>
      <xdr:row>73</xdr:row>
      <xdr:rowOff>57150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848975" y="14887575"/>
          <a:ext cx="3197946" cy="2238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314325</xdr:colOff>
      <xdr:row>0</xdr:row>
      <xdr:rowOff>266700</xdr:rowOff>
    </xdr:from>
    <xdr:to>
      <xdr:col>28</xdr:col>
      <xdr:colOff>419100</xdr:colOff>
      <xdr:row>2</xdr:row>
      <xdr:rowOff>127235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" y="266700"/>
          <a:ext cx="552450" cy="48918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47625</xdr:colOff>
      <xdr:row>54</xdr:row>
      <xdr:rowOff>109537</xdr:rowOff>
    </xdr:from>
    <xdr:to>
      <xdr:col>25</xdr:col>
      <xdr:colOff>142875</xdr:colOff>
      <xdr:row>68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123825</xdr:colOff>
      <xdr:row>54</xdr:row>
      <xdr:rowOff>133350</xdr:rowOff>
    </xdr:from>
    <xdr:to>
      <xdr:col>30</xdr:col>
      <xdr:colOff>292821</xdr:colOff>
      <xdr:row>66</xdr:row>
      <xdr:rowOff>85725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1553" t="21837" r="3081" b="3968"/>
        <a:stretch/>
      </xdr:blipFill>
      <xdr:spPr>
        <a:xfrm>
          <a:off x="10115550" y="12372975"/>
          <a:ext cx="3197946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4" workbookViewId="0">
      <selection activeCell="B11" sqref="B11"/>
    </sheetView>
  </sheetViews>
  <sheetFormatPr baseColWidth="10" defaultRowHeight="15"/>
  <cols>
    <col min="1" max="1" width="32.28515625" customWidth="1"/>
    <col min="2" max="2" width="42.28515625" customWidth="1"/>
    <col min="3" max="3" width="6.140625" customWidth="1"/>
    <col min="4" max="4" width="10.7109375"/>
    <col min="5" max="5" width="17.85546875" customWidth="1"/>
    <col min="6" max="7" width="10.7109375"/>
    <col min="8" max="8" width="14" customWidth="1"/>
  </cols>
  <sheetData>
    <row r="1" spans="1:16" ht="48" thickBot="1">
      <c r="A1" s="16" t="s">
        <v>0</v>
      </c>
      <c r="B1" s="17" t="s">
        <v>1</v>
      </c>
      <c r="C1" s="237"/>
      <c r="D1" s="232"/>
      <c r="E1" s="1"/>
      <c r="F1" s="2"/>
      <c r="G1" s="137"/>
      <c r="H1" s="138"/>
      <c r="I1" s="238"/>
      <c r="J1" s="238"/>
      <c r="K1" s="238"/>
      <c r="L1" s="238"/>
      <c r="M1" s="139"/>
      <c r="N1" s="139"/>
      <c r="O1" s="139"/>
      <c r="P1" s="139"/>
    </row>
    <row r="2" spans="1:16" ht="16.5" thickBot="1">
      <c r="A2" s="18" t="s">
        <v>2</v>
      </c>
      <c r="B2" s="4" t="s">
        <v>3</v>
      </c>
      <c r="C2" s="3"/>
      <c r="D2" s="232"/>
      <c r="E2" s="232"/>
      <c r="F2" s="2"/>
      <c r="G2" s="239"/>
      <c r="H2" s="239"/>
      <c r="I2" s="239"/>
      <c r="J2" s="139"/>
      <c r="K2" s="139"/>
      <c r="L2" s="139"/>
      <c r="M2" s="139"/>
      <c r="N2" s="139"/>
      <c r="O2" s="139"/>
      <c r="P2" s="139"/>
    </row>
    <row r="3" spans="1:16" ht="16.5" thickBot="1">
      <c r="A3" s="19" t="s">
        <v>4</v>
      </c>
      <c r="B3" s="5" t="s">
        <v>160</v>
      </c>
      <c r="C3" s="6"/>
      <c r="D3" s="232"/>
      <c r="E3" s="232"/>
      <c r="F3" s="3"/>
      <c r="G3" s="140"/>
      <c r="H3" s="141"/>
      <c r="I3" s="141"/>
      <c r="J3" s="139"/>
      <c r="K3" s="139"/>
      <c r="L3" s="139"/>
      <c r="M3" s="139"/>
      <c r="N3" s="139"/>
      <c r="O3" s="139"/>
      <c r="P3" s="139"/>
    </row>
    <row r="4" spans="1:16" ht="16.5" thickBot="1">
      <c r="A4" s="19" t="s">
        <v>5</v>
      </c>
      <c r="B4" s="5" t="s">
        <v>119</v>
      </c>
      <c r="C4" s="3"/>
      <c r="D4" s="232"/>
      <c r="E4" s="232"/>
      <c r="F4" s="3"/>
      <c r="G4" s="233"/>
      <c r="H4" s="233"/>
      <c r="I4" s="141"/>
      <c r="J4" s="231"/>
      <c r="K4" s="231"/>
      <c r="L4" s="231"/>
      <c r="M4" s="231"/>
      <c r="N4" s="231"/>
      <c r="O4" s="231"/>
      <c r="P4" s="142"/>
    </row>
    <row r="5" spans="1:16" ht="16.5" thickBot="1">
      <c r="A5" s="19" t="s">
        <v>6</v>
      </c>
      <c r="B5" s="8" t="s">
        <v>123</v>
      </c>
      <c r="C5" s="3"/>
      <c r="D5" s="3"/>
      <c r="E5" s="3"/>
      <c r="F5" s="3"/>
      <c r="G5" s="141"/>
      <c r="H5" s="141"/>
      <c r="I5" s="141"/>
      <c r="J5" s="142"/>
      <c r="K5" s="142"/>
      <c r="L5" s="142"/>
      <c r="M5" s="142"/>
      <c r="N5" s="142"/>
      <c r="O5" s="142"/>
      <c r="P5" s="142"/>
    </row>
    <row r="6" spans="1:16" ht="16.5" thickBot="1">
      <c r="A6" s="20" t="s">
        <v>7</v>
      </c>
      <c r="B6" s="5" t="s">
        <v>124</v>
      </c>
      <c r="C6" s="3"/>
      <c r="D6" s="3"/>
      <c r="E6" s="3"/>
      <c r="F6" s="3"/>
      <c r="G6" s="233"/>
      <c r="H6" s="233"/>
      <c r="I6" s="141"/>
      <c r="J6" s="231"/>
      <c r="K6" s="231"/>
      <c r="L6" s="231"/>
      <c r="M6" s="231"/>
      <c r="N6" s="231"/>
      <c r="O6" s="231"/>
      <c r="P6" s="143"/>
    </row>
    <row r="7" spans="1:16" ht="16.5" thickBot="1">
      <c r="A7" s="20" t="s">
        <v>91</v>
      </c>
      <c r="B7" s="9" t="s">
        <v>120</v>
      </c>
      <c r="C7" s="3"/>
      <c r="D7" s="3"/>
      <c r="E7" s="3"/>
      <c r="F7" s="3"/>
      <c r="G7" s="141"/>
      <c r="H7" s="141"/>
      <c r="I7" s="141"/>
      <c r="J7" s="143"/>
      <c r="K7" s="143"/>
      <c r="L7" s="143"/>
      <c r="M7" s="143"/>
      <c r="N7" s="143"/>
      <c r="O7" s="143"/>
      <c r="P7" s="143"/>
    </row>
    <row r="8" spans="1:16" ht="16.5" thickBot="1">
      <c r="A8" s="20" t="s">
        <v>8</v>
      </c>
      <c r="B8" s="9" t="s">
        <v>121</v>
      </c>
      <c r="C8" s="3"/>
      <c r="D8" s="3"/>
      <c r="E8" s="3"/>
      <c r="F8" s="3"/>
      <c r="G8" s="240"/>
      <c r="H8" s="240"/>
      <c r="I8" s="141"/>
      <c r="J8" s="231"/>
      <c r="K8" s="231"/>
      <c r="L8" s="231"/>
      <c r="M8" s="231"/>
      <c r="N8" s="231"/>
      <c r="O8" s="231"/>
      <c r="P8" s="143"/>
    </row>
    <row r="9" spans="1:16" ht="16.5" thickBot="1">
      <c r="A9" s="20" t="s">
        <v>9</v>
      </c>
      <c r="B9" s="5" t="s">
        <v>161</v>
      </c>
      <c r="C9" s="3"/>
      <c r="D9" s="3"/>
      <c r="E9" s="3"/>
      <c r="F9" s="3"/>
      <c r="G9" s="240"/>
      <c r="H9" s="240"/>
      <c r="I9" s="141"/>
      <c r="J9" s="231"/>
      <c r="K9" s="231"/>
      <c r="L9" s="231"/>
      <c r="M9" s="231"/>
      <c r="N9" s="231"/>
      <c r="O9" s="231"/>
      <c r="P9" s="143"/>
    </row>
    <row r="10" spans="1:16" ht="15.75">
      <c r="A10" s="21" t="s">
        <v>10</v>
      </c>
      <c r="B10" s="22"/>
      <c r="C10" s="3"/>
      <c r="D10" s="3"/>
      <c r="E10" s="3"/>
      <c r="F10" s="3"/>
      <c r="G10" s="141"/>
      <c r="H10" s="141"/>
      <c r="I10" s="141"/>
      <c r="J10" s="143"/>
      <c r="K10" s="143"/>
      <c r="L10" s="143"/>
      <c r="M10" s="143"/>
      <c r="N10" s="143"/>
      <c r="O10" s="143"/>
      <c r="P10" s="143"/>
    </row>
    <row r="11" spans="1:16">
      <c r="A11" s="23" t="s">
        <v>11</v>
      </c>
      <c r="B11" s="24" t="s">
        <v>12</v>
      </c>
      <c r="C11" s="3"/>
      <c r="D11" s="3"/>
      <c r="E11" s="3"/>
      <c r="F11" s="3"/>
      <c r="G11" s="139"/>
      <c r="H11" s="139"/>
      <c r="I11" s="141"/>
      <c r="J11" s="143"/>
      <c r="K11" s="143"/>
      <c r="L11" s="234"/>
      <c r="M11" s="234"/>
      <c r="N11" s="143"/>
      <c r="O11" s="143"/>
      <c r="P11" s="143"/>
    </row>
    <row r="12" spans="1:16">
      <c r="A12" s="25">
        <v>1</v>
      </c>
      <c r="B12" s="148" t="s">
        <v>125</v>
      </c>
      <c r="C12" s="3"/>
      <c r="D12" s="3"/>
      <c r="E12" s="3"/>
      <c r="F12" s="3"/>
      <c r="G12" s="139"/>
      <c r="H12" s="139"/>
      <c r="I12" s="141"/>
      <c r="J12" s="143"/>
      <c r="K12" s="143"/>
      <c r="L12" s="234"/>
      <c r="M12" s="234"/>
      <c r="N12" s="143"/>
      <c r="O12" s="143"/>
      <c r="P12" s="143"/>
    </row>
    <row r="13" spans="1:16">
      <c r="A13" s="25">
        <v>2</v>
      </c>
      <c r="B13" s="148" t="s">
        <v>126</v>
      </c>
      <c r="C13" s="3"/>
      <c r="D13" s="235" t="s">
        <v>13</v>
      </c>
      <c r="E13" s="236"/>
      <c r="F13" s="10"/>
      <c r="G13" s="7"/>
      <c r="H13" s="7"/>
      <c r="I13" s="7"/>
      <c r="J13" s="3"/>
      <c r="K13" s="3"/>
      <c r="L13" s="3"/>
      <c r="M13" s="3"/>
      <c r="N13" s="3"/>
      <c r="O13" s="3"/>
      <c r="P13" s="3"/>
    </row>
    <row r="14" spans="1:16">
      <c r="A14" s="25">
        <v>3</v>
      </c>
      <c r="B14" s="148" t="s">
        <v>127</v>
      </c>
      <c r="C14" s="6"/>
      <c r="D14" s="216" t="s">
        <v>14</v>
      </c>
      <c r="E14" s="217"/>
      <c r="F14" s="10"/>
      <c r="G14" s="7"/>
      <c r="H14" s="7"/>
      <c r="I14" s="7"/>
      <c r="J14" s="3"/>
      <c r="K14" s="3"/>
      <c r="L14" s="3"/>
      <c r="M14" s="3"/>
      <c r="N14" s="3"/>
      <c r="O14" s="3"/>
      <c r="P14" s="3"/>
    </row>
    <row r="15" spans="1:16">
      <c r="A15" s="25">
        <v>4</v>
      </c>
      <c r="B15" s="148" t="s">
        <v>128</v>
      </c>
      <c r="C15" s="3"/>
      <c r="D15" s="218" t="s">
        <v>15</v>
      </c>
      <c r="E15" s="219"/>
      <c r="F15" s="10"/>
      <c r="G15" s="7"/>
      <c r="H15" s="7"/>
      <c r="I15" s="7"/>
      <c r="J15" s="3"/>
      <c r="K15" s="3"/>
      <c r="L15" s="3"/>
      <c r="M15" s="3"/>
      <c r="N15" s="3"/>
      <c r="O15" s="3"/>
      <c r="P15" s="3"/>
    </row>
    <row r="16" spans="1:16">
      <c r="A16" s="25">
        <v>5</v>
      </c>
      <c r="B16" s="148" t="s">
        <v>129</v>
      </c>
      <c r="C16" s="11"/>
      <c r="D16" s="220" t="s">
        <v>16</v>
      </c>
      <c r="E16" s="221"/>
      <c r="F16" s="3"/>
      <c r="G16" s="7"/>
      <c r="H16" s="7"/>
      <c r="I16" s="7"/>
      <c r="J16" s="3"/>
      <c r="K16" s="3"/>
      <c r="L16" s="3"/>
      <c r="M16" s="3"/>
      <c r="N16" s="3"/>
      <c r="O16" s="3"/>
      <c r="P16" s="3"/>
    </row>
    <row r="17" spans="1:16">
      <c r="A17" s="25">
        <v>6</v>
      </c>
      <c r="B17" s="148" t="s">
        <v>130</v>
      </c>
      <c r="C17" s="3"/>
      <c r="D17" s="220" t="s">
        <v>17</v>
      </c>
      <c r="E17" s="2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25">
        <v>7</v>
      </c>
      <c r="B18" s="148" t="s">
        <v>131</v>
      </c>
      <c r="C18" s="3"/>
      <c r="D18" s="1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5.75" thickBot="1">
      <c r="A19" s="25">
        <v>8</v>
      </c>
      <c r="B19" s="148" t="s">
        <v>132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25">
        <v>9</v>
      </c>
      <c r="B20" s="148" t="s">
        <v>133</v>
      </c>
      <c r="C20" s="3"/>
      <c r="D20" s="225" t="s">
        <v>18</v>
      </c>
      <c r="E20" s="226"/>
      <c r="F20" s="226"/>
      <c r="G20" s="226"/>
      <c r="H20" s="226"/>
      <c r="I20" s="227"/>
      <c r="J20" s="3"/>
      <c r="K20" s="3"/>
      <c r="L20" s="3"/>
      <c r="M20" s="3"/>
      <c r="N20" s="3"/>
      <c r="O20" s="3"/>
      <c r="P20" s="3"/>
    </row>
    <row r="21" spans="1:16">
      <c r="A21" s="25">
        <v>10</v>
      </c>
      <c r="B21" s="148" t="s">
        <v>134</v>
      </c>
      <c r="C21" s="3"/>
      <c r="D21" s="228"/>
      <c r="E21" s="229"/>
      <c r="F21" s="229"/>
      <c r="G21" s="229"/>
      <c r="H21" s="229"/>
      <c r="I21" s="230"/>
      <c r="J21" s="3"/>
      <c r="K21" s="3"/>
      <c r="L21" s="200"/>
      <c r="M21" s="200"/>
      <c r="N21" s="3"/>
      <c r="O21" s="3"/>
      <c r="P21" s="3"/>
    </row>
    <row r="22" spans="1:16">
      <c r="A22" s="25">
        <v>11</v>
      </c>
      <c r="B22" s="148" t="s">
        <v>135</v>
      </c>
      <c r="C22" s="3"/>
      <c r="D22" s="228"/>
      <c r="E22" s="229"/>
      <c r="F22" s="229"/>
      <c r="G22" s="229"/>
      <c r="H22" s="229"/>
      <c r="I22" s="230"/>
      <c r="J22" s="3"/>
      <c r="K22" s="3"/>
      <c r="L22" s="200"/>
      <c r="M22" s="200"/>
      <c r="N22" s="3"/>
      <c r="O22" s="3"/>
      <c r="P22" s="3"/>
    </row>
    <row r="23" spans="1:16">
      <c r="A23" s="25">
        <v>12</v>
      </c>
      <c r="B23" s="149" t="s">
        <v>136</v>
      </c>
      <c r="C23" s="3"/>
      <c r="D23" s="201" t="s">
        <v>19</v>
      </c>
      <c r="E23" s="202"/>
      <c r="F23" s="202"/>
      <c r="G23" s="202"/>
      <c r="H23" s="202"/>
      <c r="I23" s="203"/>
      <c r="J23" s="3"/>
      <c r="K23" s="3"/>
      <c r="L23" s="200"/>
      <c r="M23" s="200"/>
      <c r="N23" s="3"/>
      <c r="O23" s="3"/>
      <c r="P23" s="3"/>
    </row>
    <row r="24" spans="1:16">
      <c r="A24" s="25">
        <v>13</v>
      </c>
      <c r="B24" s="148" t="s">
        <v>137</v>
      </c>
      <c r="C24" s="3"/>
      <c r="D24" s="201"/>
      <c r="E24" s="202"/>
      <c r="F24" s="202"/>
      <c r="G24" s="202"/>
      <c r="H24" s="202"/>
      <c r="I24" s="203"/>
      <c r="J24" s="3"/>
      <c r="K24" s="3"/>
      <c r="L24" s="200"/>
      <c r="M24" s="200"/>
      <c r="N24" s="3"/>
      <c r="O24" s="3"/>
      <c r="P24" s="3"/>
    </row>
    <row r="25" spans="1:16" ht="15.75" thickBot="1">
      <c r="A25" s="25">
        <v>14</v>
      </c>
      <c r="B25" s="148" t="s">
        <v>138</v>
      </c>
      <c r="C25" s="3"/>
      <c r="D25" s="204"/>
      <c r="E25" s="205"/>
      <c r="F25" s="205"/>
      <c r="G25" s="205"/>
      <c r="H25" s="205"/>
      <c r="I25" s="206"/>
      <c r="J25" s="3"/>
      <c r="K25" s="3"/>
      <c r="L25" s="3"/>
      <c r="M25" s="3"/>
      <c r="N25" s="3"/>
      <c r="O25" s="3"/>
      <c r="P25" s="3"/>
    </row>
    <row r="26" spans="1:16">
      <c r="A26" s="25">
        <v>15</v>
      </c>
      <c r="B26" s="148" t="s">
        <v>139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5.75">
      <c r="A27" s="25">
        <v>16</v>
      </c>
      <c r="B27" s="148" t="s">
        <v>140</v>
      </c>
      <c r="C27" s="3"/>
      <c r="D27" s="13" t="s">
        <v>20</v>
      </c>
      <c r="E27" s="3"/>
      <c r="F27" s="3"/>
      <c r="G27" s="14"/>
      <c r="H27" s="3"/>
      <c r="I27" s="3"/>
      <c r="J27" s="3"/>
      <c r="K27" s="3"/>
      <c r="L27" s="3"/>
      <c r="M27" s="3"/>
      <c r="N27" s="3"/>
      <c r="O27" s="3"/>
      <c r="P27" s="3"/>
    </row>
    <row r="28" spans="1:16" ht="15.75">
      <c r="A28" s="25">
        <v>17</v>
      </c>
      <c r="B28" s="148" t="s">
        <v>141</v>
      </c>
      <c r="C28" s="3"/>
      <c r="D28" s="13" t="s">
        <v>21</v>
      </c>
      <c r="E28" s="15"/>
      <c r="F28" s="3"/>
      <c r="G28" s="15"/>
      <c r="H28" s="3"/>
      <c r="I28" s="3"/>
      <c r="J28" s="3"/>
      <c r="K28" s="3"/>
      <c r="L28" s="3"/>
      <c r="M28" s="3"/>
      <c r="N28" s="3"/>
      <c r="O28" s="3"/>
      <c r="P28" s="3"/>
    </row>
    <row r="29" spans="1:16" ht="15.75">
      <c r="A29" s="25">
        <v>18</v>
      </c>
      <c r="B29" s="26" t="s">
        <v>142</v>
      </c>
      <c r="C29" s="3"/>
      <c r="D29" s="13" t="s">
        <v>22</v>
      </c>
      <c r="E29" s="14"/>
      <c r="F29" s="3"/>
      <c r="G29" s="15"/>
      <c r="H29" s="3"/>
      <c r="I29" s="3"/>
      <c r="J29" s="3"/>
      <c r="K29" s="3"/>
      <c r="L29" s="3"/>
      <c r="M29" s="3"/>
      <c r="N29" s="3"/>
      <c r="O29" s="3"/>
      <c r="P29" s="3"/>
    </row>
    <row r="30" spans="1:16" ht="15.75">
      <c r="A30" s="25">
        <v>19</v>
      </c>
      <c r="B30" s="26" t="s">
        <v>143</v>
      </c>
      <c r="C30" s="3"/>
      <c r="D30" s="13" t="s">
        <v>23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5.75">
      <c r="A31" s="25">
        <v>20</v>
      </c>
      <c r="B31" s="26" t="s">
        <v>144</v>
      </c>
      <c r="C31" s="3"/>
      <c r="D31" s="13" t="s">
        <v>24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.75" thickBot="1">
      <c r="A32" s="25">
        <v>21</v>
      </c>
      <c r="B32" s="26" t="s">
        <v>145</v>
      </c>
      <c r="C32" s="3"/>
      <c r="D32" s="1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>
      <c r="A33" s="25">
        <v>22</v>
      </c>
      <c r="B33" s="26" t="s">
        <v>146</v>
      </c>
      <c r="C33" s="3"/>
      <c r="D33" s="207" t="s">
        <v>25</v>
      </c>
      <c r="E33" s="208"/>
      <c r="F33" s="208"/>
      <c r="G33" s="209"/>
      <c r="H33" s="3"/>
      <c r="I33" s="3"/>
      <c r="J33" s="3"/>
      <c r="K33" s="3"/>
      <c r="L33" s="3"/>
      <c r="M33" s="3"/>
      <c r="N33" s="3"/>
      <c r="O33" s="3"/>
      <c r="P33" s="3"/>
    </row>
    <row r="34" spans="1:16">
      <c r="A34" s="25">
        <v>23</v>
      </c>
      <c r="B34" s="26" t="s">
        <v>147</v>
      </c>
      <c r="C34" s="3"/>
      <c r="D34" s="210" t="s">
        <v>26</v>
      </c>
      <c r="E34" s="211"/>
      <c r="F34" s="211"/>
      <c r="G34" s="212"/>
      <c r="H34" s="3"/>
      <c r="I34" s="3"/>
      <c r="J34" s="3"/>
      <c r="K34" s="3"/>
      <c r="L34" s="3"/>
      <c r="M34" s="3"/>
      <c r="N34" s="3"/>
      <c r="O34" s="3"/>
      <c r="P34" s="3"/>
    </row>
    <row r="35" spans="1:16">
      <c r="A35" s="25">
        <v>24</v>
      </c>
      <c r="B35" s="26" t="s">
        <v>148</v>
      </c>
      <c r="C35" s="3"/>
      <c r="D35" s="213">
        <v>45198</v>
      </c>
      <c r="E35" s="214"/>
      <c r="F35" s="214"/>
      <c r="G35" s="215"/>
      <c r="H35" s="3"/>
      <c r="I35" s="3"/>
      <c r="J35" s="3"/>
      <c r="K35" s="3"/>
      <c r="L35" s="3"/>
      <c r="M35" s="3"/>
      <c r="N35" s="3"/>
      <c r="O35" s="3"/>
      <c r="P35" s="3"/>
    </row>
    <row r="36" spans="1:16" ht="15.75" thickBot="1">
      <c r="A36" s="25">
        <v>25</v>
      </c>
      <c r="B36" s="26" t="s">
        <v>149</v>
      </c>
      <c r="C36" s="3"/>
      <c r="D36" s="222" t="s">
        <v>27</v>
      </c>
      <c r="E36" s="223"/>
      <c r="F36" s="223"/>
      <c r="G36" s="224"/>
      <c r="H36" s="3"/>
      <c r="I36" s="3"/>
      <c r="J36" s="3"/>
      <c r="K36" s="3"/>
      <c r="L36" s="3"/>
      <c r="M36" s="3"/>
      <c r="N36" s="3"/>
      <c r="O36" s="3"/>
      <c r="P36" s="3"/>
    </row>
    <row r="37" spans="1:16">
      <c r="A37" s="25">
        <v>26</v>
      </c>
      <c r="B37" s="26" t="s">
        <v>150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>
      <c r="A38" s="25">
        <v>27</v>
      </c>
      <c r="B38" s="26" t="s">
        <v>151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>
      <c r="A39" s="25">
        <v>28</v>
      </c>
      <c r="B39" s="26" t="s">
        <v>152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>
      <c r="A40" s="25">
        <v>29</v>
      </c>
      <c r="B40" s="27" t="s">
        <v>153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>
      <c r="A41" s="25">
        <v>30</v>
      </c>
      <c r="B41" s="26" t="s">
        <v>154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>
      <c r="A42" s="25">
        <v>31</v>
      </c>
      <c r="B42" s="26" t="s">
        <v>155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>
      <c r="A43" s="25">
        <v>32</v>
      </c>
      <c r="B43" s="26" t="s">
        <v>156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>
      <c r="A44" s="25">
        <v>33</v>
      </c>
      <c r="B44" s="26" t="s">
        <v>157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>
      <c r="A45" s="25">
        <v>34</v>
      </c>
      <c r="B45" s="26" t="s">
        <v>158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>
      <c r="A46" s="25">
        <v>35</v>
      </c>
      <c r="B46" s="26" t="s">
        <v>159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>
      <c r="A47" s="25">
        <v>36</v>
      </c>
      <c r="B47" s="2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>
      <c r="A48" s="25">
        <v>37</v>
      </c>
      <c r="B48" s="26"/>
      <c r="C48" s="3"/>
      <c r="D48" s="1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>
      <c r="A49" s="25">
        <v>38</v>
      </c>
      <c r="B49" s="26"/>
      <c r="C49" s="3"/>
      <c r="D49" s="14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>
      <c r="A50" s="25">
        <v>39</v>
      </c>
      <c r="B50" s="26"/>
      <c r="C50" s="3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>
      <c r="A51" s="25">
        <v>40</v>
      </c>
      <c r="B51" s="26"/>
      <c r="C51" s="3"/>
      <c r="D51" s="1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>
      <c r="A52" s="25">
        <v>41</v>
      </c>
      <c r="B52" s="2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>
      <c r="A53" s="25">
        <v>42</v>
      </c>
      <c r="B53" s="2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>
      <c r="A54" s="25">
        <v>43</v>
      </c>
      <c r="B54" s="2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>
      <c r="A55" s="25">
        <v>44</v>
      </c>
      <c r="B55" s="2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ht="15.75" thickBot="1">
      <c r="A56" s="28">
        <v>45</v>
      </c>
      <c r="B56" s="2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</sheetData>
  <mergeCells count="31">
    <mergeCell ref="L11:M12"/>
    <mergeCell ref="D13:E13"/>
    <mergeCell ref="C1:D1"/>
    <mergeCell ref="I1:L1"/>
    <mergeCell ref="D2:E2"/>
    <mergeCell ref="G2:I2"/>
    <mergeCell ref="D3:E3"/>
    <mergeCell ref="G8:H9"/>
    <mergeCell ref="J8:K9"/>
    <mergeCell ref="L8:M9"/>
    <mergeCell ref="N8:O9"/>
    <mergeCell ref="D4:E4"/>
    <mergeCell ref="G4:H4"/>
    <mergeCell ref="J4:K4"/>
    <mergeCell ref="L4:M4"/>
    <mergeCell ref="N4:O4"/>
    <mergeCell ref="G6:H6"/>
    <mergeCell ref="J6:K6"/>
    <mergeCell ref="L6:M6"/>
    <mergeCell ref="N6:O6"/>
    <mergeCell ref="D14:E14"/>
    <mergeCell ref="D15:E15"/>
    <mergeCell ref="D16:E16"/>
    <mergeCell ref="D36:G36"/>
    <mergeCell ref="D20:I22"/>
    <mergeCell ref="D17:E17"/>
    <mergeCell ref="L21:M24"/>
    <mergeCell ref="D23:I25"/>
    <mergeCell ref="D33:G33"/>
    <mergeCell ref="D34:G34"/>
    <mergeCell ref="D35:G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1" workbookViewId="0">
      <selection activeCell="O11" sqref="O11:O14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5703125" style="31" customWidth="1"/>
    <col min="10" max="15" width="8.7109375" style="31" customWidth="1"/>
    <col min="16" max="16384" width="11.42578125" style="31"/>
  </cols>
  <sheetData>
    <row r="1" spans="1:19" ht="18">
      <c r="A1" s="264" t="s">
        <v>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169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0" t="s">
        <v>28</v>
      </c>
      <c r="C3" s="273" t="str">
        <f>DATOS!B5</f>
        <v>Décimo EGB A</v>
      </c>
      <c r="D3" s="273"/>
      <c r="E3" s="273"/>
      <c r="F3" s="273"/>
      <c r="G3" s="273"/>
      <c r="H3" s="273"/>
      <c r="I3" s="265" t="s">
        <v>29</v>
      </c>
      <c r="J3" s="265"/>
      <c r="K3" s="265"/>
      <c r="L3" s="265"/>
      <c r="M3" s="265"/>
      <c r="N3" s="175"/>
      <c r="O3" s="32"/>
      <c r="P3" s="30"/>
      <c r="Q3" s="30"/>
      <c r="R3" s="30"/>
      <c r="S3" s="30"/>
    </row>
    <row r="4" spans="1:19" ht="18.75" thickTop="1" thickBot="1">
      <c r="A4" s="30"/>
      <c r="B4" s="50" t="s">
        <v>30</v>
      </c>
      <c r="C4" s="273" t="str">
        <f>DATOS!B4</f>
        <v>Msc. Myrian Zurita</v>
      </c>
      <c r="D4" s="273"/>
      <c r="E4" s="273"/>
      <c r="F4" s="273"/>
      <c r="G4" s="273"/>
      <c r="H4" s="273"/>
      <c r="I4" s="266" t="s">
        <v>31</v>
      </c>
      <c r="J4" s="267"/>
      <c r="K4" s="267"/>
      <c r="L4" s="267"/>
      <c r="M4" s="267"/>
      <c r="N4" s="176"/>
      <c r="O4" s="33"/>
      <c r="P4" s="30"/>
      <c r="Q4" s="30"/>
      <c r="R4" s="30"/>
      <c r="S4" s="30"/>
    </row>
    <row r="5" spans="1:19" ht="18.75" thickTop="1" thickBot="1">
      <c r="A5" s="30"/>
      <c r="B5" s="50" t="s">
        <v>32</v>
      </c>
      <c r="C5" s="273" t="str">
        <f>DATOS!B3</f>
        <v>Educación Cultural y Artitica</v>
      </c>
      <c r="D5" s="273"/>
      <c r="E5" s="273"/>
      <c r="F5" s="273"/>
      <c r="G5" s="273"/>
      <c r="H5" s="273"/>
      <c r="I5" s="268"/>
      <c r="J5" s="268"/>
      <c r="K5" s="268"/>
      <c r="L5" s="268"/>
      <c r="M5" s="268"/>
      <c r="N5" s="17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69" t="s">
        <v>33</v>
      </c>
      <c r="B10" s="271" t="s">
        <v>34</v>
      </c>
      <c r="C10" s="274" t="s">
        <v>35</v>
      </c>
      <c r="D10" s="275"/>
      <c r="E10" s="275"/>
      <c r="F10" s="275"/>
      <c r="G10" s="275"/>
      <c r="H10" s="276"/>
      <c r="I10" s="37"/>
      <c r="J10" s="260" t="s">
        <v>36</v>
      </c>
      <c r="K10" s="261"/>
      <c r="L10" s="261"/>
      <c r="M10" s="261"/>
      <c r="N10" s="261"/>
      <c r="O10" s="262"/>
      <c r="P10" s="241" t="s">
        <v>37</v>
      </c>
      <c r="Q10" s="242"/>
      <c r="R10" s="35"/>
      <c r="S10" s="35"/>
    </row>
    <row r="11" spans="1:19" ht="15.75" customHeight="1" thickBot="1">
      <c r="A11" s="270"/>
      <c r="B11" s="272"/>
      <c r="C11" s="245">
        <v>0.45</v>
      </c>
      <c r="D11" s="246"/>
      <c r="E11" s="246"/>
      <c r="F11" s="249" t="s">
        <v>44</v>
      </c>
      <c r="G11" s="258" t="s">
        <v>168</v>
      </c>
      <c r="H11" s="258" t="s">
        <v>43</v>
      </c>
      <c r="I11" s="38"/>
      <c r="J11" s="245">
        <v>0.45</v>
      </c>
      <c r="K11" s="251"/>
      <c r="L11" s="251"/>
      <c r="M11" s="249" t="s">
        <v>44</v>
      </c>
      <c r="N11" s="258" t="s">
        <v>168</v>
      </c>
      <c r="O11" s="258" t="s">
        <v>43</v>
      </c>
      <c r="P11" s="243"/>
      <c r="Q11" s="244"/>
      <c r="R11" s="35"/>
      <c r="S11" s="35"/>
    </row>
    <row r="12" spans="1:19">
      <c r="A12" s="270"/>
      <c r="B12" s="272"/>
      <c r="C12" s="247"/>
      <c r="D12" s="248"/>
      <c r="E12" s="248"/>
      <c r="F12" s="250"/>
      <c r="G12" s="259"/>
      <c r="H12" s="259"/>
      <c r="I12" s="39"/>
      <c r="J12" s="247"/>
      <c r="K12" s="248"/>
      <c r="L12" s="248"/>
      <c r="M12" s="250"/>
      <c r="N12" s="259"/>
      <c r="O12" s="259"/>
      <c r="P12" s="254" t="s">
        <v>38</v>
      </c>
      <c r="Q12" s="256" t="s">
        <v>39</v>
      </c>
      <c r="R12" s="35"/>
      <c r="S12" s="35"/>
    </row>
    <row r="13" spans="1:19" ht="15.75" thickBot="1">
      <c r="A13" s="270"/>
      <c r="B13" s="272"/>
      <c r="C13" s="247"/>
      <c r="D13" s="248"/>
      <c r="E13" s="248"/>
      <c r="F13" s="250"/>
      <c r="G13" s="259"/>
      <c r="H13" s="259"/>
      <c r="I13" s="39"/>
      <c r="J13" s="252"/>
      <c r="K13" s="253"/>
      <c r="L13" s="253"/>
      <c r="M13" s="250"/>
      <c r="N13" s="259"/>
      <c r="O13" s="259"/>
      <c r="P13" s="255"/>
      <c r="Q13" s="257"/>
      <c r="R13" s="35"/>
      <c r="S13" s="35"/>
    </row>
    <row r="14" spans="1:19" ht="27" customHeight="1" thickBot="1">
      <c r="A14" s="270"/>
      <c r="B14" s="272"/>
      <c r="C14" s="40" t="s">
        <v>40</v>
      </c>
      <c r="D14" s="41" t="s">
        <v>41</v>
      </c>
      <c r="E14" s="42" t="s">
        <v>42</v>
      </c>
      <c r="F14" s="250"/>
      <c r="G14" s="263"/>
      <c r="H14" s="259"/>
      <c r="I14" s="43"/>
      <c r="J14" s="42" t="s">
        <v>40</v>
      </c>
      <c r="K14" s="41" t="s">
        <v>41</v>
      </c>
      <c r="L14" s="44" t="s">
        <v>42</v>
      </c>
      <c r="M14" s="250"/>
      <c r="N14" s="263"/>
      <c r="O14" s="259"/>
      <c r="P14" s="255"/>
      <c r="Q14" s="257"/>
      <c r="R14" s="35"/>
      <c r="S14" s="35"/>
    </row>
    <row r="15" spans="1:19" ht="16.5" thickTop="1" thickBot="1">
      <c r="A15" s="45">
        <f>IF(B15="","",1)</f>
        <v>1</v>
      </c>
      <c r="B15" s="51" t="str">
        <f>DATOS!B12</f>
        <v>AIMACAÑA LEMA JOSELYN MARISOL</v>
      </c>
      <c r="C15" s="144">
        <v>9</v>
      </c>
      <c r="D15" s="145">
        <v>9</v>
      </c>
      <c r="E15" s="145">
        <v>10</v>
      </c>
      <c r="F15" s="54">
        <f>TRUNC(AVERAGE(C15:E15),2)</f>
        <v>9.33</v>
      </c>
      <c r="G15" s="173">
        <f>ROUND(F15,0)</f>
        <v>9</v>
      </c>
      <c r="H15" s="174" t="str">
        <f>IF(ROUND(F15,0)=10,"A+",IF(ROUND(F15,0)=9,"A-",IF(ROUND(F15,0)=8,"B+",IF(ROUND(F15,0)=7,"B-",IF(ROUND(F15,0)=6,"C+",IF(ROUND(F15,0)=5,"C-",IF(ROUND(F15,0)=4,"D+",IF(ROUND(F15,0)=3,"D-",IF(ROUND(F15,0)=2,"E+",IF(ROUND(F15,0)=1,"E-"))))))))))</f>
        <v>A-</v>
      </c>
      <c r="I15" s="46"/>
      <c r="J15" s="166">
        <v>9</v>
      </c>
      <c r="K15" s="166">
        <v>8</v>
      </c>
      <c r="L15" s="166">
        <v>10</v>
      </c>
      <c r="M15" s="54">
        <f>TRUNC(AVERAGE(J15:L15),2)</f>
        <v>9</v>
      </c>
      <c r="N15" s="173">
        <f>ROUND(M15,0)</f>
        <v>9</v>
      </c>
      <c r="O15" s="178" t="str">
        <f>IF(ROUND(M15,0)=10,"A+",IF(ROUND(M15,0)=9,"A-",IF(ROUND(M15,0)=8,"B+",IF(ROUND(M15,0)=7,"B-",IF(ROUND(M15,0)=6,"C+",IF(ROUND(M15,0)=5,"C-",IF(ROUND(M15,0)=4,"D+",IF(ROUND(M15,0)=3,"D-",IF(ROUND(M15,0)=2,"E+",IF(ROUND(M15,0)=1,"E-"))))))))))</f>
        <v>A-</v>
      </c>
      <c r="P15" s="150">
        <v>8.14</v>
      </c>
      <c r="Q15" s="150">
        <v>9</v>
      </c>
      <c r="R15" s="35"/>
      <c r="S15" s="35"/>
    </row>
    <row r="16" spans="1:19" ht="16.5" thickTop="1" thickBot="1">
      <c r="A16" s="47">
        <f>IF(B16="","",2)</f>
        <v>2</v>
      </c>
      <c r="B16" s="52" t="str">
        <f>DATOS!B13</f>
        <v>ALMACHI YUGCHA AYAN MIGUEL</v>
      </c>
      <c r="C16" s="144">
        <v>9</v>
      </c>
      <c r="D16" s="145">
        <v>9</v>
      </c>
      <c r="E16" s="145">
        <v>8</v>
      </c>
      <c r="F16" s="54">
        <f t="shared" ref="F16:F59" si="0">TRUNC(AVERAGE(C16:E16),2)</f>
        <v>8.66</v>
      </c>
      <c r="G16" s="173">
        <f t="shared" ref="G16:G59" si="1">ROUND(F16,0)</f>
        <v>9</v>
      </c>
      <c r="H16" s="174" t="str">
        <f>IF(ROUND(F16,0)=10,"A+",IF(ROUND(F16,0)=9,"A-",IF(ROUND(F16,0)=8,"B+",IF(ROUND(F16,0)=7,"B-",IF(ROUND(F16,0)=6,"C+",IF(ROUND(F16,0)=5,"C-",IF(ROUND(F16,0)=4,"D+",IF(ROUND(F16,0)=3,"D-",IF(ROUND(F16,0)=2,"E+",IF(ROUND(F16,0)=1,"E-"))))))))))</f>
        <v>A-</v>
      </c>
      <c r="I16" s="46"/>
      <c r="J16" s="166">
        <v>8</v>
      </c>
      <c r="K16" s="166">
        <v>8</v>
      </c>
      <c r="L16" s="166">
        <v>8</v>
      </c>
      <c r="M16" s="54">
        <f t="shared" ref="M16:M59" si="2">TRUNC(AVERAGE(J16:L16),2)</f>
        <v>8</v>
      </c>
      <c r="N16" s="173">
        <f t="shared" ref="N16:N59" si="3">ROUND(M16,0)</f>
        <v>8</v>
      </c>
      <c r="O16" s="178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B+</v>
      </c>
      <c r="P16" s="150">
        <v>7.28</v>
      </c>
      <c r="Q16" s="150">
        <v>7</v>
      </c>
      <c r="R16" s="35"/>
      <c r="S16" s="35"/>
    </row>
    <row r="17" spans="1:19" ht="16.5" customHeight="1" thickTop="1" thickBot="1">
      <c r="A17" s="47">
        <f>IF(B17="","",3)</f>
        <v>3</v>
      </c>
      <c r="B17" s="52" t="str">
        <f>DATOS!B14</f>
        <v>ANCHUNDIA PLUAS KEYSI BETSABED</v>
      </c>
      <c r="C17" s="144">
        <v>8</v>
      </c>
      <c r="D17" s="145">
        <v>7</v>
      </c>
      <c r="E17" s="145">
        <v>7</v>
      </c>
      <c r="F17" s="54">
        <f t="shared" si="0"/>
        <v>7.33</v>
      </c>
      <c r="G17" s="173">
        <f t="shared" si="1"/>
        <v>7</v>
      </c>
      <c r="H17" s="174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B-</v>
      </c>
      <c r="I17" s="46"/>
      <c r="J17" s="166">
        <v>8.5</v>
      </c>
      <c r="K17" s="166">
        <v>7</v>
      </c>
      <c r="L17" s="166">
        <v>8</v>
      </c>
      <c r="M17" s="54">
        <f t="shared" si="2"/>
        <v>7.83</v>
      </c>
      <c r="N17" s="173">
        <f t="shared" si="3"/>
        <v>8</v>
      </c>
      <c r="O17" s="178" t="str">
        <f t="shared" si="4"/>
        <v>B+</v>
      </c>
      <c r="P17" s="150">
        <v>8.89</v>
      </c>
      <c r="Q17" s="150">
        <v>6</v>
      </c>
      <c r="R17" s="35"/>
      <c r="S17" s="35"/>
    </row>
    <row r="18" spans="1:19" ht="16.5" thickTop="1" thickBot="1">
      <c r="A18" s="47">
        <f>IF(B18="","",4)</f>
        <v>4</v>
      </c>
      <c r="B18" s="52" t="str">
        <f>DATOS!B15</f>
        <v>ANCHUNDIA SUAREZ MAILY VALENTINA</v>
      </c>
      <c r="C18" s="144">
        <v>10</v>
      </c>
      <c r="D18" s="145">
        <v>8.5</v>
      </c>
      <c r="E18" s="145">
        <v>10</v>
      </c>
      <c r="F18" s="54">
        <f t="shared" si="0"/>
        <v>9.5</v>
      </c>
      <c r="G18" s="173">
        <f t="shared" si="1"/>
        <v>10</v>
      </c>
      <c r="H18" s="174" t="str">
        <f t="shared" si="5"/>
        <v>A+</v>
      </c>
      <c r="I18" s="46"/>
      <c r="J18" s="166">
        <v>9</v>
      </c>
      <c r="K18" s="166">
        <v>9</v>
      </c>
      <c r="L18" s="166">
        <v>8</v>
      </c>
      <c r="M18" s="54">
        <f t="shared" si="2"/>
        <v>8.66</v>
      </c>
      <c r="N18" s="173">
        <f t="shared" si="3"/>
        <v>9</v>
      </c>
      <c r="O18" s="178" t="str">
        <f t="shared" si="4"/>
        <v>A-</v>
      </c>
      <c r="P18" s="150">
        <v>6.57</v>
      </c>
      <c r="Q18" s="150">
        <v>7</v>
      </c>
      <c r="R18" s="35"/>
      <c r="S18" s="35"/>
    </row>
    <row r="19" spans="1:19" ht="16.5" thickTop="1" thickBot="1">
      <c r="A19" s="47">
        <f>IF(B19="","",5)</f>
        <v>5</v>
      </c>
      <c r="B19" s="52" t="str">
        <f>DATOS!B16</f>
        <v>CAIZA CHICAIZA BRYAN JOEL</v>
      </c>
      <c r="C19" s="144">
        <v>8.5</v>
      </c>
      <c r="D19" s="145">
        <v>8</v>
      </c>
      <c r="E19" s="145">
        <v>8</v>
      </c>
      <c r="F19" s="54">
        <f t="shared" si="0"/>
        <v>8.16</v>
      </c>
      <c r="G19" s="173">
        <f t="shared" si="1"/>
        <v>8</v>
      </c>
      <c r="H19" s="174" t="str">
        <f t="shared" si="5"/>
        <v>B+</v>
      </c>
      <c r="I19" s="46"/>
      <c r="J19" s="166">
        <v>8</v>
      </c>
      <c r="K19" s="166">
        <v>9</v>
      </c>
      <c r="L19" s="166">
        <v>8</v>
      </c>
      <c r="M19" s="54">
        <f t="shared" si="2"/>
        <v>8.33</v>
      </c>
      <c r="N19" s="173">
        <f t="shared" si="3"/>
        <v>8</v>
      </c>
      <c r="O19" s="178" t="str">
        <f t="shared" si="4"/>
        <v>B+</v>
      </c>
      <c r="P19" s="150">
        <v>8.1</v>
      </c>
      <c r="Q19" s="150">
        <v>9.5</v>
      </c>
      <c r="R19" s="35"/>
      <c r="S19" s="35"/>
    </row>
    <row r="20" spans="1:19" ht="16.5" thickTop="1" thickBot="1">
      <c r="A20" s="47">
        <f>IF(B20="","",6)</f>
        <v>6</v>
      </c>
      <c r="B20" s="52" t="str">
        <f>DATOS!B17</f>
        <v>CASA CASA JOSUE DAVID</v>
      </c>
      <c r="C20" s="144">
        <v>9</v>
      </c>
      <c r="D20" s="145">
        <v>8</v>
      </c>
      <c r="E20" s="145">
        <v>8</v>
      </c>
      <c r="F20" s="54">
        <f t="shared" si="0"/>
        <v>8.33</v>
      </c>
      <c r="G20" s="173">
        <f t="shared" si="1"/>
        <v>8</v>
      </c>
      <c r="H20" s="174" t="str">
        <f t="shared" si="5"/>
        <v>B+</v>
      </c>
      <c r="I20" s="46"/>
      <c r="J20" s="166">
        <v>9</v>
      </c>
      <c r="K20" s="166">
        <v>7</v>
      </c>
      <c r="L20" s="166">
        <v>8</v>
      </c>
      <c r="M20" s="54">
        <f t="shared" si="2"/>
        <v>8</v>
      </c>
      <c r="N20" s="173">
        <f t="shared" si="3"/>
        <v>8</v>
      </c>
      <c r="O20" s="178" t="str">
        <f t="shared" si="4"/>
        <v>B+</v>
      </c>
      <c r="P20" s="150">
        <v>7.14</v>
      </c>
      <c r="Q20" s="150">
        <v>7</v>
      </c>
      <c r="R20" s="35"/>
      <c r="S20" s="35"/>
    </row>
    <row r="21" spans="1:19" ht="16.5" thickTop="1" thickBot="1">
      <c r="A21" s="47">
        <f>IF(B21="","",7)</f>
        <v>7</v>
      </c>
      <c r="B21" s="52" t="str">
        <f>DATOS!B18</f>
        <v>CASA TASINCHANA MARIA MERCEDES</v>
      </c>
      <c r="C21" s="144">
        <v>9</v>
      </c>
      <c r="D21" s="145">
        <v>9</v>
      </c>
      <c r="E21" s="145">
        <v>8</v>
      </c>
      <c r="F21" s="54">
        <f t="shared" si="0"/>
        <v>8.66</v>
      </c>
      <c r="G21" s="173">
        <f t="shared" si="1"/>
        <v>9</v>
      </c>
      <c r="H21" s="174" t="str">
        <f t="shared" si="5"/>
        <v>A-</v>
      </c>
      <c r="I21" s="46"/>
      <c r="J21" s="166">
        <v>9</v>
      </c>
      <c r="K21" s="166">
        <v>9</v>
      </c>
      <c r="L21" s="166">
        <v>8</v>
      </c>
      <c r="M21" s="54">
        <f t="shared" si="2"/>
        <v>8.66</v>
      </c>
      <c r="N21" s="173">
        <f t="shared" si="3"/>
        <v>9</v>
      </c>
      <c r="O21" s="178" t="str">
        <f t="shared" si="4"/>
        <v>A-</v>
      </c>
      <c r="P21" s="150">
        <v>7.42</v>
      </c>
      <c r="Q21" s="150">
        <v>7</v>
      </c>
      <c r="R21" s="35"/>
      <c r="S21" s="35"/>
    </row>
    <row r="22" spans="1:19" ht="16.5" thickTop="1" thickBot="1">
      <c r="A22" s="47">
        <f>IF(B22="","",8)</f>
        <v>8</v>
      </c>
      <c r="B22" s="52" t="str">
        <f>DATOS!B19</f>
        <v>CASA TUSO KATTY LISETH</v>
      </c>
      <c r="C22" s="144">
        <v>9</v>
      </c>
      <c r="D22" s="145">
        <v>9</v>
      </c>
      <c r="E22" s="145">
        <v>10</v>
      </c>
      <c r="F22" s="54">
        <f t="shared" si="0"/>
        <v>9.33</v>
      </c>
      <c r="G22" s="173">
        <f t="shared" si="1"/>
        <v>9</v>
      </c>
      <c r="H22" s="174" t="str">
        <f t="shared" si="5"/>
        <v>A-</v>
      </c>
      <c r="I22" s="46"/>
      <c r="J22" s="166">
        <v>9</v>
      </c>
      <c r="K22" s="166">
        <v>9.5</v>
      </c>
      <c r="L22" s="166">
        <v>9.5</v>
      </c>
      <c r="M22" s="54">
        <f t="shared" si="2"/>
        <v>9.33</v>
      </c>
      <c r="N22" s="173">
        <f t="shared" si="3"/>
        <v>9</v>
      </c>
      <c r="O22" s="178" t="str">
        <f t="shared" si="4"/>
        <v>A-</v>
      </c>
      <c r="P22" s="150">
        <v>8.7100000000000009</v>
      </c>
      <c r="Q22" s="150">
        <v>8</v>
      </c>
      <c r="R22" s="35"/>
      <c r="S22" s="35"/>
    </row>
    <row r="23" spans="1:19" ht="16.5" customHeight="1" thickTop="1" thickBot="1">
      <c r="A23" s="47">
        <f>IF(B23="","",9)</f>
        <v>9</v>
      </c>
      <c r="B23" s="52" t="str">
        <f>DATOS!B20</f>
        <v>CENTENO GUISÑAN ALISON PAMELA</v>
      </c>
      <c r="C23" s="144">
        <v>8.5</v>
      </c>
      <c r="D23" s="145">
        <v>8</v>
      </c>
      <c r="E23" s="145">
        <v>8</v>
      </c>
      <c r="F23" s="54">
        <f t="shared" si="0"/>
        <v>8.16</v>
      </c>
      <c r="G23" s="173">
        <f t="shared" si="1"/>
        <v>8</v>
      </c>
      <c r="H23" s="174" t="str">
        <f t="shared" si="5"/>
        <v>B+</v>
      </c>
      <c r="I23" s="46"/>
      <c r="J23" s="166">
        <v>9.5</v>
      </c>
      <c r="K23" s="166">
        <v>8</v>
      </c>
      <c r="L23" s="166">
        <v>8</v>
      </c>
      <c r="M23" s="54">
        <f t="shared" si="2"/>
        <v>8.5</v>
      </c>
      <c r="N23" s="173">
        <f t="shared" si="3"/>
        <v>9</v>
      </c>
      <c r="O23" s="178" t="str">
        <f t="shared" si="4"/>
        <v>A-</v>
      </c>
      <c r="P23" s="150">
        <v>7.89</v>
      </c>
      <c r="Q23" s="150">
        <v>6</v>
      </c>
      <c r="R23" s="35"/>
      <c r="S23" s="35"/>
    </row>
    <row r="24" spans="1:19" ht="16.5" thickTop="1" thickBot="1">
      <c r="A24" s="47">
        <f>IF(B24="","",10)</f>
        <v>10</v>
      </c>
      <c r="B24" s="52" t="str">
        <f>DATOS!B21</f>
        <v>CHANCUSIG CHILIQUINGA NORMA NICOLE</v>
      </c>
      <c r="C24" s="144">
        <v>8</v>
      </c>
      <c r="D24" s="145">
        <v>8</v>
      </c>
      <c r="E24" s="145">
        <v>8</v>
      </c>
      <c r="F24" s="54">
        <f t="shared" si="0"/>
        <v>8</v>
      </c>
      <c r="G24" s="173">
        <f t="shared" si="1"/>
        <v>8</v>
      </c>
      <c r="H24" s="174" t="str">
        <f t="shared" si="5"/>
        <v>B+</v>
      </c>
      <c r="I24" s="46"/>
      <c r="J24" s="166">
        <v>8</v>
      </c>
      <c r="K24" s="166">
        <v>8</v>
      </c>
      <c r="L24" s="166">
        <v>8</v>
      </c>
      <c r="M24" s="54">
        <f t="shared" si="2"/>
        <v>8</v>
      </c>
      <c r="N24" s="173">
        <f t="shared" si="3"/>
        <v>8</v>
      </c>
      <c r="O24" s="178" t="str">
        <f t="shared" si="4"/>
        <v>B+</v>
      </c>
      <c r="P24" s="150">
        <v>7</v>
      </c>
      <c r="Q24" s="150">
        <v>7</v>
      </c>
      <c r="R24" s="35"/>
      <c r="S24" s="35"/>
    </row>
    <row r="25" spans="1:19" ht="16.5" thickTop="1" thickBot="1">
      <c r="A25" s="47">
        <f>IF(B25="","",11)</f>
        <v>11</v>
      </c>
      <c r="B25" s="52" t="str">
        <f>DATOS!B22</f>
        <v>CHASI CHANCUSIG JORGE LUIS</v>
      </c>
      <c r="C25" s="144">
        <v>8.5</v>
      </c>
      <c r="D25" s="145">
        <v>7</v>
      </c>
      <c r="E25" s="145">
        <v>7</v>
      </c>
      <c r="F25" s="54">
        <f t="shared" si="0"/>
        <v>7.5</v>
      </c>
      <c r="G25" s="173">
        <f t="shared" si="1"/>
        <v>8</v>
      </c>
      <c r="H25" s="174" t="str">
        <f t="shared" si="5"/>
        <v>B+</v>
      </c>
      <c r="I25" s="46"/>
      <c r="J25" s="166">
        <v>8</v>
      </c>
      <c r="K25" s="166">
        <v>7</v>
      </c>
      <c r="L25" s="166">
        <v>7</v>
      </c>
      <c r="M25" s="54">
        <f t="shared" si="2"/>
        <v>7.33</v>
      </c>
      <c r="N25" s="173">
        <f t="shared" si="3"/>
        <v>7</v>
      </c>
      <c r="O25" s="178" t="str">
        <f t="shared" si="4"/>
        <v>B-</v>
      </c>
      <c r="P25" s="150">
        <v>7.14</v>
      </c>
      <c r="Q25" s="150">
        <v>5</v>
      </c>
      <c r="R25" s="35"/>
      <c r="S25" s="35"/>
    </row>
    <row r="26" spans="1:19" ht="16.5" thickTop="1" thickBot="1">
      <c r="A26" s="47">
        <f>IF(B26="","",12)</f>
        <v>12</v>
      </c>
      <c r="B26" s="52" t="str">
        <f>DATOS!B23</f>
        <v>CHUQUI PASSO BRITHANY SOLANGE</v>
      </c>
      <c r="C26" s="144">
        <v>8.5</v>
      </c>
      <c r="D26" s="145">
        <v>9.5</v>
      </c>
      <c r="E26" s="145">
        <v>8</v>
      </c>
      <c r="F26" s="54">
        <f t="shared" si="0"/>
        <v>8.66</v>
      </c>
      <c r="G26" s="173">
        <f t="shared" si="1"/>
        <v>9</v>
      </c>
      <c r="H26" s="174" t="str">
        <f t="shared" si="5"/>
        <v>A-</v>
      </c>
      <c r="I26" s="46"/>
      <c r="J26" s="166">
        <v>10</v>
      </c>
      <c r="K26" s="166">
        <v>8</v>
      </c>
      <c r="L26" s="166">
        <v>8.5</v>
      </c>
      <c r="M26" s="54">
        <f t="shared" si="2"/>
        <v>8.83</v>
      </c>
      <c r="N26" s="173">
        <f t="shared" si="3"/>
        <v>9</v>
      </c>
      <c r="O26" s="178" t="str">
        <f t="shared" si="4"/>
        <v>A-</v>
      </c>
      <c r="P26" s="150">
        <v>9.2799999999999994</v>
      </c>
      <c r="Q26" s="150">
        <v>6.5</v>
      </c>
      <c r="R26" s="35"/>
      <c r="S26" s="35"/>
    </row>
    <row r="27" spans="1:19" ht="16.5" thickTop="1" thickBot="1">
      <c r="A27" s="47">
        <f>IF(B27="","",13)</f>
        <v>13</v>
      </c>
      <c r="B27" s="52" t="str">
        <f>DATOS!B24</f>
        <v>CUCHIPARTE CASA KARLA CAROLINA</v>
      </c>
      <c r="C27" s="144">
        <v>9.5</v>
      </c>
      <c r="D27" s="145">
        <v>8.5</v>
      </c>
      <c r="E27" s="145">
        <v>10</v>
      </c>
      <c r="F27" s="54">
        <f t="shared" si="0"/>
        <v>9.33</v>
      </c>
      <c r="G27" s="173">
        <f t="shared" si="1"/>
        <v>9</v>
      </c>
      <c r="H27" s="174" t="str">
        <f t="shared" si="5"/>
        <v>A-</v>
      </c>
      <c r="I27" s="46"/>
      <c r="J27" s="166">
        <v>9</v>
      </c>
      <c r="K27" s="166">
        <v>10</v>
      </c>
      <c r="L27" s="166">
        <v>9</v>
      </c>
      <c r="M27" s="54">
        <f t="shared" si="2"/>
        <v>9.33</v>
      </c>
      <c r="N27" s="173">
        <f t="shared" si="3"/>
        <v>9</v>
      </c>
      <c r="O27" s="178" t="str">
        <f t="shared" si="4"/>
        <v>A-</v>
      </c>
      <c r="P27" s="150">
        <v>9.32</v>
      </c>
      <c r="Q27" s="150">
        <v>8.5</v>
      </c>
      <c r="R27" s="35"/>
      <c r="S27" s="35"/>
    </row>
    <row r="28" spans="1:19" ht="16.5" thickTop="1" thickBot="1">
      <c r="A28" s="47">
        <f>IF(B28="","",14)</f>
        <v>14</v>
      </c>
      <c r="B28" s="52" t="str">
        <f>DATOS!B25</f>
        <v>GUAÑA CHINGO EDGAR ISMAEL</v>
      </c>
      <c r="C28" s="144">
        <v>8</v>
      </c>
      <c r="D28" s="145">
        <v>8</v>
      </c>
      <c r="E28" s="145">
        <v>8</v>
      </c>
      <c r="F28" s="54">
        <f t="shared" si="0"/>
        <v>8</v>
      </c>
      <c r="G28" s="173">
        <f t="shared" si="1"/>
        <v>8</v>
      </c>
      <c r="H28" s="174" t="str">
        <f t="shared" si="5"/>
        <v>B+</v>
      </c>
      <c r="I28" s="46"/>
      <c r="J28" s="166">
        <v>8</v>
      </c>
      <c r="K28" s="166">
        <v>8</v>
      </c>
      <c r="L28" s="166">
        <v>8</v>
      </c>
      <c r="M28" s="54">
        <f t="shared" si="2"/>
        <v>8</v>
      </c>
      <c r="N28" s="173">
        <f t="shared" si="3"/>
        <v>8</v>
      </c>
      <c r="O28" s="178" t="str">
        <f t="shared" si="4"/>
        <v>B+</v>
      </c>
      <c r="P28" s="150">
        <v>7.96</v>
      </c>
      <c r="Q28" s="150">
        <v>8.5</v>
      </c>
      <c r="R28" s="35"/>
      <c r="S28" s="35"/>
    </row>
    <row r="29" spans="1:19" ht="16.5" customHeight="1" thickTop="1" thickBot="1">
      <c r="A29" s="47">
        <f>IF(B29="","",15)</f>
        <v>15</v>
      </c>
      <c r="B29" s="52" t="str">
        <f>DATOS!B26</f>
        <v>IZA CASA ANGEL DAVID</v>
      </c>
      <c r="C29" s="144">
        <v>8</v>
      </c>
      <c r="D29" s="145">
        <v>7</v>
      </c>
      <c r="E29" s="145">
        <v>7</v>
      </c>
      <c r="F29" s="54">
        <f t="shared" si="0"/>
        <v>7.33</v>
      </c>
      <c r="G29" s="173">
        <f t="shared" si="1"/>
        <v>7</v>
      </c>
      <c r="H29" s="174" t="str">
        <f t="shared" si="5"/>
        <v>B-</v>
      </c>
      <c r="I29" s="46"/>
      <c r="J29" s="166">
        <v>9.5</v>
      </c>
      <c r="K29" s="166">
        <v>9.5</v>
      </c>
      <c r="L29" s="166">
        <v>8</v>
      </c>
      <c r="M29" s="54">
        <f t="shared" si="2"/>
        <v>9</v>
      </c>
      <c r="N29" s="173">
        <f t="shared" si="3"/>
        <v>9</v>
      </c>
      <c r="O29" s="178" t="str">
        <f t="shared" si="4"/>
        <v>A-</v>
      </c>
      <c r="P29" s="150">
        <v>8.92</v>
      </c>
      <c r="Q29" s="150">
        <v>7</v>
      </c>
      <c r="R29" s="35"/>
      <c r="S29" s="35"/>
    </row>
    <row r="30" spans="1:19" ht="16.5" thickTop="1" thickBot="1">
      <c r="A30" s="47">
        <f>IF(B30="","",16)</f>
        <v>16</v>
      </c>
      <c r="B30" s="52" t="str">
        <f>DATOS!B27</f>
        <v>IZA PEREZ ERICK ISMAEL</v>
      </c>
      <c r="C30" s="144">
        <v>9</v>
      </c>
      <c r="D30" s="145">
        <v>7</v>
      </c>
      <c r="E30" s="145">
        <v>7</v>
      </c>
      <c r="F30" s="54">
        <f t="shared" si="0"/>
        <v>7.66</v>
      </c>
      <c r="G30" s="173">
        <f t="shared" si="1"/>
        <v>8</v>
      </c>
      <c r="H30" s="174" t="str">
        <f t="shared" si="5"/>
        <v>B+</v>
      </c>
      <c r="I30" s="46"/>
      <c r="J30" s="166">
        <v>7.5</v>
      </c>
      <c r="K30" s="166">
        <v>8</v>
      </c>
      <c r="L30" s="166">
        <v>7</v>
      </c>
      <c r="M30" s="54">
        <f t="shared" si="2"/>
        <v>7.5</v>
      </c>
      <c r="N30" s="173">
        <f t="shared" si="3"/>
        <v>8</v>
      </c>
      <c r="O30" s="178" t="str">
        <f t="shared" si="4"/>
        <v>B+</v>
      </c>
      <c r="P30" s="150">
        <v>6.64</v>
      </c>
      <c r="Q30" s="150">
        <v>8</v>
      </c>
      <c r="R30" s="35"/>
      <c r="S30" s="35"/>
    </row>
    <row r="31" spans="1:19" ht="16.5" thickTop="1" thickBot="1">
      <c r="A31" s="47">
        <f>IF(B31="","",17)</f>
        <v>17</v>
      </c>
      <c r="B31" s="52" t="str">
        <f>DATOS!B28</f>
        <v>IZA QUINATOA JOSTIN JOSE</v>
      </c>
      <c r="C31" s="144">
        <v>10</v>
      </c>
      <c r="D31" s="145">
        <v>9</v>
      </c>
      <c r="E31" s="145">
        <v>8</v>
      </c>
      <c r="F31" s="54">
        <f t="shared" si="0"/>
        <v>9</v>
      </c>
      <c r="G31" s="173">
        <f t="shared" si="1"/>
        <v>9</v>
      </c>
      <c r="H31" s="174" t="str">
        <f t="shared" si="5"/>
        <v>A-</v>
      </c>
      <c r="I31" s="46"/>
      <c r="J31" s="166">
        <v>9</v>
      </c>
      <c r="K31" s="166">
        <v>9.75</v>
      </c>
      <c r="L31" s="166">
        <v>9</v>
      </c>
      <c r="M31" s="54">
        <f t="shared" si="2"/>
        <v>9.25</v>
      </c>
      <c r="N31" s="173">
        <f t="shared" si="3"/>
        <v>9</v>
      </c>
      <c r="O31" s="178" t="str">
        <f t="shared" si="4"/>
        <v>A-</v>
      </c>
      <c r="P31" s="150">
        <v>9</v>
      </c>
      <c r="Q31" s="150">
        <v>7</v>
      </c>
      <c r="R31" s="35"/>
      <c r="S31" s="35"/>
    </row>
    <row r="32" spans="1:19" ht="16.5" thickTop="1" thickBot="1">
      <c r="A32" s="47">
        <f>IF(B32="","",18)</f>
        <v>18</v>
      </c>
      <c r="B32" s="52" t="str">
        <f>DATOS!B29</f>
        <v xml:space="preserve">JAMI JAMI ANTHONI JOEL                            </v>
      </c>
      <c r="C32" s="144">
        <v>8.5</v>
      </c>
      <c r="D32" s="145">
        <v>8</v>
      </c>
      <c r="E32" s="145">
        <v>9</v>
      </c>
      <c r="F32" s="54">
        <f t="shared" si="0"/>
        <v>8.5</v>
      </c>
      <c r="G32" s="173">
        <f t="shared" si="1"/>
        <v>9</v>
      </c>
      <c r="H32" s="174" t="str">
        <f t="shared" si="5"/>
        <v>A-</v>
      </c>
      <c r="I32" s="46"/>
      <c r="J32" s="166">
        <v>8</v>
      </c>
      <c r="K32" s="166">
        <v>8</v>
      </c>
      <c r="L32" s="166">
        <v>7</v>
      </c>
      <c r="M32" s="54">
        <f t="shared" si="2"/>
        <v>7.66</v>
      </c>
      <c r="N32" s="173">
        <f t="shared" si="3"/>
        <v>8</v>
      </c>
      <c r="O32" s="178" t="str">
        <f t="shared" si="4"/>
        <v>B+</v>
      </c>
      <c r="P32" s="150">
        <v>7.75</v>
      </c>
      <c r="Q32" s="150">
        <v>9</v>
      </c>
      <c r="R32" s="35"/>
      <c r="S32" s="35"/>
    </row>
    <row r="33" spans="1:19" ht="16.5" thickTop="1" thickBot="1">
      <c r="A33" s="47">
        <f>IF(B33="","",19)</f>
        <v>19</v>
      </c>
      <c r="B33" s="52" t="str">
        <f>DATOS!B30</f>
        <v>LOOR LOPEZ ALEXANDER JEAMPIERRE</v>
      </c>
      <c r="C33" s="144">
        <v>7</v>
      </c>
      <c r="D33" s="145">
        <v>8</v>
      </c>
      <c r="E33" s="145">
        <v>9</v>
      </c>
      <c r="F33" s="54">
        <f t="shared" si="0"/>
        <v>8</v>
      </c>
      <c r="G33" s="173">
        <f t="shared" si="1"/>
        <v>8</v>
      </c>
      <c r="H33" s="174" t="str">
        <f t="shared" si="5"/>
        <v>B+</v>
      </c>
      <c r="I33" s="46"/>
      <c r="J33" s="166">
        <v>10</v>
      </c>
      <c r="K33" s="166">
        <v>9</v>
      </c>
      <c r="L33" s="166">
        <v>10</v>
      </c>
      <c r="M33" s="54">
        <f t="shared" si="2"/>
        <v>9.66</v>
      </c>
      <c r="N33" s="173">
        <f t="shared" si="3"/>
        <v>10</v>
      </c>
      <c r="O33" s="178" t="str">
        <f t="shared" si="4"/>
        <v>A+</v>
      </c>
      <c r="P33" s="150">
        <v>9.42</v>
      </c>
      <c r="Q33" s="150">
        <v>4.5</v>
      </c>
      <c r="R33" s="35"/>
      <c r="S33" s="35"/>
    </row>
    <row r="34" spans="1:19" ht="16.5" thickTop="1" thickBot="1">
      <c r="A34" s="47">
        <f>IF(B34="","",20)</f>
        <v>20</v>
      </c>
      <c r="B34" s="52" t="str">
        <f>DATOS!B31</f>
        <v>LOPEZ CARRASCO LIA ALEJANDRA</v>
      </c>
      <c r="C34" s="144">
        <v>9</v>
      </c>
      <c r="D34" s="145">
        <v>10</v>
      </c>
      <c r="E34" s="145">
        <v>10</v>
      </c>
      <c r="F34" s="54">
        <f t="shared" si="0"/>
        <v>9.66</v>
      </c>
      <c r="G34" s="173">
        <f t="shared" si="1"/>
        <v>10</v>
      </c>
      <c r="H34" s="174" t="str">
        <f t="shared" si="5"/>
        <v>A+</v>
      </c>
      <c r="I34" s="46"/>
      <c r="J34" s="166">
        <v>9.5</v>
      </c>
      <c r="K34" s="166">
        <v>9</v>
      </c>
      <c r="L34" s="166">
        <v>10</v>
      </c>
      <c r="M34" s="54">
        <f t="shared" si="2"/>
        <v>9.5</v>
      </c>
      <c r="N34" s="173">
        <f t="shared" si="3"/>
        <v>10</v>
      </c>
      <c r="O34" s="178" t="str">
        <f t="shared" si="4"/>
        <v>A+</v>
      </c>
      <c r="P34" s="150">
        <v>7.85</v>
      </c>
      <c r="Q34" s="150">
        <v>7</v>
      </c>
      <c r="R34" s="35"/>
      <c r="S34" s="35"/>
    </row>
    <row r="35" spans="1:19" ht="16.5" customHeight="1" thickTop="1" thickBot="1">
      <c r="A35" s="47">
        <f>IF(B35="","",21)</f>
        <v>21</v>
      </c>
      <c r="B35" s="52" t="str">
        <f>DATOS!B32</f>
        <v>MASAPANTA CASA JUAN MIGUEL</v>
      </c>
      <c r="C35" s="144">
        <v>8.5</v>
      </c>
      <c r="D35" s="145">
        <v>8</v>
      </c>
      <c r="E35" s="145">
        <v>8</v>
      </c>
      <c r="F35" s="54">
        <f t="shared" si="0"/>
        <v>8.16</v>
      </c>
      <c r="G35" s="173">
        <f t="shared" si="1"/>
        <v>8</v>
      </c>
      <c r="H35" s="174" t="str">
        <f t="shared" si="5"/>
        <v>B+</v>
      </c>
      <c r="I35" s="46"/>
      <c r="J35" s="166">
        <v>9</v>
      </c>
      <c r="K35" s="166">
        <v>8.5</v>
      </c>
      <c r="L35" s="166">
        <v>7</v>
      </c>
      <c r="M35" s="54">
        <f t="shared" si="2"/>
        <v>8.16</v>
      </c>
      <c r="N35" s="173">
        <f t="shared" si="3"/>
        <v>8</v>
      </c>
      <c r="O35" s="178" t="str">
        <f t="shared" si="4"/>
        <v>B+</v>
      </c>
      <c r="P35" s="150">
        <v>7.71</v>
      </c>
      <c r="Q35" s="150">
        <v>7.5</v>
      </c>
      <c r="R35" s="35"/>
      <c r="S35" s="35"/>
    </row>
    <row r="36" spans="1:19" ht="16.5" thickTop="1" thickBot="1">
      <c r="A36" s="47">
        <f>IF(B36="","",22)</f>
        <v>22</v>
      </c>
      <c r="B36" s="52" t="str">
        <f>DATOS!B33</f>
        <v>MENDOZA TOAPANTA VERONICA MARISOL</v>
      </c>
      <c r="C36" s="144">
        <v>9</v>
      </c>
      <c r="D36" s="145">
        <v>10</v>
      </c>
      <c r="E36" s="145">
        <v>10</v>
      </c>
      <c r="F36" s="54">
        <f t="shared" si="0"/>
        <v>9.66</v>
      </c>
      <c r="G36" s="173">
        <f t="shared" si="1"/>
        <v>10</v>
      </c>
      <c r="H36" s="174" t="str">
        <f t="shared" si="5"/>
        <v>A+</v>
      </c>
      <c r="I36" s="46"/>
      <c r="J36" s="166">
        <v>9</v>
      </c>
      <c r="K36" s="166">
        <v>10</v>
      </c>
      <c r="L36" s="166">
        <v>10</v>
      </c>
      <c r="M36" s="54">
        <f t="shared" si="2"/>
        <v>9.66</v>
      </c>
      <c r="N36" s="173">
        <f t="shared" si="3"/>
        <v>10</v>
      </c>
      <c r="O36" s="178" t="str">
        <f t="shared" si="4"/>
        <v>A+</v>
      </c>
      <c r="P36" s="150">
        <v>9.5</v>
      </c>
      <c r="Q36" s="150">
        <v>7.5</v>
      </c>
      <c r="R36" s="35"/>
      <c r="S36" s="35"/>
    </row>
    <row r="37" spans="1:19" ht="16.5" thickTop="1" thickBot="1">
      <c r="A37" s="47">
        <f>IF(B37="","",23)</f>
        <v>23</v>
      </c>
      <c r="B37" s="52" t="str">
        <f>DATOS!B34</f>
        <v>MONTA CHICAIZA JOSSELYN MICAELA</v>
      </c>
      <c r="C37" s="144">
        <v>9.5</v>
      </c>
      <c r="D37" s="145">
        <v>8</v>
      </c>
      <c r="E37" s="145">
        <v>9</v>
      </c>
      <c r="F37" s="54">
        <f t="shared" si="0"/>
        <v>8.83</v>
      </c>
      <c r="G37" s="173">
        <f t="shared" si="1"/>
        <v>9</v>
      </c>
      <c r="H37" s="174" t="str">
        <f t="shared" si="5"/>
        <v>A-</v>
      </c>
      <c r="I37" s="46"/>
      <c r="J37" s="166">
        <v>9</v>
      </c>
      <c r="K37" s="166">
        <v>9.5</v>
      </c>
      <c r="L37" s="166">
        <v>9.5</v>
      </c>
      <c r="M37" s="54">
        <f t="shared" si="2"/>
        <v>9.33</v>
      </c>
      <c r="N37" s="173">
        <f t="shared" si="3"/>
        <v>9</v>
      </c>
      <c r="O37" s="178" t="str">
        <f t="shared" si="4"/>
        <v>A-</v>
      </c>
      <c r="P37" s="150">
        <v>9.35</v>
      </c>
      <c r="Q37" s="150">
        <v>9</v>
      </c>
      <c r="R37" s="35"/>
      <c r="S37" s="35"/>
    </row>
    <row r="38" spans="1:19" ht="16.5" thickTop="1" thickBot="1">
      <c r="A38" s="47">
        <f>IF(B38="","",24)</f>
        <v>24</v>
      </c>
      <c r="B38" s="52" t="str">
        <f>DATOS!B35</f>
        <v>OTO ABRIL ERICK JAHIR</v>
      </c>
      <c r="C38" s="144">
        <v>8.75</v>
      </c>
      <c r="D38" s="145">
        <v>8.5</v>
      </c>
      <c r="E38" s="145">
        <v>9</v>
      </c>
      <c r="F38" s="54">
        <f t="shared" si="0"/>
        <v>8.75</v>
      </c>
      <c r="G38" s="173">
        <f t="shared" si="1"/>
        <v>9</v>
      </c>
      <c r="H38" s="174" t="str">
        <f t="shared" si="5"/>
        <v>A-</v>
      </c>
      <c r="I38" s="46"/>
      <c r="J38" s="166">
        <v>8.5</v>
      </c>
      <c r="K38" s="166">
        <v>9</v>
      </c>
      <c r="L38" s="166">
        <v>9</v>
      </c>
      <c r="M38" s="54">
        <f t="shared" si="2"/>
        <v>8.83</v>
      </c>
      <c r="N38" s="173">
        <f t="shared" si="3"/>
        <v>9</v>
      </c>
      <c r="O38" s="178" t="str">
        <f t="shared" si="4"/>
        <v>A-</v>
      </c>
      <c r="P38" s="150">
        <v>7.96</v>
      </c>
      <c r="Q38" s="150">
        <v>6</v>
      </c>
      <c r="R38" s="35"/>
      <c r="S38" s="35"/>
    </row>
    <row r="39" spans="1:19" ht="16.5" thickTop="1" thickBot="1">
      <c r="A39" s="47">
        <f>IF(B39="","",25)</f>
        <v>25</v>
      </c>
      <c r="B39" s="52" t="str">
        <f>DATOS!B36</f>
        <v>PROAÑO TOAQUIZA FERNANDO JOSUE</v>
      </c>
      <c r="C39" s="144">
        <v>9.5</v>
      </c>
      <c r="D39" s="145">
        <v>9</v>
      </c>
      <c r="E39" s="145">
        <v>9.5</v>
      </c>
      <c r="F39" s="54">
        <f t="shared" si="0"/>
        <v>9.33</v>
      </c>
      <c r="G39" s="173">
        <f t="shared" si="1"/>
        <v>9</v>
      </c>
      <c r="H39" s="174" t="str">
        <f t="shared" si="5"/>
        <v>A-</v>
      </c>
      <c r="I39" s="46"/>
      <c r="J39" s="166">
        <v>9</v>
      </c>
      <c r="K39" s="166">
        <v>9</v>
      </c>
      <c r="L39" s="166">
        <v>10</v>
      </c>
      <c r="M39" s="54">
        <f t="shared" si="2"/>
        <v>9.33</v>
      </c>
      <c r="N39" s="173">
        <f t="shared" si="3"/>
        <v>9</v>
      </c>
      <c r="O39" s="178" t="str">
        <f t="shared" si="4"/>
        <v>A-</v>
      </c>
      <c r="P39" s="150">
        <v>9</v>
      </c>
      <c r="Q39" s="150">
        <v>8</v>
      </c>
      <c r="R39" s="35"/>
      <c r="S39" s="35"/>
    </row>
    <row r="40" spans="1:19" ht="16.5" thickTop="1" thickBot="1">
      <c r="A40" s="47">
        <f>IF(B40="","",26)</f>
        <v>26</v>
      </c>
      <c r="B40" s="52" t="str">
        <f>DATOS!B37</f>
        <v>QUILUMBA TOAPANTA ADRIANA CAROLINA</v>
      </c>
      <c r="C40" s="144">
        <v>8.5</v>
      </c>
      <c r="D40" s="145">
        <v>9</v>
      </c>
      <c r="E40" s="145">
        <v>10</v>
      </c>
      <c r="F40" s="54">
        <f t="shared" si="0"/>
        <v>9.16</v>
      </c>
      <c r="G40" s="173">
        <f t="shared" si="1"/>
        <v>9</v>
      </c>
      <c r="H40" s="174" t="str">
        <f t="shared" si="5"/>
        <v>A-</v>
      </c>
      <c r="I40" s="46"/>
      <c r="J40" s="166">
        <v>9</v>
      </c>
      <c r="K40" s="166">
        <v>9.5</v>
      </c>
      <c r="L40" s="166">
        <v>8.5</v>
      </c>
      <c r="M40" s="54">
        <f t="shared" si="2"/>
        <v>9</v>
      </c>
      <c r="N40" s="173">
        <f t="shared" si="3"/>
        <v>9</v>
      </c>
      <c r="O40" s="178" t="str">
        <f t="shared" si="4"/>
        <v>A-</v>
      </c>
      <c r="P40" s="150">
        <v>8.32</v>
      </c>
      <c r="Q40" s="150">
        <v>7</v>
      </c>
      <c r="R40" s="35"/>
      <c r="S40" s="35"/>
    </row>
    <row r="41" spans="1:19" ht="16.5" customHeight="1" thickTop="1" thickBot="1">
      <c r="A41" s="47">
        <f>IF(B41="","",27)</f>
        <v>27</v>
      </c>
      <c r="B41" s="52" t="str">
        <f>DATOS!B38</f>
        <v>RENGIFO COLLANTES DANNY SANTIAGO</v>
      </c>
      <c r="C41" s="144">
        <v>8.5</v>
      </c>
      <c r="D41" s="145">
        <v>8.5</v>
      </c>
      <c r="E41" s="145">
        <v>8</v>
      </c>
      <c r="F41" s="54">
        <f t="shared" si="0"/>
        <v>8.33</v>
      </c>
      <c r="G41" s="173">
        <f t="shared" si="1"/>
        <v>8</v>
      </c>
      <c r="H41" s="174" t="str">
        <f t="shared" si="5"/>
        <v>B+</v>
      </c>
      <c r="I41" s="46"/>
      <c r="J41" s="166">
        <v>9</v>
      </c>
      <c r="K41" s="166">
        <v>8</v>
      </c>
      <c r="L41" s="166">
        <v>8.5</v>
      </c>
      <c r="M41" s="54">
        <f t="shared" si="2"/>
        <v>8.5</v>
      </c>
      <c r="N41" s="173">
        <f t="shared" si="3"/>
        <v>9</v>
      </c>
      <c r="O41" s="178" t="str">
        <f t="shared" si="4"/>
        <v>A-</v>
      </c>
      <c r="P41" s="150">
        <v>8.5</v>
      </c>
      <c r="Q41" s="150">
        <v>4.5</v>
      </c>
      <c r="R41" s="35"/>
      <c r="S41" s="35"/>
    </row>
    <row r="42" spans="1:19" ht="16.5" thickTop="1" thickBot="1">
      <c r="A42" s="47">
        <f>IF(B42="","",28)</f>
        <v>28</v>
      </c>
      <c r="B42" s="52" t="str">
        <f>DATOS!B39</f>
        <v xml:space="preserve">SIMBAÑA HERNANDEZ JOAO JAVIER                     </v>
      </c>
      <c r="C42" s="144">
        <v>7</v>
      </c>
      <c r="D42" s="145">
        <v>7</v>
      </c>
      <c r="E42" s="145">
        <v>7</v>
      </c>
      <c r="F42" s="54">
        <f t="shared" si="0"/>
        <v>7</v>
      </c>
      <c r="G42" s="173">
        <f t="shared" si="1"/>
        <v>7</v>
      </c>
      <c r="H42" s="174" t="str">
        <f t="shared" si="5"/>
        <v>B-</v>
      </c>
      <c r="I42" s="46"/>
      <c r="J42" s="166">
        <v>7</v>
      </c>
      <c r="K42" s="166">
        <v>7</v>
      </c>
      <c r="L42" s="166">
        <v>8</v>
      </c>
      <c r="M42" s="54">
        <f t="shared" si="2"/>
        <v>7.33</v>
      </c>
      <c r="N42" s="173">
        <f t="shared" si="3"/>
        <v>7</v>
      </c>
      <c r="O42" s="178" t="str">
        <f t="shared" si="4"/>
        <v>B-</v>
      </c>
      <c r="P42" s="150">
        <v>7.28</v>
      </c>
      <c r="Q42" s="150">
        <v>6</v>
      </c>
      <c r="R42" s="35"/>
      <c r="S42" s="35"/>
    </row>
    <row r="43" spans="1:19" ht="16.5" thickTop="1" thickBot="1">
      <c r="A43" s="47">
        <f>IF(B43="","",29)</f>
        <v>29</v>
      </c>
      <c r="B43" s="52" t="str">
        <f>DATOS!B40</f>
        <v>TOAPANTA CHICAIZA JENNY ESTEFANIA</v>
      </c>
      <c r="C43" s="144">
        <v>10</v>
      </c>
      <c r="D43" s="145">
        <v>8</v>
      </c>
      <c r="E43" s="145">
        <v>10</v>
      </c>
      <c r="F43" s="54">
        <f t="shared" si="0"/>
        <v>9.33</v>
      </c>
      <c r="G43" s="173">
        <f t="shared" si="1"/>
        <v>9</v>
      </c>
      <c r="H43" s="174" t="str">
        <f t="shared" si="5"/>
        <v>A-</v>
      </c>
      <c r="I43" s="46"/>
      <c r="J43" s="166">
        <v>8.5</v>
      </c>
      <c r="K43" s="166" t="s">
        <v>162</v>
      </c>
      <c r="L43" s="166">
        <v>9</v>
      </c>
      <c r="M43" s="54">
        <f t="shared" si="2"/>
        <v>8.75</v>
      </c>
      <c r="N43" s="173">
        <f t="shared" si="3"/>
        <v>9</v>
      </c>
      <c r="O43" s="178" t="str">
        <f t="shared" si="4"/>
        <v>A-</v>
      </c>
      <c r="P43" s="150">
        <v>6.57</v>
      </c>
      <c r="Q43" s="150">
        <v>8</v>
      </c>
      <c r="R43" s="35"/>
      <c r="S43" s="35"/>
    </row>
    <row r="44" spans="1:19" ht="16.5" thickTop="1" thickBot="1">
      <c r="A44" s="47">
        <f>IF(B44="","",30)</f>
        <v>30</v>
      </c>
      <c r="B44" s="52" t="str">
        <f>DATOS!B41</f>
        <v>TOAQUIZA CATOTA DENNIS ALEXANDER</v>
      </c>
      <c r="C44" s="144">
        <v>8.5</v>
      </c>
      <c r="D44" s="145">
        <v>9</v>
      </c>
      <c r="E44" s="145">
        <v>9</v>
      </c>
      <c r="F44" s="54">
        <f t="shared" si="0"/>
        <v>8.83</v>
      </c>
      <c r="G44" s="173">
        <f t="shared" si="1"/>
        <v>9</v>
      </c>
      <c r="H44" s="174" t="str">
        <f t="shared" si="5"/>
        <v>A-</v>
      </c>
      <c r="I44" s="46"/>
      <c r="J44" s="166">
        <v>8</v>
      </c>
      <c r="K44" s="166">
        <v>8</v>
      </c>
      <c r="L44" s="166">
        <v>7</v>
      </c>
      <c r="M44" s="54">
        <f t="shared" si="2"/>
        <v>7.66</v>
      </c>
      <c r="N44" s="173">
        <f t="shared" si="3"/>
        <v>8</v>
      </c>
      <c r="O44" s="178" t="str">
        <f t="shared" si="4"/>
        <v>B+</v>
      </c>
      <c r="P44" s="150">
        <v>7.5</v>
      </c>
      <c r="Q44" s="150">
        <v>7.5</v>
      </c>
      <c r="R44" s="35"/>
      <c r="S44" s="35"/>
    </row>
    <row r="45" spans="1:19" ht="16.5" thickTop="1" thickBot="1">
      <c r="A45" s="47">
        <v>31</v>
      </c>
      <c r="B45" s="52" t="str">
        <f>DATOS!B42</f>
        <v>TOAQUIZA LEMA MELANY ANAHI</v>
      </c>
      <c r="C45" s="144">
        <v>9.5</v>
      </c>
      <c r="D45" s="145">
        <v>9</v>
      </c>
      <c r="E45" s="145">
        <v>10</v>
      </c>
      <c r="F45" s="54">
        <f t="shared" si="0"/>
        <v>9.5</v>
      </c>
      <c r="G45" s="173">
        <f t="shared" si="1"/>
        <v>10</v>
      </c>
      <c r="H45" s="174" t="str">
        <f t="shared" si="5"/>
        <v>A+</v>
      </c>
      <c r="I45" s="46"/>
      <c r="J45" s="166">
        <v>10</v>
      </c>
      <c r="K45" s="166">
        <v>9.5</v>
      </c>
      <c r="L45" s="166">
        <v>9.5</v>
      </c>
      <c r="M45" s="54">
        <f t="shared" si="2"/>
        <v>9.66</v>
      </c>
      <c r="N45" s="173">
        <f t="shared" si="3"/>
        <v>10</v>
      </c>
      <c r="O45" s="178" t="str">
        <f t="shared" si="4"/>
        <v>A+</v>
      </c>
      <c r="P45" s="150">
        <v>9.07</v>
      </c>
      <c r="Q45" s="150">
        <v>7</v>
      </c>
      <c r="R45" s="35"/>
      <c r="S45" s="35"/>
    </row>
    <row r="46" spans="1:19" ht="16.5" thickTop="1" thickBot="1">
      <c r="A46" s="47">
        <v>32</v>
      </c>
      <c r="B46" s="52" t="str">
        <f>DATOS!B43</f>
        <v>TOCTAGUANO TUMBACO MAHOLY GUADALUPE</v>
      </c>
      <c r="C46" s="144">
        <v>9.5</v>
      </c>
      <c r="D46" s="145">
        <v>8.5</v>
      </c>
      <c r="E46" s="145">
        <v>8</v>
      </c>
      <c r="F46" s="54">
        <f t="shared" si="0"/>
        <v>8.66</v>
      </c>
      <c r="G46" s="173">
        <f t="shared" si="1"/>
        <v>9</v>
      </c>
      <c r="H46" s="174" t="str">
        <f t="shared" si="5"/>
        <v>A-</v>
      </c>
      <c r="I46" s="46"/>
      <c r="J46" s="166">
        <v>9</v>
      </c>
      <c r="K46" s="166">
        <v>9.5</v>
      </c>
      <c r="L46" s="166">
        <v>9</v>
      </c>
      <c r="M46" s="54">
        <f t="shared" si="2"/>
        <v>9.16</v>
      </c>
      <c r="N46" s="173">
        <f t="shared" si="3"/>
        <v>9</v>
      </c>
      <c r="O46" s="178" t="str">
        <f t="shared" si="4"/>
        <v>A-</v>
      </c>
      <c r="P46" s="150">
        <v>9.35</v>
      </c>
      <c r="Q46" s="150">
        <v>8.5</v>
      </c>
      <c r="R46" s="35"/>
      <c r="S46" s="35"/>
    </row>
    <row r="47" spans="1:19" ht="16.5" customHeight="1" thickTop="1" thickBot="1">
      <c r="A47" s="47">
        <v>33</v>
      </c>
      <c r="B47" s="52" t="str">
        <f>DATOS!B44</f>
        <v>TONATO YUGCHA STALIN JOEL</v>
      </c>
      <c r="C47" s="144">
        <v>8</v>
      </c>
      <c r="D47" s="145">
        <v>9</v>
      </c>
      <c r="E47" s="145">
        <v>8</v>
      </c>
      <c r="F47" s="54">
        <f t="shared" si="0"/>
        <v>8.33</v>
      </c>
      <c r="G47" s="173">
        <f t="shared" si="1"/>
        <v>8</v>
      </c>
      <c r="H47" s="174" t="str">
        <f t="shared" si="5"/>
        <v>B+</v>
      </c>
      <c r="I47" s="46"/>
      <c r="J47" s="166">
        <v>8</v>
      </c>
      <c r="K47" s="166">
        <v>9</v>
      </c>
      <c r="L47" s="166">
        <v>8.5</v>
      </c>
      <c r="M47" s="54">
        <f t="shared" si="2"/>
        <v>8.5</v>
      </c>
      <c r="N47" s="173">
        <f t="shared" si="3"/>
        <v>9</v>
      </c>
      <c r="O47" s="178" t="str">
        <f t="shared" si="4"/>
        <v>A-</v>
      </c>
      <c r="P47" s="150">
        <v>8.14</v>
      </c>
      <c r="Q47" s="150">
        <v>10</v>
      </c>
      <c r="R47" s="35"/>
      <c r="S47" s="35"/>
    </row>
    <row r="48" spans="1:19" ht="16.5" thickTop="1" thickBot="1">
      <c r="A48" s="47">
        <v>34</v>
      </c>
      <c r="B48" s="52" t="str">
        <f>DATOS!B45</f>
        <v>VILLACRESES MUÑOZ MARIA LUCRECIA</v>
      </c>
      <c r="C48" s="144">
        <v>8</v>
      </c>
      <c r="D48" s="145">
        <v>8</v>
      </c>
      <c r="E48" s="145">
        <v>7</v>
      </c>
      <c r="F48" s="54">
        <f t="shared" si="0"/>
        <v>7.66</v>
      </c>
      <c r="G48" s="173">
        <f t="shared" si="1"/>
        <v>8</v>
      </c>
      <c r="H48" s="174" t="str">
        <f t="shared" si="5"/>
        <v>B+</v>
      </c>
      <c r="I48" s="46"/>
      <c r="J48" s="166">
        <v>9</v>
      </c>
      <c r="K48" s="166">
        <v>7</v>
      </c>
      <c r="L48" s="166">
        <v>8</v>
      </c>
      <c r="M48" s="54">
        <f t="shared" si="2"/>
        <v>8</v>
      </c>
      <c r="N48" s="173">
        <f t="shared" si="3"/>
        <v>8</v>
      </c>
      <c r="O48" s="178" t="str">
        <f t="shared" si="4"/>
        <v>B+</v>
      </c>
      <c r="P48" s="150">
        <v>6.92</v>
      </c>
      <c r="Q48" s="150">
        <v>8</v>
      </c>
      <c r="R48" s="35"/>
      <c r="S48" s="35"/>
    </row>
    <row r="49" spans="1:19" ht="16.5" thickTop="1" thickBot="1">
      <c r="A49" s="47">
        <v>35</v>
      </c>
      <c r="B49" s="52" t="str">
        <f>DATOS!B46</f>
        <v>ZAMORA LEAL MAYKEL JOSUE</v>
      </c>
      <c r="C49" s="144">
        <v>8.5</v>
      </c>
      <c r="D49" s="145">
        <v>7</v>
      </c>
      <c r="E49" s="145">
        <v>7</v>
      </c>
      <c r="F49" s="54">
        <f t="shared" si="0"/>
        <v>7.5</v>
      </c>
      <c r="G49" s="173">
        <f t="shared" si="1"/>
        <v>8</v>
      </c>
      <c r="H49" s="174" t="str">
        <f t="shared" si="5"/>
        <v>B+</v>
      </c>
      <c r="I49" s="46"/>
      <c r="J49" s="166">
        <v>7</v>
      </c>
      <c r="K49" s="166">
        <v>7</v>
      </c>
      <c r="L49" s="166">
        <v>7</v>
      </c>
      <c r="M49" s="54">
        <f t="shared" si="2"/>
        <v>7</v>
      </c>
      <c r="N49" s="173">
        <f t="shared" si="3"/>
        <v>7</v>
      </c>
      <c r="O49" s="178" t="str">
        <f t="shared" si="4"/>
        <v>B-</v>
      </c>
      <c r="P49" s="150">
        <v>6.57</v>
      </c>
      <c r="Q49" s="150">
        <v>3</v>
      </c>
      <c r="R49" s="35"/>
      <c r="S49" s="35"/>
    </row>
    <row r="50" spans="1:19" ht="16.5" thickTop="1" thickBot="1">
      <c r="A50" s="47">
        <v>36</v>
      </c>
      <c r="B50" s="52">
        <f>DATOS!B47</f>
        <v>0</v>
      </c>
      <c r="C50" s="55"/>
      <c r="D50" s="55"/>
      <c r="E50" s="55"/>
      <c r="F50" s="54" t="e">
        <f t="shared" si="0"/>
        <v>#DIV/0!</v>
      </c>
      <c r="G50" s="173" t="e">
        <f t="shared" si="1"/>
        <v>#DIV/0!</v>
      </c>
      <c r="H50" s="174" t="e">
        <f t="shared" si="5"/>
        <v>#DIV/0!</v>
      </c>
      <c r="I50" s="46"/>
      <c r="J50" s="55"/>
      <c r="K50" s="55"/>
      <c r="L50" s="55"/>
      <c r="M50" s="54" t="e">
        <f t="shared" si="2"/>
        <v>#DIV/0!</v>
      </c>
      <c r="N50" s="173" t="e">
        <f t="shared" si="3"/>
        <v>#DIV/0!</v>
      </c>
      <c r="O50" s="178" t="e">
        <f t="shared" si="4"/>
        <v>#DIV/0!</v>
      </c>
      <c r="P50" s="57"/>
      <c r="Q50" s="57"/>
      <c r="R50" s="35"/>
      <c r="S50" s="35"/>
    </row>
    <row r="51" spans="1:19" ht="16.5" thickTop="1" thickBot="1">
      <c r="A51" s="47">
        <v>37</v>
      </c>
      <c r="B51" s="52">
        <f>DATOS!B48</f>
        <v>0</v>
      </c>
      <c r="C51" s="55"/>
      <c r="D51" s="55"/>
      <c r="E51" s="55"/>
      <c r="F51" s="54" t="e">
        <f t="shared" si="0"/>
        <v>#DIV/0!</v>
      </c>
      <c r="G51" s="173" t="e">
        <f t="shared" si="1"/>
        <v>#DIV/0!</v>
      </c>
      <c r="H51" s="174" t="e">
        <f t="shared" si="5"/>
        <v>#DIV/0!</v>
      </c>
      <c r="I51" s="46"/>
      <c r="J51" s="55"/>
      <c r="K51" s="55"/>
      <c r="L51" s="55"/>
      <c r="M51" s="54" t="e">
        <f t="shared" si="2"/>
        <v>#DIV/0!</v>
      </c>
      <c r="N51" s="173" t="e">
        <f t="shared" si="3"/>
        <v>#DIV/0!</v>
      </c>
      <c r="O51" s="178" t="e">
        <f t="shared" si="4"/>
        <v>#DIV/0!</v>
      </c>
      <c r="P51" s="57"/>
      <c r="Q51" s="57"/>
      <c r="R51" s="35"/>
      <c r="S51" s="35"/>
    </row>
    <row r="52" spans="1:19" ht="16.5" thickTop="1" thickBot="1">
      <c r="A52" s="47">
        <v>38</v>
      </c>
      <c r="B52" s="52">
        <f>DATOS!B49</f>
        <v>0</v>
      </c>
      <c r="C52" s="55"/>
      <c r="D52" s="55"/>
      <c r="E52" s="55"/>
      <c r="F52" s="54" t="e">
        <f t="shared" si="0"/>
        <v>#DIV/0!</v>
      </c>
      <c r="G52" s="173" t="e">
        <f t="shared" si="1"/>
        <v>#DIV/0!</v>
      </c>
      <c r="H52" s="174" t="e">
        <f t="shared" si="5"/>
        <v>#DIV/0!</v>
      </c>
      <c r="I52" s="46"/>
      <c r="J52" s="55"/>
      <c r="K52" s="55"/>
      <c r="L52" s="55"/>
      <c r="M52" s="54" t="e">
        <f t="shared" si="2"/>
        <v>#DIV/0!</v>
      </c>
      <c r="N52" s="173" t="e">
        <f t="shared" si="3"/>
        <v>#DIV/0!</v>
      </c>
      <c r="O52" s="178" t="e">
        <f t="shared" si="4"/>
        <v>#DIV/0!</v>
      </c>
      <c r="P52" s="57"/>
      <c r="Q52" s="57"/>
      <c r="R52" s="35"/>
      <c r="S52" s="35"/>
    </row>
    <row r="53" spans="1:19" ht="16.5" customHeight="1" thickTop="1" thickBot="1">
      <c r="A53" s="47">
        <v>39</v>
      </c>
      <c r="B53" s="52">
        <f>DATOS!B50</f>
        <v>0</v>
      </c>
      <c r="C53" s="55"/>
      <c r="D53" s="55"/>
      <c r="E53" s="55"/>
      <c r="F53" s="54" t="e">
        <f t="shared" si="0"/>
        <v>#DIV/0!</v>
      </c>
      <c r="G53" s="173" t="e">
        <f t="shared" si="1"/>
        <v>#DIV/0!</v>
      </c>
      <c r="H53" s="174" t="e">
        <f t="shared" si="5"/>
        <v>#DIV/0!</v>
      </c>
      <c r="I53" s="46"/>
      <c r="J53" s="55"/>
      <c r="K53" s="55"/>
      <c r="L53" s="55"/>
      <c r="M53" s="54" t="e">
        <f t="shared" si="2"/>
        <v>#DIV/0!</v>
      </c>
      <c r="N53" s="173" t="e">
        <f t="shared" si="3"/>
        <v>#DIV/0!</v>
      </c>
      <c r="O53" s="178" t="e">
        <f t="shared" si="4"/>
        <v>#DIV/0!</v>
      </c>
      <c r="P53" s="55"/>
      <c r="Q53" s="55"/>
      <c r="R53" s="35"/>
      <c r="S53" s="35"/>
    </row>
    <row r="54" spans="1:19" ht="16.5" thickTop="1" thickBot="1">
      <c r="A54" s="47">
        <v>40</v>
      </c>
      <c r="B54" s="52">
        <f>DATOS!B51</f>
        <v>0</v>
      </c>
      <c r="C54" s="55"/>
      <c r="D54" s="55"/>
      <c r="E54" s="55"/>
      <c r="F54" s="54" t="e">
        <f t="shared" si="0"/>
        <v>#DIV/0!</v>
      </c>
      <c r="G54" s="173" t="e">
        <f t="shared" si="1"/>
        <v>#DIV/0!</v>
      </c>
      <c r="H54" s="174" t="e">
        <f t="shared" si="5"/>
        <v>#DIV/0!</v>
      </c>
      <c r="I54" s="46"/>
      <c r="J54" s="55"/>
      <c r="K54" s="55"/>
      <c r="L54" s="55"/>
      <c r="M54" s="54" t="e">
        <f t="shared" si="2"/>
        <v>#DIV/0!</v>
      </c>
      <c r="N54" s="173" t="e">
        <f t="shared" si="3"/>
        <v>#DIV/0!</v>
      </c>
      <c r="O54" s="178" t="e">
        <f t="shared" si="4"/>
        <v>#DIV/0!</v>
      </c>
      <c r="P54" s="55"/>
      <c r="Q54" s="55"/>
      <c r="R54" s="35"/>
      <c r="S54" s="35"/>
    </row>
    <row r="55" spans="1:19" ht="16.5" thickTop="1" thickBot="1">
      <c r="A55" s="47">
        <v>41</v>
      </c>
      <c r="B55" s="52">
        <f>DATOS!B52</f>
        <v>0</v>
      </c>
      <c r="C55" s="55"/>
      <c r="D55" s="55"/>
      <c r="E55" s="55"/>
      <c r="F55" s="54" t="e">
        <f t="shared" si="0"/>
        <v>#DIV/0!</v>
      </c>
      <c r="G55" s="173" t="e">
        <f t="shared" si="1"/>
        <v>#DIV/0!</v>
      </c>
      <c r="H55" s="174" t="e">
        <f t="shared" si="5"/>
        <v>#DIV/0!</v>
      </c>
      <c r="I55" s="46"/>
      <c r="J55" s="55"/>
      <c r="K55" s="55"/>
      <c r="L55" s="55"/>
      <c r="M55" s="54" t="e">
        <f t="shared" si="2"/>
        <v>#DIV/0!</v>
      </c>
      <c r="N55" s="173" t="e">
        <f t="shared" si="3"/>
        <v>#DIV/0!</v>
      </c>
      <c r="O55" s="178" t="e">
        <f t="shared" si="4"/>
        <v>#DIV/0!</v>
      </c>
      <c r="P55" s="55"/>
      <c r="Q55" s="55"/>
      <c r="R55" s="35"/>
      <c r="S55" s="35"/>
    </row>
    <row r="56" spans="1:19" ht="16.5" thickTop="1" thickBot="1">
      <c r="A56" s="47">
        <v>42</v>
      </c>
      <c r="B56" s="52">
        <f>DATOS!B53</f>
        <v>0</v>
      </c>
      <c r="C56" s="55"/>
      <c r="D56" s="55"/>
      <c r="E56" s="55"/>
      <c r="F56" s="54" t="e">
        <f t="shared" si="0"/>
        <v>#DIV/0!</v>
      </c>
      <c r="G56" s="173" t="e">
        <f t="shared" si="1"/>
        <v>#DIV/0!</v>
      </c>
      <c r="H56" s="174" t="e">
        <f t="shared" si="5"/>
        <v>#DIV/0!</v>
      </c>
      <c r="I56" s="46"/>
      <c r="J56" s="55"/>
      <c r="K56" s="55"/>
      <c r="L56" s="55"/>
      <c r="M56" s="54" t="e">
        <f t="shared" si="2"/>
        <v>#DIV/0!</v>
      </c>
      <c r="N56" s="173" t="e">
        <f t="shared" si="3"/>
        <v>#DIV/0!</v>
      </c>
      <c r="O56" s="178" t="e">
        <f t="shared" si="4"/>
        <v>#DIV/0!</v>
      </c>
      <c r="P56" s="55"/>
      <c r="Q56" s="55"/>
      <c r="R56" s="35"/>
      <c r="S56" s="35"/>
    </row>
    <row r="57" spans="1:19" ht="16.5" thickTop="1" thickBot="1">
      <c r="A57" s="47">
        <v>43</v>
      </c>
      <c r="B57" s="52">
        <f>DATOS!B54</f>
        <v>0</v>
      </c>
      <c r="C57" s="55"/>
      <c r="D57" s="55"/>
      <c r="E57" s="55"/>
      <c r="F57" s="54" t="e">
        <f t="shared" si="0"/>
        <v>#DIV/0!</v>
      </c>
      <c r="G57" s="173" t="e">
        <f t="shared" si="1"/>
        <v>#DIV/0!</v>
      </c>
      <c r="H57" s="174" t="e">
        <f t="shared" si="5"/>
        <v>#DIV/0!</v>
      </c>
      <c r="I57" s="46"/>
      <c r="J57" s="55"/>
      <c r="K57" s="55"/>
      <c r="L57" s="55"/>
      <c r="M57" s="54" t="e">
        <f t="shared" si="2"/>
        <v>#DIV/0!</v>
      </c>
      <c r="N57" s="173" t="e">
        <f t="shared" si="3"/>
        <v>#DIV/0!</v>
      </c>
      <c r="O57" s="178" t="e">
        <f t="shared" si="4"/>
        <v>#DIV/0!</v>
      </c>
      <c r="P57" s="55"/>
      <c r="Q57" s="55"/>
      <c r="R57" s="35"/>
      <c r="S57" s="35"/>
    </row>
    <row r="58" spans="1:19" ht="16.5" thickTop="1" thickBot="1">
      <c r="A58" s="47">
        <v>44</v>
      </c>
      <c r="B58" s="52">
        <f>DATOS!B55</f>
        <v>0</v>
      </c>
      <c r="C58" s="55"/>
      <c r="D58" s="55"/>
      <c r="E58" s="55"/>
      <c r="F58" s="54" t="e">
        <f t="shared" si="0"/>
        <v>#DIV/0!</v>
      </c>
      <c r="G58" s="173" t="e">
        <f t="shared" si="1"/>
        <v>#DIV/0!</v>
      </c>
      <c r="H58" s="174" t="e">
        <f t="shared" si="5"/>
        <v>#DIV/0!</v>
      </c>
      <c r="I58" s="46"/>
      <c r="J58" s="55"/>
      <c r="K58" s="55"/>
      <c r="L58" s="55"/>
      <c r="M58" s="54" t="e">
        <f t="shared" si="2"/>
        <v>#DIV/0!</v>
      </c>
      <c r="N58" s="173" t="e">
        <f t="shared" si="3"/>
        <v>#DIV/0!</v>
      </c>
      <c r="O58" s="178" t="e">
        <f t="shared" si="4"/>
        <v>#DIV/0!</v>
      </c>
      <c r="P58" s="55"/>
      <c r="Q58" s="55"/>
      <c r="R58" s="35"/>
      <c r="S58" s="35"/>
    </row>
    <row r="59" spans="1:19" ht="16.5" thickTop="1" thickBot="1">
      <c r="A59" s="48">
        <v>45</v>
      </c>
      <c r="B59" s="53">
        <f>DATOS!B56</f>
        <v>0</v>
      </c>
      <c r="C59" s="55"/>
      <c r="D59" s="55"/>
      <c r="E59" s="55"/>
      <c r="F59" s="54" t="e">
        <f t="shared" si="0"/>
        <v>#DIV/0!</v>
      </c>
      <c r="G59" s="173" t="e">
        <f t="shared" si="1"/>
        <v>#DIV/0!</v>
      </c>
      <c r="H59" s="174" t="e">
        <f t="shared" si="5"/>
        <v>#DIV/0!</v>
      </c>
      <c r="I59" s="49"/>
      <c r="J59" s="55"/>
      <c r="K59" s="55"/>
      <c r="L59" s="55"/>
      <c r="M59" s="54" t="e">
        <f t="shared" si="2"/>
        <v>#DIV/0!</v>
      </c>
      <c r="N59" s="173" t="e">
        <f t="shared" si="3"/>
        <v>#DIV/0!</v>
      </c>
      <c r="O59" s="178" t="e">
        <f t="shared" si="4"/>
        <v>#DIV/0!</v>
      </c>
      <c r="P59" s="55"/>
      <c r="Q59" s="55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A1:M1"/>
    <mergeCell ref="I3:M3"/>
    <mergeCell ref="I4:M5"/>
    <mergeCell ref="A10:A14"/>
    <mergeCell ref="B10:B14"/>
    <mergeCell ref="C3:H3"/>
    <mergeCell ref="C4:H4"/>
    <mergeCell ref="C5:H5"/>
    <mergeCell ref="G11:G14"/>
    <mergeCell ref="C10:H10"/>
    <mergeCell ref="P10:Q11"/>
    <mergeCell ref="C11:E13"/>
    <mergeCell ref="F11:F14"/>
    <mergeCell ref="J11:L13"/>
    <mergeCell ref="M11:M14"/>
    <mergeCell ref="P12:P14"/>
    <mergeCell ref="Q12:Q14"/>
    <mergeCell ref="H11:H14"/>
    <mergeCell ref="J10:O10"/>
    <mergeCell ref="O11:O14"/>
    <mergeCell ref="N11:N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D4" zoomScale="110" zoomScaleNormal="110" workbookViewId="0">
      <selection activeCell="T57" sqref="T57"/>
    </sheetView>
  </sheetViews>
  <sheetFormatPr baseColWidth="10" defaultRowHeight="15"/>
  <cols>
    <col min="1" max="1" width="8.7109375" style="31" customWidth="1"/>
    <col min="2" max="2" width="45.42578125" style="31" customWidth="1"/>
    <col min="3" max="19" width="7.7109375" style="31" customWidth="1"/>
    <col min="20" max="20" width="25.28515625" style="31" customWidth="1"/>
    <col min="21" max="23" width="7.7109375" style="31" customWidth="1"/>
    <col min="24" max="16384" width="11.42578125" style="31"/>
  </cols>
  <sheetData>
    <row r="1" spans="1:23">
      <c r="A1" s="306" t="s">
        <v>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</row>
    <row r="2" spans="1:23" ht="36.7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20.25" thickTop="1" thickBot="1">
      <c r="A5" s="59"/>
      <c r="B5" s="60" t="s">
        <v>28</v>
      </c>
      <c r="C5" s="307" t="str">
        <f>DATOS!B5</f>
        <v>Décimo EGB A</v>
      </c>
      <c r="D5" s="308"/>
      <c r="E5" s="308"/>
      <c r="F5" s="308"/>
      <c r="G5" s="308"/>
      <c r="H5" s="308"/>
      <c r="I5" s="309"/>
      <c r="J5" s="61"/>
      <c r="K5" s="316" t="s">
        <v>45</v>
      </c>
      <c r="L5" s="316"/>
      <c r="M5" s="316"/>
      <c r="N5" s="316"/>
      <c r="O5" s="313"/>
      <c r="P5" s="314"/>
      <c r="Q5" s="314"/>
      <c r="R5" s="314"/>
      <c r="S5" s="315"/>
      <c r="T5" s="30"/>
      <c r="U5" s="30"/>
      <c r="V5" s="317"/>
      <c r="W5" s="317"/>
    </row>
    <row r="6" spans="1:23" ht="20.25" thickTop="1" thickBot="1">
      <c r="A6" s="59"/>
      <c r="B6" s="60" t="s">
        <v>30</v>
      </c>
      <c r="C6" s="307" t="str">
        <f>DATOS!B4</f>
        <v>Msc. Myrian Zurita</v>
      </c>
      <c r="D6" s="308"/>
      <c r="E6" s="308"/>
      <c r="F6" s="308"/>
      <c r="G6" s="308"/>
      <c r="H6" s="308"/>
      <c r="I6" s="309"/>
      <c r="J6" s="61"/>
      <c r="K6" s="316" t="s">
        <v>46</v>
      </c>
      <c r="L6" s="316"/>
      <c r="M6" s="316"/>
      <c r="N6" s="316"/>
      <c r="O6" s="313"/>
      <c r="P6" s="314"/>
      <c r="Q6" s="314"/>
      <c r="R6" s="314"/>
      <c r="S6" s="315"/>
      <c r="T6" s="30"/>
      <c r="U6" s="30"/>
      <c r="V6" s="317"/>
      <c r="W6" s="317"/>
    </row>
    <row r="7" spans="1:23" ht="20.25" thickTop="1" thickBot="1">
      <c r="A7" s="59"/>
      <c r="B7" s="60" t="s">
        <v>32</v>
      </c>
      <c r="C7" s="307" t="str">
        <f>DATOS!B3</f>
        <v>Educación Cultural y Artitica</v>
      </c>
      <c r="D7" s="308"/>
      <c r="E7" s="308"/>
      <c r="F7" s="308"/>
      <c r="G7" s="308"/>
      <c r="H7" s="308"/>
      <c r="I7" s="309"/>
      <c r="J7" s="61"/>
      <c r="K7" s="316" t="s">
        <v>48</v>
      </c>
      <c r="L7" s="316"/>
      <c r="M7" s="316"/>
      <c r="N7" s="316"/>
      <c r="O7" s="307" t="str">
        <f>DATOS!B6</f>
        <v>Lic. Gabriela Banda</v>
      </c>
      <c r="P7" s="308"/>
      <c r="Q7" s="308"/>
      <c r="R7" s="308"/>
      <c r="S7" s="309"/>
      <c r="T7" s="30"/>
      <c r="U7" s="30"/>
      <c r="V7" s="30"/>
      <c r="W7" s="30"/>
    </row>
    <row r="8" spans="1:23" ht="20.25" thickTop="1" thickBot="1">
      <c r="A8" s="30"/>
      <c r="B8" s="62" t="s">
        <v>66</v>
      </c>
      <c r="C8" s="310" t="str">
        <f>DATOS!B2</f>
        <v>2023 - 2024</v>
      </c>
      <c r="D8" s="311"/>
      <c r="E8" s="311"/>
      <c r="F8" s="311"/>
      <c r="G8" s="311"/>
      <c r="H8" s="311"/>
      <c r="I8" s="312"/>
      <c r="J8" s="30"/>
      <c r="K8" s="318" t="s">
        <v>47</v>
      </c>
      <c r="L8" s="318"/>
      <c r="M8" s="318"/>
      <c r="N8" s="318"/>
      <c r="O8" s="310" t="s">
        <v>59</v>
      </c>
      <c r="P8" s="311"/>
      <c r="Q8" s="311"/>
      <c r="R8" s="311"/>
      <c r="S8" s="312"/>
      <c r="T8" s="30"/>
      <c r="U8" s="30"/>
      <c r="V8" s="30"/>
      <c r="W8" s="30"/>
    </row>
    <row r="9" spans="1:23" ht="20.25" thickTop="1" thickBot="1">
      <c r="B9" s="60" t="s">
        <v>29</v>
      </c>
      <c r="C9" s="285" t="s">
        <v>67</v>
      </c>
      <c r="D9" s="286"/>
      <c r="E9" s="286"/>
      <c r="F9" s="286"/>
      <c r="G9" s="286"/>
      <c r="H9" s="286"/>
      <c r="I9" s="287"/>
    </row>
    <row r="10" spans="1:23" ht="15.75" thickTop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4"/>
    </row>
    <row r="11" spans="1:23" ht="29.25" customHeight="1" thickBot="1">
      <c r="A11" s="279" t="s">
        <v>49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80"/>
    </row>
    <row r="12" spans="1:23" ht="16.5" customHeight="1" thickTop="1" thickBot="1">
      <c r="A12" s="284" t="s">
        <v>33</v>
      </c>
      <c r="B12" s="284" t="s">
        <v>34</v>
      </c>
      <c r="C12" s="283" t="s">
        <v>61</v>
      </c>
      <c r="D12" s="283"/>
      <c r="E12" s="283"/>
      <c r="F12" s="283"/>
      <c r="G12" s="282" t="s">
        <v>52</v>
      </c>
      <c r="H12" s="282"/>
      <c r="I12" s="282"/>
      <c r="J12" s="282"/>
      <c r="K12" s="281" t="s">
        <v>53</v>
      </c>
      <c r="L12" s="292" t="s">
        <v>37</v>
      </c>
      <c r="M12" s="292"/>
      <c r="N12" s="292"/>
      <c r="O12" s="292"/>
      <c r="P12" s="302" t="s">
        <v>50</v>
      </c>
      <c r="Q12" s="304" t="s">
        <v>65</v>
      </c>
      <c r="R12" s="304" t="s">
        <v>170</v>
      </c>
      <c r="S12" s="300" t="s">
        <v>51</v>
      </c>
      <c r="T12" s="295" t="s">
        <v>115</v>
      </c>
      <c r="U12" s="288" t="s">
        <v>54</v>
      </c>
      <c r="V12" s="288"/>
      <c r="W12" s="288"/>
    </row>
    <row r="13" spans="1:23" ht="16.5" customHeight="1" thickTop="1" thickBot="1">
      <c r="A13" s="284"/>
      <c r="B13" s="284"/>
      <c r="C13" s="283"/>
      <c r="D13" s="283"/>
      <c r="E13" s="283"/>
      <c r="F13" s="283"/>
      <c r="G13" s="282"/>
      <c r="H13" s="282"/>
      <c r="I13" s="282"/>
      <c r="J13" s="282"/>
      <c r="K13" s="281"/>
      <c r="L13" s="292"/>
      <c r="M13" s="292"/>
      <c r="N13" s="292"/>
      <c r="O13" s="292"/>
      <c r="P13" s="303"/>
      <c r="Q13" s="305"/>
      <c r="R13" s="305"/>
      <c r="S13" s="301"/>
      <c r="T13" s="296"/>
      <c r="U13" s="288"/>
      <c r="V13" s="288"/>
      <c r="W13" s="288"/>
    </row>
    <row r="14" spans="1:23" ht="16.5" thickTop="1" thickBot="1">
      <c r="A14" s="284"/>
      <c r="B14" s="284"/>
      <c r="C14" s="289" t="s">
        <v>60</v>
      </c>
      <c r="D14" s="437" t="s">
        <v>62</v>
      </c>
      <c r="E14" s="289" t="s">
        <v>62</v>
      </c>
      <c r="F14" s="298">
        <v>0.45</v>
      </c>
      <c r="G14" s="289" t="s">
        <v>60</v>
      </c>
      <c r="H14" s="437" t="s">
        <v>62</v>
      </c>
      <c r="I14" s="289" t="s">
        <v>62</v>
      </c>
      <c r="J14" s="298">
        <v>0.45</v>
      </c>
      <c r="K14" s="281"/>
      <c r="L14" s="293" t="s">
        <v>63</v>
      </c>
      <c r="M14" s="290">
        <v>0.05</v>
      </c>
      <c r="N14" s="293" t="s">
        <v>64</v>
      </c>
      <c r="O14" s="290">
        <v>0.05</v>
      </c>
      <c r="P14" s="303"/>
      <c r="Q14" s="305"/>
      <c r="R14" s="305"/>
      <c r="S14" s="301"/>
      <c r="T14" s="296"/>
      <c r="U14" s="288"/>
      <c r="V14" s="288"/>
      <c r="W14" s="288"/>
    </row>
    <row r="15" spans="1:23" ht="72.75" thickTop="1" thickBot="1">
      <c r="A15" s="284"/>
      <c r="B15" s="284"/>
      <c r="C15" s="289"/>
      <c r="D15" s="438"/>
      <c r="E15" s="289"/>
      <c r="F15" s="299"/>
      <c r="G15" s="289"/>
      <c r="H15" s="438"/>
      <c r="I15" s="289"/>
      <c r="J15" s="299" t="s">
        <v>55</v>
      </c>
      <c r="K15" s="281"/>
      <c r="L15" s="294"/>
      <c r="M15" s="291"/>
      <c r="N15" s="294"/>
      <c r="O15" s="291"/>
      <c r="P15" s="303"/>
      <c r="Q15" s="305"/>
      <c r="R15" s="305"/>
      <c r="S15" s="301"/>
      <c r="T15" s="297"/>
      <c r="U15" s="65" t="s">
        <v>56</v>
      </c>
      <c r="V15" s="65" t="s">
        <v>57</v>
      </c>
      <c r="W15" s="66" t="s">
        <v>58</v>
      </c>
    </row>
    <row r="16" spans="1:23" ht="17.25" thickTop="1" thickBot="1">
      <c r="A16" s="73">
        <v>1</v>
      </c>
      <c r="B16" s="74" t="str">
        <f>DATOS!B12</f>
        <v>AIMACAÑA LEMA JOSELYN MARISOL</v>
      </c>
      <c r="C16" s="75">
        <f>'NOTAS 1ER TRIMESTRE'!F15</f>
        <v>9.33</v>
      </c>
      <c r="D16" s="75">
        <f>ROUND(C16,0)</f>
        <v>9</v>
      </c>
      <c r="E16" s="75" t="str">
        <f>'NOTAS 1ER TRIMESTRE'!H15</f>
        <v>A-</v>
      </c>
      <c r="F16" s="76">
        <f>C16*0.45</f>
        <v>4.1985000000000001</v>
      </c>
      <c r="G16" s="75">
        <f>'NOTAS 1ER TRIMESTRE'!M15</f>
        <v>9</v>
      </c>
      <c r="H16" s="75">
        <f>ROUND(G16,0)</f>
        <v>9</v>
      </c>
      <c r="I16" s="75" t="str">
        <f>'NOTAS 1ER TRIMESTRE'!O15</f>
        <v>A-</v>
      </c>
      <c r="J16" s="76">
        <f>G16*0.45</f>
        <v>4.05</v>
      </c>
      <c r="K16" s="77">
        <f>F16+J16</f>
        <v>8.2484999999999999</v>
      </c>
      <c r="L16" s="75">
        <f>'NOTAS 1ER TRIMESTRE'!P15</f>
        <v>8.14</v>
      </c>
      <c r="M16" s="76">
        <f>L16*0.05</f>
        <v>0.40700000000000003</v>
      </c>
      <c r="N16" s="75">
        <f>'NOTAS 1ER TRIMESTRE'!Q15</f>
        <v>9</v>
      </c>
      <c r="O16" s="76">
        <f>N16*0.05</f>
        <v>0.45</v>
      </c>
      <c r="P16" s="77">
        <f>M16+O16</f>
        <v>0.85699999999999998</v>
      </c>
      <c r="Q16" s="78">
        <f>K16+P16</f>
        <v>9.1054999999999993</v>
      </c>
      <c r="R16" s="78">
        <f>ROUND(Q16,0)</f>
        <v>9</v>
      </c>
      <c r="S16" s="67" t="str">
        <f>IF(ROUND(Q16,0)=10,"A+",IF(ROUND(Q16,0)=9,"A-",IF(ROUND(Q16,0)=8,"B+",IF(ROUND(Q16,0)=7,"B-",IF(ROUND(Q16,0)=6,"C+",IF(ROUND(Q16,0)=5,"C-",IF(ROUND(17,0)=4,"D+",IF(ROUND(Q16,0)=3,"D-",IF(ROUND(Q16,0)=2,"E+",IF(ROUND(Q16,0)=1,"E-"))))))))))</f>
        <v>A-</v>
      </c>
      <c r="T16" s="115" t="str">
        <f>IF(Q16="","",IF(AND(Q16&gt;=7,Q16&lt;=10),"APROBADO",IF(AND(Q16&gt;=0,Q16&lt;7),"RECUPERACIÓN PEDAGOGICA")))</f>
        <v>APROBADO</v>
      </c>
      <c r="U16" s="68"/>
      <c r="V16" s="68"/>
      <c r="W16" s="68"/>
    </row>
    <row r="17" spans="1:23" ht="17.25" thickTop="1" thickBot="1">
      <c r="A17" s="73">
        <v>2</v>
      </c>
      <c r="B17" s="74" t="str">
        <f>DATOS!B13</f>
        <v>ALMACHI YUGCHA AYAN MIGUEL</v>
      </c>
      <c r="C17" s="75">
        <f>'NOTAS 1ER TRIMESTRE'!F16</f>
        <v>8.66</v>
      </c>
      <c r="D17" s="75">
        <f t="shared" ref="D17:D60" si="0">ROUND(C17,0)</f>
        <v>9</v>
      </c>
      <c r="E17" s="75" t="str">
        <f>'NOTAS 1ER TRIMESTRE'!H16</f>
        <v>A-</v>
      </c>
      <c r="F17" s="76">
        <f t="shared" ref="F17:F60" si="1">C17*0.45</f>
        <v>3.8970000000000002</v>
      </c>
      <c r="G17" s="75">
        <f>'NOTAS 1ER TRIMESTRE'!M16</f>
        <v>8</v>
      </c>
      <c r="H17" s="75">
        <f>ROUND(G17,0)</f>
        <v>8</v>
      </c>
      <c r="I17" s="75" t="str">
        <f>'NOTAS 1ER TRIMESTRE'!O16</f>
        <v>B+</v>
      </c>
      <c r="J17" s="76">
        <f t="shared" ref="J17:J60" si="2">G17*0.45</f>
        <v>3.6</v>
      </c>
      <c r="K17" s="77">
        <f t="shared" ref="K17:K60" si="3">F17+J17</f>
        <v>7.4969999999999999</v>
      </c>
      <c r="L17" s="75">
        <f>'NOTAS 1ER TRIMESTRE'!P16</f>
        <v>7.28</v>
      </c>
      <c r="M17" s="76">
        <f t="shared" ref="M17:M60" si="4">L17*0.05</f>
        <v>0.36400000000000005</v>
      </c>
      <c r="N17" s="75">
        <f>'NOTAS 1ER TRIMESTRE'!Q16</f>
        <v>7</v>
      </c>
      <c r="O17" s="76">
        <f t="shared" ref="O17:O60" si="5">N17*0.05</f>
        <v>0.35000000000000003</v>
      </c>
      <c r="P17" s="77">
        <f>M17+O17</f>
        <v>0.71400000000000008</v>
      </c>
      <c r="Q17" s="78">
        <f>K17+P17</f>
        <v>8.2110000000000003</v>
      </c>
      <c r="R17" s="78">
        <f t="shared" ref="R17:R60" si="6">ROUND(Q17,0)</f>
        <v>8</v>
      </c>
      <c r="S17" s="67" t="str">
        <f t="shared" ref="S17:S61" si="7">IF(ROUND(Q17,0)=10,"A+",IF(ROUND(Q17,0)=9,"A-",IF(ROUND(Q17,0)=8,"B+",IF(ROUND(Q17,0)=7,"B-",IF(ROUND(Q17,0)=6,"C+",IF(ROUND(Q17,0)=5,"C-",IF(ROUND(17,0)=4,"D+",IF(ROUND(Q17,0)=3,"D-",IF(ROUND(Q17,0)=2,"E+",IF(ROUND(Q17,0)=1,"E-"))))))))))</f>
        <v>B+</v>
      </c>
      <c r="T17" s="115" t="str">
        <f t="shared" ref="T17:T60" si="8">IF(Q17="","",IF(AND(Q17&gt;=7,Q17&lt;=10),"APROBADO",IF(AND(Q17&gt;=0,Q17&lt;7),"RECUPERACIÓN PEDAGOGICA")))</f>
        <v>APROBADO</v>
      </c>
      <c r="U17" s="68"/>
      <c r="V17" s="68"/>
      <c r="W17" s="68"/>
    </row>
    <row r="18" spans="1:23" ht="17.25" thickTop="1" thickBot="1">
      <c r="A18" s="73">
        <v>3</v>
      </c>
      <c r="B18" s="74" t="str">
        <f>DATOS!B14</f>
        <v>ANCHUNDIA PLUAS KEYSI BETSABED</v>
      </c>
      <c r="C18" s="75">
        <f>'NOTAS 1ER TRIMESTRE'!F17</f>
        <v>7.33</v>
      </c>
      <c r="D18" s="75">
        <f t="shared" si="0"/>
        <v>7</v>
      </c>
      <c r="E18" s="75" t="str">
        <f>'NOTAS 1ER TRIMESTRE'!H17</f>
        <v>B-</v>
      </c>
      <c r="F18" s="76">
        <f t="shared" si="1"/>
        <v>3.2985000000000002</v>
      </c>
      <c r="G18" s="75">
        <f>'NOTAS 1ER TRIMESTRE'!M17</f>
        <v>7.83</v>
      </c>
      <c r="H18" s="75">
        <f t="shared" ref="H18:H60" si="9">ROUND(G18,0)</f>
        <v>8</v>
      </c>
      <c r="I18" s="75" t="str">
        <f>'NOTAS 1ER TRIMESTRE'!O17</f>
        <v>B+</v>
      </c>
      <c r="J18" s="76">
        <f t="shared" si="2"/>
        <v>3.5235000000000003</v>
      </c>
      <c r="K18" s="77">
        <f t="shared" si="3"/>
        <v>6.822000000000001</v>
      </c>
      <c r="L18" s="75">
        <f>'NOTAS 1ER TRIMESTRE'!P17</f>
        <v>8.89</v>
      </c>
      <c r="M18" s="76">
        <f t="shared" si="4"/>
        <v>0.44450000000000006</v>
      </c>
      <c r="N18" s="75">
        <f>'NOTAS 1ER TRIMESTRE'!Q17</f>
        <v>6</v>
      </c>
      <c r="O18" s="76">
        <f t="shared" si="5"/>
        <v>0.30000000000000004</v>
      </c>
      <c r="P18" s="77">
        <f>M18+O18</f>
        <v>0.74450000000000016</v>
      </c>
      <c r="Q18" s="78">
        <f>K18+P18</f>
        <v>7.5665000000000013</v>
      </c>
      <c r="R18" s="78">
        <f t="shared" si="6"/>
        <v>8</v>
      </c>
      <c r="S18" s="67" t="str">
        <f t="shared" si="7"/>
        <v>B+</v>
      </c>
      <c r="T18" s="115" t="str">
        <f t="shared" si="8"/>
        <v>APROBADO</v>
      </c>
      <c r="U18" s="68"/>
      <c r="V18" s="68"/>
      <c r="W18" s="68"/>
    </row>
    <row r="19" spans="1:23" ht="17.25" thickTop="1" thickBot="1">
      <c r="A19" s="73">
        <v>4</v>
      </c>
      <c r="B19" s="74" t="str">
        <f>DATOS!B15</f>
        <v>ANCHUNDIA SUAREZ MAILY VALENTINA</v>
      </c>
      <c r="C19" s="75">
        <f>'NOTAS 1ER TRIMESTRE'!F18</f>
        <v>9.5</v>
      </c>
      <c r="D19" s="75">
        <f t="shared" si="0"/>
        <v>10</v>
      </c>
      <c r="E19" s="75" t="str">
        <f>'NOTAS 1ER TRIMESTRE'!H18</f>
        <v>A+</v>
      </c>
      <c r="F19" s="76">
        <f t="shared" si="1"/>
        <v>4.2750000000000004</v>
      </c>
      <c r="G19" s="75">
        <f>'NOTAS 1ER TRIMESTRE'!M18</f>
        <v>8.66</v>
      </c>
      <c r="H19" s="75">
        <f t="shared" si="9"/>
        <v>9</v>
      </c>
      <c r="I19" s="75" t="str">
        <f>'NOTAS 1ER TRIMESTRE'!O18</f>
        <v>A-</v>
      </c>
      <c r="J19" s="76">
        <f t="shared" si="2"/>
        <v>3.8970000000000002</v>
      </c>
      <c r="K19" s="77">
        <f t="shared" si="3"/>
        <v>8.1720000000000006</v>
      </c>
      <c r="L19" s="75">
        <f>'NOTAS 1ER TRIMESTRE'!P18</f>
        <v>6.57</v>
      </c>
      <c r="M19" s="76">
        <f t="shared" si="4"/>
        <v>0.32850000000000001</v>
      </c>
      <c r="N19" s="75">
        <f>'NOTAS 1ER TRIMESTRE'!Q18</f>
        <v>7</v>
      </c>
      <c r="O19" s="76">
        <f t="shared" si="5"/>
        <v>0.35000000000000003</v>
      </c>
      <c r="P19" s="77">
        <f>M19+O19</f>
        <v>0.6785000000000001</v>
      </c>
      <c r="Q19" s="78">
        <f>K19+P19</f>
        <v>8.8505000000000003</v>
      </c>
      <c r="R19" s="78">
        <f t="shared" si="6"/>
        <v>9</v>
      </c>
      <c r="S19" s="67" t="str">
        <f t="shared" si="7"/>
        <v>A-</v>
      </c>
      <c r="T19" s="115" t="str">
        <f t="shared" si="8"/>
        <v>APROBADO</v>
      </c>
      <c r="U19" s="68"/>
      <c r="V19" s="68"/>
      <c r="W19" s="68"/>
    </row>
    <row r="20" spans="1:23" ht="17.25" thickTop="1" thickBot="1">
      <c r="A20" s="73">
        <v>5</v>
      </c>
      <c r="B20" s="74" t="str">
        <f>DATOS!B16</f>
        <v>CAIZA CHICAIZA BRYAN JOEL</v>
      </c>
      <c r="C20" s="75">
        <f>'NOTAS 1ER TRIMESTRE'!F19</f>
        <v>8.16</v>
      </c>
      <c r="D20" s="75">
        <f t="shared" si="0"/>
        <v>8</v>
      </c>
      <c r="E20" s="75" t="str">
        <f>'NOTAS 1ER TRIMESTRE'!H19</f>
        <v>B+</v>
      </c>
      <c r="F20" s="76">
        <f t="shared" si="1"/>
        <v>3.6720000000000002</v>
      </c>
      <c r="G20" s="75">
        <f>'NOTAS 1ER TRIMESTRE'!M19</f>
        <v>8.33</v>
      </c>
      <c r="H20" s="75">
        <f t="shared" si="9"/>
        <v>8</v>
      </c>
      <c r="I20" s="75" t="str">
        <f>'NOTAS 1ER TRIMESTRE'!O19</f>
        <v>B+</v>
      </c>
      <c r="J20" s="76">
        <f t="shared" si="2"/>
        <v>3.7484999999999999</v>
      </c>
      <c r="K20" s="77">
        <f t="shared" si="3"/>
        <v>7.4205000000000005</v>
      </c>
      <c r="L20" s="75">
        <f>'NOTAS 1ER TRIMESTRE'!P19</f>
        <v>8.1</v>
      </c>
      <c r="M20" s="76">
        <f t="shared" si="4"/>
        <v>0.40500000000000003</v>
      </c>
      <c r="N20" s="75">
        <f>'NOTAS 1ER TRIMESTRE'!Q19</f>
        <v>9.5</v>
      </c>
      <c r="O20" s="76">
        <f t="shared" si="5"/>
        <v>0.47500000000000003</v>
      </c>
      <c r="P20" s="77">
        <f>M20+O20</f>
        <v>0.88000000000000012</v>
      </c>
      <c r="Q20" s="78">
        <f>K20+P20</f>
        <v>8.3005000000000013</v>
      </c>
      <c r="R20" s="78">
        <f t="shared" si="6"/>
        <v>8</v>
      </c>
      <c r="S20" s="67" t="str">
        <f t="shared" si="7"/>
        <v>B+</v>
      </c>
      <c r="T20" s="115" t="str">
        <f t="shared" si="8"/>
        <v>APROBADO</v>
      </c>
      <c r="U20" s="68"/>
      <c r="V20" s="68"/>
      <c r="W20" s="68"/>
    </row>
    <row r="21" spans="1:23" ht="17.25" thickTop="1" thickBot="1">
      <c r="A21" s="73">
        <v>6</v>
      </c>
      <c r="B21" s="74" t="str">
        <f>DATOS!B17</f>
        <v>CASA CASA JOSUE DAVID</v>
      </c>
      <c r="C21" s="75">
        <f>'NOTAS 1ER TRIMESTRE'!F20</f>
        <v>8.33</v>
      </c>
      <c r="D21" s="75">
        <f t="shared" si="0"/>
        <v>8</v>
      </c>
      <c r="E21" s="75" t="str">
        <f>'NOTAS 1ER TRIMESTRE'!H20</f>
        <v>B+</v>
      </c>
      <c r="F21" s="76">
        <f t="shared" si="1"/>
        <v>3.7484999999999999</v>
      </c>
      <c r="G21" s="75">
        <f>'NOTAS 1ER TRIMESTRE'!M20</f>
        <v>8</v>
      </c>
      <c r="H21" s="75">
        <f t="shared" si="9"/>
        <v>8</v>
      </c>
      <c r="I21" s="75" t="str">
        <f>'NOTAS 1ER TRIMESTRE'!O20</f>
        <v>B+</v>
      </c>
      <c r="J21" s="76">
        <f t="shared" si="2"/>
        <v>3.6</v>
      </c>
      <c r="K21" s="77">
        <f t="shared" si="3"/>
        <v>7.3484999999999996</v>
      </c>
      <c r="L21" s="75">
        <f>'NOTAS 1ER TRIMESTRE'!P20</f>
        <v>7.14</v>
      </c>
      <c r="M21" s="76">
        <f t="shared" si="4"/>
        <v>0.35699999999999998</v>
      </c>
      <c r="N21" s="75">
        <f>'NOTAS 1ER TRIMESTRE'!Q20</f>
        <v>7</v>
      </c>
      <c r="O21" s="76">
        <f t="shared" si="5"/>
        <v>0.35000000000000003</v>
      </c>
      <c r="P21" s="77">
        <f>M21+O21</f>
        <v>0.70700000000000007</v>
      </c>
      <c r="Q21" s="78">
        <f>K21+P21</f>
        <v>8.0555000000000003</v>
      </c>
      <c r="R21" s="78">
        <f t="shared" si="6"/>
        <v>8</v>
      </c>
      <c r="S21" s="67" t="str">
        <f t="shared" si="7"/>
        <v>B+</v>
      </c>
      <c r="T21" s="115" t="str">
        <f t="shared" si="8"/>
        <v>APROBADO</v>
      </c>
      <c r="U21" s="68"/>
      <c r="V21" s="68"/>
      <c r="W21" s="68"/>
    </row>
    <row r="22" spans="1:23" ht="17.25" thickTop="1" thickBot="1">
      <c r="A22" s="73">
        <v>7</v>
      </c>
      <c r="B22" s="74" t="str">
        <f>DATOS!B18</f>
        <v>CASA TASINCHANA MARIA MERCEDES</v>
      </c>
      <c r="C22" s="75">
        <f>'NOTAS 1ER TRIMESTRE'!F21</f>
        <v>8.66</v>
      </c>
      <c r="D22" s="75">
        <f t="shared" si="0"/>
        <v>9</v>
      </c>
      <c r="E22" s="75" t="str">
        <f>'NOTAS 1ER TRIMESTRE'!H21</f>
        <v>A-</v>
      </c>
      <c r="F22" s="76">
        <f t="shared" si="1"/>
        <v>3.8970000000000002</v>
      </c>
      <c r="G22" s="75">
        <f>'NOTAS 1ER TRIMESTRE'!M21</f>
        <v>8.66</v>
      </c>
      <c r="H22" s="75">
        <f t="shared" si="9"/>
        <v>9</v>
      </c>
      <c r="I22" s="75" t="str">
        <f>'NOTAS 1ER TRIMESTRE'!O21</f>
        <v>A-</v>
      </c>
      <c r="J22" s="76">
        <f t="shared" si="2"/>
        <v>3.8970000000000002</v>
      </c>
      <c r="K22" s="77">
        <f t="shared" si="3"/>
        <v>7.7940000000000005</v>
      </c>
      <c r="L22" s="75">
        <f>'NOTAS 1ER TRIMESTRE'!P21</f>
        <v>7.42</v>
      </c>
      <c r="M22" s="76">
        <f t="shared" si="4"/>
        <v>0.371</v>
      </c>
      <c r="N22" s="75">
        <f>'NOTAS 1ER TRIMESTRE'!Q21</f>
        <v>7</v>
      </c>
      <c r="O22" s="76">
        <f t="shared" si="5"/>
        <v>0.35000000000000003</v>
      </c>
      <c r="P22" s="77">
        <f>M22+O22</f>
        <v>0.72100000000000009</v>
      </c>
      <c r="Q22" s="78">
        <f>K22+P22</f>
        <v>8.5150000000000006</v>
      </c>
      <c r="R22" s="78">
        <f t="shared" si="6"/>
        <v>9</v>
      </c>
      <c r="S22" s="67" t="str">
        <f t="shared" si="7"/>
        <v>A-</v>
      </c>
      <c r="T22" s="115" t="str">
        <f t="shared" si="8"/>
        <v>APROBADO</v>
      </c>
      <c r="U22" s="68"/>
      <c r="V22" s="68"/>
      <c r="W22" s="68"/>
    </row>
    <row r="23" spans="1:23" ht="17.25" thickTop="1" thickBot="1">
      <c r="A23" s="73">
        <v>8</v>
      </c>
      <c r="B23" s="74" t="str">
        <f>DATOS!B19</f>
        <v>CASA TUSO KATTY LISETH</v>
      </c>
      <c r="C23" s="75">
        <f>'NOTAS 1ER TRIMESTRE'!F22</f>
        <v>9.33</v>
      </c>
      <c r="D23" s="75">
        <f t="shared" si="0"/>
        <v>9</v>
      </c>
      <c r="E23" s="75" t="str">
        <f>'NOTAS 1ER TRIMESTRE'!H22</f>
        <v>A-</v>
      </c>
      <c r="F23" s="76">
        <f t="shared" si="1"/>
        <v>4.1985000000000001</v>
      </c>
      <c r="G23" s="75">
        <f>'NOTAS 1ER TRIMESTRE'!M22</f>
        <v>9.33</v>
      </c>
      <c r="H23" s="75">
        <f t="shared" si="9"/>
        <v>9</v>
      </c>
      <c r="I23" s="75" t="str">
        <f>'NOTAS 1ER TRIMESTRE'!O22</f>
        <v>A-</v>
      </c>
      <c r="J23" s="76">
        <f t="shared" si="2"/>
        <v>4.1985000000000001</v>
      </c>
      <c r="K23" s="77">
        <f t="shared" si="3"/>
        <v>8.3970000000000002</v>
      </c>
      <c r="L23" s="75">
        <f>'NOTAS 1ER TRIMESTRE'!P22</f>
        <v>8.7100000000000009</v>
      </c>
      <c r="M23" s="76">
        <f t="shared" si="4"/>
        <v>0.43550000000000005</v>
      </c>
      <c r="N23" s="75">
        <f>'NOTAS 1ER TRIMESTRE'!Q22</f>
        <v>8</v>
      </c>
      <c r="O23" s="76">
        <f t="shared" si="5"/>
        <v>0.4</v>
      </c>
      <c r="P23" s="77">
        <f>M23+O23</f>
        <v>0.83550000000000013</v>
      </c>
      <c r="Q23" s="78">
        <f>K23+P23</f>
        <v>9.2324999999999999</v>
      </c>
      <c r="R23" s="78">
        <f t="shared" si="6"/>
        <v>9</v>
      </c>
      <c r="S23" s="67" t="str">
        <f t="shared" si="7"/>
        <v>A-</v>
      </c>
      <c r="T23" s="115" t="str">
        <f t="shared" si="8"/>
        <v>APROBADO</v>
      </c>
      <c r="U23" s="68"/>
      <c r="V23" s="68"/>
      <c r="W23" s="68"/>
    </row>
    <row r="24" spans="1:23" ht="17.25" thickTop="1" thickBot="1">
      <c r="A24" s="73">
        <v>9</v>
      </c>
      <c r="B24" s="74" t="str">
        <f>DATOS!B20</f>
        <v>CENTENO GUISÑAN ALISON PAMELA</v>
      </c>
      <c r="C24" s="75">
        <f>'NOTAS 1ER TRIMESTRE'!F23</f>
        <v>8.16</v>
      </c>
      <c r="D24" s="75">
        <f t="shared" si="0"/>
        <v>8</v>
      </c>
      <c r="E24" s="75" t="str">
        <f>'NOTAS 1ER TRIMESTRE'!H23</f>
        <v>B+</v>
      </c>
      <c r="F24" s="76">
        <f t="shared" si="1"/>
        <v>3.6720000000000002</v>
      </c>
      <c r="G24" s="75">
        <f>'NOTAS 1ER TRIMESTRE'!M23</f>
        <v>8.5</v>
      </c>
      <c r="H24" s="75">
        <f t="shared" si="9"/>
        <v>9</v>
      </c>
      <c r="I24" s="75" t="str">
        <f>'NOTAS 1ER TRIMESTRE'!O23</f>
        <v>A-</v>
      </c>
      <c r="J24" s="76">
        <f t="shared" si="2"/>
        <v>3.8250000000000002</v>
      </c>
      <c r="K24" s="77">
        <f t="shared" si="3"/>
        <v>7.4969999999999999</v>
      </c>
      <c r="L24" s="75">
        <f>'NOTAS 1ER TRIMESTRE'!P23</f>
        <v>7.89</v>
      </c>
      <c r="M24" s="76">
        <f t="shared" si="4"/>
        <v>0.39450000000000002</v>
      </c>
      <c r="N24" s="75">
        <f>'NOTAS 1ER TRIMESTRE'!Q23</f>
        <v>6</v>
      </c>
      <c r="O24" s="76">
        <f t="shared" si="5"/>
        <v>0.30000000000000004</v>
      </c>
      <c r="P24" s="77">
        <f>M24+O24</f>
        <v>0.69450000000000012</v>
      </c>
      <c r="Q24" s="78">
        <f>K24+P24</f>
        <v>8.1914999999999996</v>
      </c>
      <c r="R24" s="78">
        <f t="shared" si="6"/>
        <v>8</v>
      </c>
      <c r="S24" s="67" t="str">
        <f t="shared" si="7"/>
        <v>B+</v>
      </c>
      <c r="T24" s="115" t="str">
        <f t="shared" si="8"/>
        <v>APROBADO</v>
      </c>
      <c r="U24" s="68"/>
      <c r="V24" s="68"/>
      <c r="W24" s="68"/>
    </row>
    <row r="25" spans="1:23" ht="17.25" thickTop="1" thickBot="1">
      <c r="A25" s="73">
        <v>10</v>
      </c>
      <c r="B25" s="74" t="str">
        <f>DATOS!B21</f>
        <v>CHANCUSIG CHILIQUINGA NORMA NICOLE</v>
      </c>
      <c r="C25" s="75">
        <f>'NOTAS 1ER TRIMESTRE'!F24</f>
        <v>8</v>
      </c>
      <c r="D25" s="75">
        <f t="shared" si="0"/>
        <v>8</v>
      </c>
      <c r="E25" s="75" t="str">
        <f>'NOTAS 1ER TRIMESTRE'!H24</f>
        <v>B+</v>
      </c>
      <c r="F25" s="76">
        <f t="shared" si="1"/>
        <v>3.6</v>
      </c>
      <c r="G25" s="75">
        <f>'NOTAS 1ER TRIMESTRE'!M24</f>
        <v>8</v>
      </c>
      <c r="H25" s="75">
        <f t="shared" si="9"/>
        <v>8</v>
      </c>
      <c r="I25" s="75" t="str">
        <f>'NOTAS 1ER TRIMESTRE'!O24</f>
        <v>B+</v>
      </c>
      <c r="J25" s="76">
        <f t="shared" si="2"/>
        <v>3.6</v>
      </c>
      <c r="K25" s="77">
        <f t="shared" si="3"/>
        <v>7.2</v>
      </c>
      <c r="L25" s="75">
        <f>'NOTAS 1ER TRIMESTRE'!P24</f>
        <v>7</v>
      </c>
      <c r="M25" s="76">
        <f t="shared" si="4"/>
        <v>0.35000000000000003</v>
      </c>
      <c r="N25" s="75">
        <f>'NOTAS 1ER TRIMESTRE'!Q24</f>
        <v>7</v>
      </c>
      <c r="O25" s="76">
        <f t="shared" si="5"/>
        <v>0.35000000000000003</v>
      </c>
      <c r="P25" s="77">
        <f>M25+O25</f>
        <v>0.70000000000000007</v>
      </c>
      <c r="Q25" s="78">
        <f>K25+P25</f>
        <v>7.9</v>
      </c>
      <c r="R25" s="78">
        <f t="shared" si="6"/>
        <v>8</v>
      </c>
      <c r="S25" s="67" t="str">
        <f t="shared" si="7"/>
        <v>B+</v>
      </c>
      <c r="T25" s="115" t="str">
        <f t="shared" si="8"/>
        <v>APROBADO</v>
      </c>
      <c r="U25" s="68"/>
      <c r="V25" s="68"/>
      <c r="W25" s="68"/>
    </row>
    <row r="26" spans="1:23" ht="17.25" thickTop="1" thickBot="1">
      <c r="A26" s="73">
        <v>11</v>
      </c>
      <c r="B26" s="74" t="str">
        <f>DATOS!B22</f>
        <v>CHASI CHANCUSIG JORGE LUIS</v>
      </c>
      <c r="C26" s="75">
        <f>'NOTAS 1ER TRIMESTRE'!F25</f>
        <v>7.5</v>
      </c>
      <c r="D26" s="75">
        <f t="shared" si="0"/>
        <v>8</v>
      </c>
      <c r="E26" s="75" t="str">
        <f>'NOTAS 1ER TRIMESTRE'!H25</f>
        <v>B+</v>
      </c>
      <c r="F26" s="76">
        <f t="shared" si="1"/>
        <v>3.375</v>
      </c>
      <c r="G26" s="75">
        <f>'NOTAS 1ER TRIMESTRE'!M25</f>
        <v>7.33</v>
      </c>
      <c r="H26" s="75">
        <f t="shared" si="9"/>
        <v>7</v>
      </c>
      <c r="I26" s="75" t="str">
        <f>'NOTAS 1ER TRIMESTRE'!O25</f>
        <v>B-</v>
      </c>
      <c r="J26" s="76">
        <f t="shared" si="2"/>
        <v>3.2985000000000002</v>
      </c>
      <c r="K26" s="77">
        <f t="shared" si="3"/>
        <v>6.6735000000000007</v>
      </c>
      <c r="L26" s="75">
        <f>'NOTAS 1ER TRIMESTRE'!P25</f>
        <v>7.14</v>
      </c>
      <c r="M26" s="76">
        <f t="shared" si="4"/>
        <v>0.35699999999999998</v>
      </c>
      <c r="N26" s="75">
        <f>'NOTAS 1ER TRIMESTRE'!Q25</f>
        <v>5</v>
      </c>
      <c r="O26" s="76">
        <f t="shared" si="5"/>
        <v>0.25</v>
      </c>
      <c r="P26" s="77">
        <f>M26+O26</f>
        <v>0.60699999999999998</v>
      </c>
      <c r="Q26" s="78">
        <f>K26+P26</f>
        <v>7.2805000000000009</v>
      </c>
      <c r="R26" s="78">
        <f t="shared" si="6"/>
        <v>7</v>
      </c>
      <c r="S26" s="67" t="str">
        <f t="shared" si="7"/>
        <v>B-</v>
      </c>
      <c r="T26" s="115" t="str">
        <f t="shared" si="8"/>
        <v>APROBADO</v>
      </c>
      <c r="U26" s="68"/>
      <c r="V26" s="68"/>
      <c r="W26" s="68"/>
    </row>
    <row r="27" spans="1:23" ht="17.25" thickTop="1" thickBot="1">
      <c r="A27" s="73">
        <v>12</v>
      </c>
      <c r="B27" s="74" t="str">
        <f>DATOS!B23</f>
        <v>CHUQUI PASSO BRITHANY SOLANGE</v>
      </c>
      <c r="C27" s="75">
        <f>'NOTAS 1ER TRIMESTRE'!F26</f>
        <v>8.66</v>
      </c>
      <c r="D27" s="75">
        <f t="shared" si="0"/>
        <v>9</v>
      </c>
      <c r="E27" s="75" t="str">
        <f>'NOTAS 1ER TRIMESTRE'!H26</f>
        <v>A-</v>
      </c>
      <c r="F27" s="76">
        <f t="shared" si="1"/>
        <v>3.8970000000000002</v>
      </c>
      <c r="G27" s="75">
        <f>'NOTAS 1ER TRIMESTRE'!M26</f>
        <v>8.83</v>
      </c>
      <c r="H27" s="75">
        <f t="shared" si="9"/>
        <v>9</v>
      </c>
      <c r="I27" s="75" t="str">
        <f>'NOTAS 1ER TRIMESTRE'!O26</f>
        <v>A-</v>
      </c>
      <c r="J27" s="76">
        <f t="shared" si="2"/>
        <v>3.9735</v>
      </c>
      <c r="K27" s="77">
        <f t="shared" si="3"/>
        <v>7.8704999999999998</v>
      </c>
      <c r="L27" s="75">
        <f>'NOTAS 1ER TRIMESTRE'!P26</f>
        <v>9.2799999999999994</v>
      </c>
      <c r="M27" s="76">
        <f t="shared" si="4"/>
        <v>0.46399999999999997</v>
      </c>
      <c r="N27" s="75">
        <f>'NOTAS 1ER TRIMESTRE'!Q26</f>
        <v>6.5</v>
      </c>
      <c r="O27" s="76">
        <f t="shared" si="5"/>
        <v>0.32500000000000001</v>
      </c>
      <c r="P27" s="77">
        <f>M27+O27</f>
        <v>0.78899999999999992</v>
      </c>
      <c r="Q27" s="78">
        <f>K27+P27</f>
        <v>8.6594999999999995</v>
      </c>
      <c r="R27" s="78">
        <f t="shared" si="6"/>
        <v>9</v>
      </c>
      <c r="S27" s="67" t="str">
        <f t="shared" si="7"/>
        <v>A-</v>
      </c>
      <c r="T27" s="115" t="str">
        <f t="shared" si="8"/>
        <v>APROBADO</v>
      </c>
      <c r="U27" s="68"/>
      <c r="V27" s="68"/>
      <c r="W27" s="68"/>
    </row>
    <row r="28" spans="1:23" ht="17.25" thickTop="1" thickBot="1">
      <c r="A28" s="73">
        <v>13</v>
      </c>
      <c r="B28" s="74" t="str">
        <f>DATOS!B24</f>
        <v>CUCHIPARTE CASA KARLA CAROLINA</v>
      </c>
      <c r="C28" s="75">
        <f>'NOTAS 1ER TRIMESTRE'!F27</f>
        <v>9.33</v>
      </c>
      <c r="D28" s="75">
        <f t="shared" si="0"/>
        <v>9</v>
      </c>
      <c r="E28" s="75" t="str">
        <f>'NOTAS 1ER TRIMESTRE'!H27</f>
        <v>A-</v>
      </c>
      <c r="F28" s="76">
        <f t="shared" si="1"/>
        <v>4.1985000000000001</v>
      </c>
      <c r="G28" s="75">
        <f>'NOTAS 1ER TRIMESTRE'!M27</f>
        <v>9.33</v>
      </c>
      <c r="H28" s="75">
        <f t="shared" si="9"/>
        <v>9</v>
      </c>
      <c r="I28" s="75" t="str">
        <f>'NOTAS 1ER TRIMESTRE'!O27</f>
        <v>A-</v>
      </c>
      <c r="J28" s="76">
        <f t="shared" si="2"/>
        <v>4.1985000000000001</v>
      </c>
      <c r="K28" s="77">
        <f t="shared" si="3"/>
        <v>8.3970000000000002</v>
      </c>
      <c r="L28" s="75">
        <f>'NOTAS 1ER TRIMESTRE'!P27</f>
        <v>9.32</v>
      </c>
      <c r="M28" s="76">
        <f t="shared" si="4"/>
        <v>0.46600000000000003</v>
      </c>
      <c r="N28" s="75">
        <f>'NOTAS 1ER TRIMESTRE'!Q27</f>
        <v>8.5</v>
      </c>
      <c r="O28" s="76">
        <f t="shared" si="5"/>
        <v>0.42500000000000004</v>
      </c>
      <c r="P28" s="77">
        <f>M28+O28</f>
        <v>0.89100000000000001</v>
      </c>
      <c r="Q28" s="78">
        <f>K28+P28</f>
        <v>9.2880000000000003</v>
      </c>
      <c r="R28" s="78">
        <f t="shared" si="6"/>
        <v>9</v>
      </c>
      <c r="S28" s="67" t="str">
        <f t="shared" si="7"/>
        <v>A-</v>
      </c>
      <c r="T28" s="115" t="str">
        <f t="shared" si="8"/>
        <v>APROBADO</v>
      </c>
      <c r="U28" s="68"/>
      <c r="V28" s="68"/>
      <c r="W28" s="68"/>
    </row>
    <row r="29" spans="1:23" ht="17.25" thickTop="1" thickBot="1">
      <c r="A29" s="73">
        <v>14</v>
      </c>
      <c r="B29" s="74" t="str">
        <f>DATOS!B25</f>
        <v>GUAÑA CHINGO EDGAR ISMAEL</v>
      </c>
      <c r="C29" s="75">
        <f>'NOTAS 1ER TRIMESTRE'!F28</f>
        <v>8</v>
      </c>
      <c r="D29" s="75">
        <f t="shared" si="0"/>
        <v>8</v>
      </c>
      <c r="E29" s="75" t="str">
        <f>'NOTAS 1ER TRIMESTRE'!H28</f>
        <v>B+</v>
      </c>
      <c r="F29" s="76">
        <f t="shared" si="1"/>
        <v>3.6</v>
      </c>
      <c r="G29" s="75">
        <f>'NOTAS 1ER TRIMESTRE'!M28</f>
        <v>8</v>
      </c>
      <c r="H29" s="75">
        <f t="shared" si="9"/>
        <v>8</v>
      </c>
      <c r="I29" s="75" t="str">
        <f>'NOTAS 1ER TRIMESTRE'!O28</f>
        <v>B+</v>
      </c>
      <c r="J29" s="76">
        <f t="shared" si="2"/>
        <v>3.6</v>
      </c>
      <c r="K29" s="77">
        <f t="shared" si="3"/>
        <v>7.2</v>
      </c>
      <c r="L29" s="75">
        <f>'NOTAS 1ER TRIMESTRE'!P28</f>
        <v>7.96</v>
      </c>
      <c r="M29" s="76">
        <f t="shared" si="4"/>
        <v>0.39800000000000002</v>
      </c>
      <c r="N29" s="75">
        <f>'NOTAS 1ER TRIMESTRE'!Q28</f>
        <v>8.5</v>
      </c>
      <c r="O29" s="76">
        <f t="shared" si="5"/>
        <v>0.42500000000000004</v>
      </c>
      <c r="P29" s="77">
        <f>M29+O29</f>
        <v>0.82300000000000006</v>
      </c>
      <c r="Q29" s="78">
        <f>K29+P29</f>
        <v>8.0229999999999997</v>
      </c>
      <c r="R29" s="78">
        <f t="shared" si="6"/>
        <v>8</v>
      </c>
      <c r="S29" s="67" t="str">
        <f t="shared" si="7"/>
        <v>B+</v>
      </c>
      <c r="T29" s="115" t="str">
        <f t="shared" si="8"/>
        <v>APROBADO</v>
      </c>
      <c r="U29" s="68"/>
      <c r="V29" s="68"/>
      <c r="W29" s="68"/>
    </row>
    <row r="30" spans="1:23" ht="17.25" thickTop="1" thickBot="1">
      <c r="A30" s="73">
        <v>15</v>
      </c>
      <c r="B30" s="74" t="str">
        <f>DATOS!B26</f>
        <v>IZA CASA ANGEL DAVID</v>
      </c>
      <c r="C30" s="75">
        <f>'NOTAS 1ER TRIMESTRE'!F29</f>
        <v>7.33</v>
      </c>
      <c r="D30" s="75">
        <f t="shared" si="0"/>
        <v>7</v>
      </c>
      <c r="E30" s="75" t="str">
        <f>'NOTAS 1ER TRIMESTRE'!H29</f>
        <v>B-</v>
      </c>
      <c r="F30" s="76">
        <f t="shared" si="1"/>
        <v>3.2985000000000002</v>
      </c>
      <c r="G30" s="75">
        <f>'NOTAS 1ER TRIMESTRE'!M29</f>
        <v>9</v>
      </c>
      <c r="H30" s="75">
        <f t="shared" si="9"/>
        <v>9</v>
      </c>
      <c r="I30" s="75" t="str">
        <f>'NOTAS 1ER TRIMESTRE'!O29</f>
        <v>A-</v>
      </c>
      <c r="J30" s="76">
        <f t="shared" si="2"/>
        <v>4.05</v>
      </c>
      <c r="K30" s="77">
        <f t="shared" si="3"/>
        <v>7.3484999999999996</v>
      </c>
      <c r="L30" s="75">
        <f>'NOTAS 1ER TRIMESTRE'!P29</f>
        <v>8.92</v>
      </c>
      <c r="M30" s="76">
        <f t="shared" si="4"/>
        <v>0.44600000000000001</v>
      </c>
      <c r="N30" s="75">
        <f>'NOTAS 1ER TRIMESTRE'!Q29</f>
        <v>7</v>
      </c>
      <c r="O30" s="76">
        <f t="shared" si="5"/>
        <v>0.35000000000000003</v>
      </c>
      <c r="P30" s="77">
        <f>M30+O30</f>
        <v>0.79600000000000004</v>
      </c>
      <c r="Q30" s="78">
        <f>K30+P30</f>
        <v>8.144499999999999</v>
      </c>
      <c r="R30" s="78">
        <f t="shared" si="6"/>
        <v>8</v>
      </c>
      <c r="S30" s="67" t="str">
        <f t="shared" si="7"/>
        <v>B+</v>
      </c>
      <c r="T30" s="115" t="str">
        <f t="shared" si="8"/>
        <v>APROBADO</v>
      </c>
      <c r="U30" s="68"/>
      <c r="V30" s="68"/>
      <c r="W30" s="68"/>
    </row>
    <row r="31" spans="1:23" ht="17.25" thickTop="1" thickBot="1">
      <c r="A31" s="73">
        <v>16</v>
      </c>
      <c r="B31" s="74" t="str">
        <f>DATOS!B27</f>
        <v>IZA PEREZ ERICK ISMAEL</v>
      </c>
      <c r="C31" s="75">
        <f>'NOTAS 1ER TRIMESTRE'!F30</f>
        <v>7.66</v>
      </c>
      <c r="D31" s="75">
        <f t="shared" si="0"/>
        <v>8</v>
      </c>
      <c r="E31" s="75" t="str">
        <f>'NOTAS 1ER TRIMESTRE'!H30</f>
        <v>B+</v>
      </c>
      <c r="F31" s="76">
        <f t="shared" si="1"/>
        <v>3.4470000000000001</v>
      </c>
      <c r="G31" s="75">
        <f>'NOTAS 1ER TRIMESTRE'!M30</f>
        <v>7.5</v>
      </c>
      <c r="H31" s="75">
        <f t="shared" si="9"/>
        <v>8</v>
      </c>
      <c r="I31" s="75" t="str">
        <f>'NOTAS 1ER TRIMESTRE'!O30</f>
        <v>B+</v>
      </c>
      <c r="J31" s="76">
        <f t="shared" si="2"/>
        <v>3.375</v>
      </c>
      <c r="K31" s="77">
        <f t="shared" si="3"/>
        <v>6.8220000000000001</v>
      </c>
      <c r="L31" s="75">
        <f>'NOTAS 1ER TRIMESTRE'!P30</f>
        <v>6.64</v>
      </c>
      <c r="M31" s="76">
        <f t="shared" si="4"/>
        <v>0.33200000000000002</v>
      </c>
      <c r="N31" s="75">
        <f>'NOTAS 1ER TRIMESTRE'!Q30</f>
        <v>8</v>
      </c>
      <c r="O31" s="76">
        <f t="shared" si="5"/>
        <v>0.4</v>
      </c>
      <c r="P31" s="77">
        <f>M31+O31</f>
        <v>0.73199999999999998</v>
      </c>
      <c r="Q31" s="78">
        <f>K31+P31</f>
        <v>7.5540000000000003</v>
      </c>
      <c r="R31" s="78">
        <f t="shared" si="6"/>
        <v>8</v>
      </c>
      <c r="S31" s="67" t="str">
        <f t="shared" si="7"/>
        <v>B+</v>
      </c>
      <c r="T31" s="115" t="str">
        <f t="shared" si="8"/>
        <v>APROBADO</v>
      </c>
      <c r="U31" s="68"/>
      <c r="V31" s="68"/>
      <c r="W31" s="68"/>
    </row>
    <row r="32" spans="1:23" ht="17.25" thickTop="1" thickBot="1">
      <c r="A32" s="73">
        <v>17</v>
      </c>
      <c r="B32" s="74" t="str">
        <f>DATOS!B28</f>
        <v>IZA QUINATOA JOSTIN JOSE</v>
      </c>
      <c r="C32" s="75">
        <f>'NOTAS 1ER TRIMESTRE'!F31</f>
        <v>9</v>
      </c>
      <c r="D32" s="75">
        <f t="shared" si="0"/>
        <v>9</v>
      </c>
      <c r="E32" s="75" t="str">
        <f>'NOTAS 1ER TRIMESTRE'!H31</f>
        <v>A-</v>
      </c>
      <c r="F32" s="76">
        <f t="shared" si="1"/>
        <v>4.05</v>
      </c>
      <c r="G32" s="75">
        <f>'NOTAS 1ER TRIMESTRE'!M31</f>
        <v>9.25</v>
      </c>
      <c r="H32" s="75">
        <f t="shared" si="9"/>
        <v>9</v>
      </c>
      <c r="I32" s="75" t="str">
        <f>'NOTAS 1ER TRIMESTRE'!O31</f>
        <v>A-</v>
      </c>
      <c r="J32" s="76">
        <f t="shared" si="2"/>
        <v>4.1625000000000005</v>
      </c>
      <c r="K32" s="77">
        <f t="shared" si="3"/>
        <v>8.2125000000000004</v>
      </c>
      <c r="L32" s="75">
        <f>'NOTAS 1ER TRIMESTRE'!P31</f>
        <v>9</v>
      </c>
      <c r="M32" s="76">
        <f t="shared" si="4"/>
        <v>0.45</v>
      </c>
      <c r="N32" s="75">
        <f>'NOTAS 1ER TRIMESTRE'!Q31</f>
        <v>7</v>
      </c>
      <c r="O32" s="76">
        <f t="shared" si="5"/>
        <v>0.35000000000000003</v>
      </c>
      <c r="P32" s="77">
        <f>M32+O32</f>
        <v>0.8</v>
      </c>
      <c r="Q32" s="78">
        <f>K32+P32</f>
        <v>9.0125000000000011</v>
      </c>
      <c r="R32" s="78">
        <f t="shared" si="6"/>
        <v>9</v>
      </c>
      <c r="S32" s="67" t="str">
        <f t="shared" si="7"/>
        <v>A-</v>
      </c>
      <c r="T32" s="115" t="str">
        <f t="shared" si="8"/>
        <v>APROBADO</v>
      </c>
      <c r="U32" s="68"/>
      <c r="V32" s="68"/>
      <c r="W32" s="68"/>
    </row>
    <row r="33" spans="1:23" ht="17.25" thickTop="1" thickBot="1">
      <c r="A33" s="73">
        <v>18</v>
      </c>
      <c r="B33" s="74" t="str">
        <f>DATOS!B29</f>
        <v xml:space="preserve">JAMI JAMI ANTHONI JOEL                            </v>
      </c>
      <c r="C33" s="75">
        <f>'NOTAS 1ER TRIMESTRE'!F32</f>
        <v>8.5</v>
      </c>
      <c r="D33" s="75">
        <f t="shared" si="0"/>
        <v>9</v>
      </c>
      <c r="E33" s="75" t="str">
        <f>'NOTAS 1ER TRIMESTRE'!H32</f>
        <v>A-</v>
      </c>
      <c r="F33" s="76">
        <f t="shared" si="1"/>
        <v>3.8250000000000002</v>
      </c>
      <c r="G33" s="75">
        <f>'NOTAS 1ER TRIMESTRE'!M32</f>
        <v>7.66</v>
      </c>
      <c r="H33" s="75">
        <f t="shared" si="9"/>
        <v>8</v>
      </c>
      <c r="I33" s="75" t="str">
        <f>'NOTAS 1ER TRIMESTRE'!O32</f>
        <v>B+</v>
      </c>
      <c r="J33" s="76">
        <f t="shared" si="2"/>
        <v>3.4470000000000001</v>
      </c>
      <c r="K33" s="77">
        <f t="shared" si="3"/>
        <v>7.2720000000000002</v>
      </c>
      <c r="L33" s="75">
        <f>'NOTAS 1ER TRIMESTRE'!P32</f>
        <v>7.75</v>
      </c>
      <c r="M33" s="76">
        <f t="shared" si="4"/>
        <v>0.38750000000000001</v>
      </c>
      <c r="N33" s="75">
        <f>'NOTAS 1ER TRIMESTRE'!Q32</f>
        <v>9</v>
      </c>
      <c r="O33" s="76">
        <f t="shared" si="5"/>
        <v>0.45</v>
      </c>
      <c r="P33" s="77">
        <f>M33+O33</f>
        <v>0.83750000000000002</v>
      </c>
      <c r="Q33" s="78">
        <f>K33+P33</f>
        <v>8.1095000000000006</v>
      </c>
      <c r="R33" s="78">
        <f t="shared" si="6"/>
        <v>8</v>
      </c>
      <c r="S33" s="67" t="str">
        <f t="shared" si="7"/>
        <v>B+</v>
      </c>
      <c r="T33" s="115" t="str">
        <f t="shared" si="8"/>
        <v>APROBADO</v>
      </c>
      <c r="U33" s="68"/>
      <c r="V33" s="68"/>
      <c r="W33" s="68"/>
    </row>
    <row r="34" spans="1:23" ht="17.25" thickTop="1" thickBot="1">
      <c r="A34" s="73">
        <v>19</v>
      </c>
      <c r="B34" s="74" t="str">
        <f>DATOS!B30</f>
        <v>LOOR LOPEZ ALEXANDER JEAMPIERRE</v>
      </c>
      <c r="C34" s="75">
        <f>'NOTAS 1ER TRIMESTRE'!F33</f>
        <v>8</v>
      </c>
      <c r="D34" s="75">
        <f t="shared" si="0"/>
        <v>8</v>
      </c>
      <c r="E34" s="75" t="str">
        <f>'NOTAS 1ER TRIMESTRE'!H33</f>
        <v>B+</v>
      </c>
      <c r="F34" s="76">
        <f t="shared" si="1"/>
        <v>3.6</v>
      </c>
      <c r="G34" s="75">
        <f>'NOTAS 1ER TRIMESTRE'!M33</f>
        <v>9.66</v>
      </c>
      <c r="H34" s="75">
        <f t="shared" si="9"/>
        <v>10</v>
      </c>
      <c r="I34" s="75" t="str">
        <f>'NOTAS 1ER TRIMESTRE'!O33</f>
        <v>A+</v>
      </c>
      <c r="J34" s="76">
        <f t="shared" si="2"/>
        <v>4.3470000000000004</v>
      </c>
      <c r="K34" s="77">
        <f t="shared" si="3"/>
        <v>7.947000000000001</v>
      </c>
      <c r="L34" s="75">
        <f>'NOTAS 1ER TRIMESTRE'!P33</f>
        <v>9.42</v>
      </c>
      <c r="M34" s="76">
        <f t="shared" si="4"/>
        <v>0.47100000000000003</v>
      </c>
      <c r="N34" s="75">
        <f>'NOTAS 1ER TRIMESTRE'!Q33</f>
        <v>4.5</v>
      </c>
      <c r="O34" s="76">
        <f t="shared" si="5"/>
        <v>0.22500000000000001</v>
      </c>
      <c r="P34" s="77">
        <f>M34+O34</f>
        <v>0.69600000000000006</v>
      </c>
      <c r="Q34" s="78">
        <f>K34+P34</f>
        <v>8.6430000000000007</v>
      </c>
      <c r="R34" s="78">
        <f t="shared" si="6"/>
        <v>9</v>
      </c>
      <c r="S34" s="67" t="str">
        <f t="shared" si="7"/>
        <v>A-</v>
      </c>
      <c r="T34" s="115" t="str">
        <f t="shared" si="8"/>
        <v>APROBADO</v>
      </c>
      <c r="U34" s="68"/>
      <c r="V34" s="68"/>
      <c r="W34" s="68"/>
    </row>
    <row r="35" spans="1:23" ht="17.25" thickTop="1" thickBot="1">
      <c r="A35" s="73">
        <v>20</v>
      </c>
      <c r="B35" s="74" t="str">
        <f>DATOS!B31</f>
        <v>LOPEZ CARRASCO LIA ALEJANDRA</v>
      </c>
      <c r="C35" s="75">
        <f>'NOTAS 1ER TRIMESTRE'!F34</f>
        <v>9.66</v>
      </c>
      <c r="D35" s="75">
        <f t="shared" si="0"/>
        <v>10</v>
      </c>
      <c r="E35" s="75" t="str">
        <f>'NOTAS 1ER TRIMESTRE'!H34</f>
        <v>A+</v>
      </c>
      <c r="F35" s="76">
        <f t="shared" si="1"/>
        <v>4.3470000000000004</v>
      </c>
      <c r="G35" s="75">
        <f>'NOTAS 1ER TRIMESTRE'!M34</f>
        <v>9.5</v>
      </c>
      <c r="H35" s="75">
        <f t="shared" si="9"/>
        <v>10</v>
      </c>
      <c r="I35" s="75" t="str">
        <f>'NOTAS 1ER TRIMESTRE'!O34</f>
        <v>A+</v>
      </c>
      <c r="J35" s="76">
        <f t="shared" si="2"/>
        <v>4.2750000000000004</v>
      </c>
      <c r="K35" s="77">
        <f t="shared" si="3"/>
        <v>8.6219999999999999</v>
      </c>
      <c r="L35" s="75">
        <f>'NOTAS 1ER TRIMESTRE'!P34</f>
        <v>7.85</v>
      </c>
      <c r="M35" s="76">
        <f t="shared" si="4"/>
        <v>0.39250000000000002</v>
      </c>
      <c r="N35" s="75">
        <f>'NOTAS 1ER TRIMESTRE'!Q34</f>
        <v>7</v>
      </c>
      <c r="O35" s="76">
        <f t="shared" si="5"/>
        <v>0.35000000000000003</v>
      </c>
      <c r="P35" s="77">
        <f>M35+O35</f>
        <v>0.74250000000000005</v>
      </c>
      <c r="Q35" s="78">
        <f>K35+P35</f>
        <v>9.3644999999999996</v>
      </c>
      <c r="R35" s="78">
        <f t="shared" si="6"/>
        <v>9</v>
      </c>
      <c r="S35" s="67" t="str">
        <f t="shared" si="7"/>
        <v>A-</v>
      </c>
      <c r="T35" s="115" t="str">
        <f t="shared" si="8"/>
        <v>APROBADO</v>
      </c>
      <c r="U35" s="68"/>
      <c r="V35" s="68"/>
      <c r="W35" s="68"/>
    </row>
    <row r="36" spans="1:23" ht="17.25" thickTop="1" thickBot="1">
      <c r="A36" s="73">
        <v>21</v>
      </c>
      <c r="B36" s="74" t="str">
        <f>DATOS!B32</f>
        <v>MASAPANTA CASA JUAN MIGUEL</v>
      </c>
      <c r="C36" s="75">
        <f>'NOTAS 1ER TRIMESTRE'!F35</f>
        <v>8.16</v>
      </c>
      <c r="D36" s="75">
        <f t="shared" si="0"/>
        <v>8</v>
      </c>
      <c r="E36" s="75" t="str">
        <f>'NOTAS 1ER TRIMESTRE'!H35</f>
        <v>B+</v>
      </c>
      <c r="F36" s="76">
        <f t="shared" si="1"/>
        <v>3.6720000000000002</v>
      </c>
      <c r="G36" s="75">
        <f>'NOTAS 1ER TRIMESTRE'!M35</f>
        <v>8.16</v>
      </c>
      <c r="H36" s="75">
        <f t="shared" si="9"/>
        <v>8</v>
      </c>
      <c r="I36" s="75" t="str">
        <f>'NOTAS 1ER TRIMESTRE'!O35</f>
        <v>B+</v>
      </c>
      <c r="J36" s="76">
        <f t="shared" si="2"/>
        <v>3.6720000000000002</v>
      </c>
      <c r="K36" s="77">
        <f t="shared" si="3"/>
        <v>7.3440000000000003</v>
      </c>
      <c r="L36" s="75">
        <f>'NOTAS 1ER TRIMESTRE'!P35</f>
        <v>7.71</v>
      </c>
      <c r="M36" s="76">
        <f t="shared" si="4"/>
        <v>0.38550000000000001</v>
      </c>
      <c r="N36" s="75">
        <f>'NOTAS 1ER TRIMESTRE'!Q35</f>
        <v>7.5</v>
      </c>
      <c r="O36" s="76">
        <f t="shared" si="5"/>
        <v>0.375</v>
      </c>
      <c r="P36" s="77">
        <f>M36+O36</f>
        <v>0.76049999999999995</v>
      </c>
      <c r="Q36" s="78">
        <f>K36+P36</f>
        <v>8.1044999999999998</v>
      </c>
      <c r="R36" s="78">
        <f t="shared" si="6"/>
        <v>8</v>
      </c>
      <c r="S36" s="67" t="str">
        <f t="shared" si="7"/>
        <v>B+</v>
      </c>
      <c r="T36" s="115" t="str">
        <f t="shared" si="8"/>
        <v>APROBADO</v>
      </c>
      <c r="U36" s="68"/>
      <c r="V36" s="68"/>
      <c r="W36" s="68"/>
    </row>
    <row r="37" spans="1:23" ht="17.25" thickTop="1" thickBot="1">
      <c r="A37" s="73">
        <v>22</v>
      </c>
      <c r="B37" s="74" t="str">
        <f>DATOS!B33</f>
        <v>MENDOZA TOAPANTA VERONICA MARISOL</v>
      </c>
      <c r="C37" s="75">
        <f>'NOTAS 1ER TRIMESTRE'!F36</f>
        <v>9.66</v>
      </c>
      <c r="D37" s="75">
        <f t="shared" si="0"/>
        <v>10</v>
      </c>
      <c r="E37" s="75" t="str">
        <f>'NOTAS 1ER TRIMESTRE'!H36</f>
        <v>A+</v>
      </c>
      <c r="F37" s="76">
        <f t="shared" si="1"/>
        <v>4.3470000000000004</v>
      </c>
      <c r="G37" s="75">
        <f>'NOTAS 1ER TRIMESTRE'!M36</f>
        <v>9.66</v>
      </c>
      <c r="H37" s="75">
        <f t="shared" si="9"/>
        <v>10</v>
      </c>
      <c r="I37" s="75" t="str">
        <f>'NOTAS 1ER TRIMESTRE'!O36</f>
        <v>A+</v>
      </c>
      <c r="J37" s="76">
        <f t="shared" si="2"/>
        <v>4.3470000000000004</v>
      </c>
      <c r="K37" s="77">
        <f t="shared" si="3"/>
        <v>8.6940000000000008</v>
      </c>
      <c r="L37" s="75">
        <f>'NOTAS 1ER TRIMESTRE'!P36</f>
        <v>9.5</v>
      </c>
      <c r="M37" s="76">
        <f t="shared" si="4"/>
        <v>0.47500000000000003</v>
      </c>
      <c r="N37" s="75">
        <f>'NOTAS 1ER TRIMESTRE'!Q36</f>
        <v>7.5</v>
      </c>
      <c r="O37" s="76">
        <f t="shared" si="5"/>
        <v>0.375</v>
      </c>
      <c r="P37" s="77">
        <f>M37+O37</f>
        <v>0.85000000000000009</v>
      </c>
      <c r="Q37" s="78">
        <f>K37+P37</f>
        <v>9.5440000000000005</v>
      </c>
      <c r="R37" s="78">
        <f t="shared" si="6"/>
        <v>10</v>
      </c>
      <c r="S37" s="67" t="str">
        <f t="shared" si="7"/>
        <v>A+</v>
      </c>
      <c r="T37" s="115" t="str">
        <f t="shared" si="8"/>
        <v>APROBADO</v>
      </c>
      <c r="U37" s="68"/>
      <c r="V37" s="68"/>
      <c r="W37" s="68"/>
    </row>
    <row r="38" spans="1:23" ht="17.25" thickTop="1" thickBot="1">
      <c r="A38" s="73">
        <v>23</v>
      </c>
      <c r="B38" s="74" t="str">
        <f>DATOS!B34</f>
        <v>MONTA CHICAIZA JOSSELYN MICAELA</v>
      </c>
      <c r="C38" s="75">
        <f>'NOTAS 1ER TRIMESTRE'!F37</f>
        <v>8.83</v>
      </c>
      <c r="D38" s="75">
        <f t="shared" si="0"/>
        <v>9</v>
      </c>
      <c r="E38" s="75" t="str">
        <f>'NOTAS 1ER TRIMESTRE'!H37</f>
        <v>A-</v>
      </c>
      <c r="F38" s="76">
        <f t="shared" si="1"/>
        <v>3.9735</v>
      </c>
      <c r="G38" s="75">
        <f>'NOTAS 1ER TRIMESTRE'!M37</f>
        <v>9.33</v>
      </c>
      <c r="H38" s="75">
        <f t="shared" si="9"/>
        <v>9</v>
      </c>
      <c r="I38" s="75" t="str">
        <f>'NOTAS 1ER TRIMESTRE'!O37</f>
        <v>A-</v>
      </c>
      <c r="J38" s="76">
        <f t="shared" si="2"/>
        <v>4.1985000000000001</v>
      </c>
      <c r="K38" s="77">
        <f t="shared" si="3"/>
        <v>8.1720000000000006</v>
      </c>
      <c r="L38" s="75">
        <f>'NOTAS 1ER TRIMESTRE'!P37</f>
        <v>9.35</v>
      </c>
      <c r="M38" s="76">
        <f t="shared" si="4"/>
        <v>0.46750000000000003</v>
      </c>
      <c r="N38" s="75">
        <f>'NOTAS 1ER TRIMESTRE'!Q37</f>
        <v>9</v>
      </c>
      <c r="O38" s="76">
        <f t="shared" si="5"/>
        <v>0.45</v>
      </c>
      <c r="P38" s="77">
        <f>M38+O38</f>
        <v>0.91749999999999998</v>
      </c>
      <c r="Q38" s="78">
        <f>K38+P38</f>
        <v>9.089500000000001</v>
      </c>
      <c r="R38" s="78">
        <f t="shared" si="6"/>
        <v>9</v>
      </c>
      <c r="S38" s="67" t="str">
        <f t="shared" si="7"/>
        <v>A-</v>
      </c>
      <c r="T38" s="115" t="str">
        <f t="shared" si="8"/>
        <v>APROBADO</v>
      </c>
      <c r="U38" s="68"/>
      <c r="V38" s="68"/>
      <c r="W38" s="68"/>
    </row>
    <row r="39" spans="1:23" ht="17.25" thickTop="1" thickBot="1">
      <c r="A39" s="73">
        <v>24</v>
      </c>
      <c r="B39" s="74" t="str">
        <f>DATOS!B35</f>
        <v>OTO ABRIL ERICK JAHIR</v>
      </c>
      <c r="C39" s="75">
        <f>'NOTAS 1ER TRIMESTRE'!F38</f>
        <v>8.75</v>
      </c>
      <c r="D39" s="75">
        <f t="shared" si="0"/>
        <v>9</v>
      </c>
      <c r="E39" s="75" t="str">
        <f>'NOTAS 1ER TRIMESTRE'!H38</f>
        <v>A-</v>
      </c>
      <c r="F39" s="76">
        <f t="shared" si="1"/>
        <v>3.9375</v>
      </c>
      <c r="G39" s="75">
        <f>'NOTAS 1ER TRIMESTRE'!M38</f>
        <v>8.83</v>
      </c>
      <c r="H39" s="75">
        <f t="shared" si="9"/>
        <v>9</v>
      </c>
      <c r="I39" s="75" t="str">
        <f>'NOTAS 1ER TRIMESTRE'!O38</f>
        <v>A-</v>
      </c>
      <c r="J39" s="76">
        <f t="shared" si="2"/>
        <v>3.9735</v>
      </c>
      <c r="K39" s="77">
        <f t="shared" si="3"/>
        <v>7.9109999999999996</v>
      </c>
      <c r="L39" s="75">
        <f>'NOTAS 1ER TRIMESTRE'!P38</f>
        <v>7.96</v>
      </c>
      <c r="M39" s="76">
        <f t="shared" si="4"/>
        <v>0.39800000000000002</v>
      </c>
      <c r="N39" s="75">
        <f>'NOTAS 1ER TRIMESTRE'!Q38</f>
        <v>6</v>
      </c>
      <c r="O39" s="76">
        <f t="shared" si="5"/>
        <v>0.30000000000000004</v>
      </c>
      <c r="P39" s="77">
        <f>M39+O39</f>
        <v>0.69800000000000006</v>
      </c>
      <c r="Q39" s="78">
        <f>K39+P39</f>
        <v>8.609</v>
      </c>
      <c r="R39" s="78">
        <f t="shared" si="6"/>
        <v>9</v>
      </c>
      <c r="S39" s="67" t="str">
        <f t="shared" si="7"/>
        <v>A-</v>
      </c>
      <c r="T39" s="115" t="str">
        <f t="shared" si="8"/>
        <v>APROBADO</v>
      </c>
      <c r="U39" s="68"/>
      <c r="V39" s="68"/>
      <c r="W39" s="68"/>
    </row>
    <row r="40" spans="1:23" ht="17.25" thickTop="1" thickBot="1">
      <c r="A40" s="73">
        <v>25</v>
      </c>
      <c r="B40" s="74" t="str">
        <f>DATOS!B36</f>
        <v>PROAÑO TOAQUIZA FERNANDO JOSUE</v>
      </c>
      <c r="C40" s="75">
        <f>'NOTAS 1ER TRIMESTRE'!F39</f>
        <v>9.33</v>
      </c>
      <c r="D40" s="75">
        <f t="shared" si="0"/>
        <v>9</v>
      </c>
      <c r="E40" s="75" t="str">
        <f>'NOTAS 1ER TRIMESTRE'!H39</f>
        <v>A-</v>
      </c>
      <c r="F40" s="76">
        <f t="shared" si="1"/>
        <v>4.1985000000000001</v>
      </c>
      <c r="G40" s="75">
        <f>'NOTAS 1ER TRIMESTRE'!M39</f>
        <v>9.33</v>
      </c>
      <c r="H40" s="75">
        <f t="shared" si="9"/>
        <v>9</v>
      </c>
      <c r="I40" s="75" t="str">
        <f>'NOTAS 1ER TRIMESTRE'!O39</f>
        <v>A-</v>
      </c>
      <c r="J40" s="76">
        <f t="shared" si="2"/>
        <v>4.1985000000000001</v>
      </c>
      <c r="K40" s="77">
        <f t="shared" si="3"/>
        <v>8.3970000000000002</v>
      </c>
      <c r="L40" s="75">
        <f>'NOTAS 1ER TRIMESTRE'!P39</f>
        <v>9</v>
      </c>
      <c r="M40" s="76">
        <f t="shared" si="4"/>
        <v>0.45</v>
      </c>
      <c r="N40" s="75">
        <f>'NOTAS 1ER TRIMESTRE'!Q39</f>
        <v>8</v>
      </c>
      <c r="O40" s="76">
        <f t="shared" si="5"/>
        <v>0.4</v>
      </c>
      <c r="P40" s="77">
        <f>M40+O40</f>
        <v>0.85000000000000009</v>
      </c>
      <c r="Q40" s="78">
        <f>K40+P40</f>
        <v>9.2469999999999999</v>
      </c>
      <c r="R40" s="78">
        <f t="shared" si="6"/>
        <v>9</v>
      </c>
      <c r="S40" s="67" t="str">
        <f t="shared" si="7"/>
        <v>A-</v>
      </c>
      <c r="T40" s="115" t="str">
        <f t="shared" si="8"/>
        <v>APROBADO</v>
      </c>
      <c r="U40" s="68"/>
      <c r="V40" s="68"/>
      <c r="W40" s="68"/>
    </row>
    <row r="41" spans="1:23" ht="17.25" thickTop="1" thickBot="1">
      <c r="A41" s="73">
        <v>26</v>
      </c>
      <c r="B41" s="74" t="str">
        <f>DATOS!B37</f>
        <v>QUILUMBA TOAPANTA ADRIANA CAROLINA</v>
      </c>
      <c r="C41" s="75">
        <f>'NOTAS 1ER TRIMESTRE'!F40</f>
        <v>9.16</v>
      </c>
      <c r="D41" s="75">
        <f t="shared" si="0"/>
        <v>9</v>
      </c>
      <c r="E41" s="75" t="str">
        <f>'NOTAS 1ER TRIMESTRE'!H40</f>
        <v>A-</v>
      </c>
      <c r="F41" s="76">
        <f t="shared" si="1"/>
        <v>4.1219999999999999</v>
      </c>
      <c r="G41" s="75">
        <f>'NOTAS 1ER TRIMESTRE'!M40</f>
        <v>9</v>
      </c>
      <c r="H41" s="75">
        <f t="shared" si="9"/>
        <v>9</v>
      </c>
      <c r="I41" s="75" t="str">
        <f>'NOTAS 1ER TRIMESTRE'!O40</f>
        <v>A-</v>
      </c>
      <c r="J41" s="76">
        <f t="shared" si="2"/>
        <v>4.05</v>
      </c>
      <c r="K41" s="77">
        <f t="shared" si="3"/>
        <v>8.1720000000000006</v>
      </c>
      <c r="L41" s="75">
        <f>'NOTAS 1ER TRIMESTRE'!P40</f>
        <v>8.32</v>
      </c>
      <c r="M41" s="76">
        <f t="shared" si="4"/>
        <v>0.41600000000000004</v>
      </c>
      <c r="N41" s="75">
        <f>'NOTAS 1ER TRIMESTRE'!Q40</f>
        <v>7</v>
      </c>
      <c r="O41" s="76">
        <f t="shared" si="5"/>
        <v>0.35000000000000003</v>
      </c>
      <c r="P41" s="77">
        <f>M41+O41</f>
        <v>0.76600000000000001</v>
      </c>
      <c r="Q41" s="78">
        <f>K41+P41</f>
        <v>8.9380000000000006</v>
      </c>
      <c r="R41" s="78">
        <f t="shared" si="6"/>
        <v>9</v>
      </c>
      <c r="S41" s="67" t="str">
        <f t="shared" si="7"/>
        <v>A-</v>
      </c>
      <c r="T41" s="115" t="str">
        <f t="shared" si="8"/>
        <v>APROBADO</v>
      </c>
      <c r="U41" s="68"/>
      <c r="V41" s="68"/>
      <c r="W41" s="68"/>
    </row>
    <row r="42" spans="1:23" ht="17.25" thickTop="1" thickBot="1">
      <c r="A42" s="73">
        <v>27</v>
      </c>
      <c r="B42" s="74" t="str">
        <f>DATOS!B38</f>
        <v>RENGIFO COLLANTES DANNY SANTIAGO</v>
      </c>
      <c r="C42" s="75">
        <f>'NOTAS 1ER TRIMESTRE'!F41</f>
        <v>8.33</v>
      </c>
      <c r="D42" s="75">
        <f t="shared" si="0"/>
        <v>8</v>
      </c>
      <c r="E42" s="75" t="str">
        <f>'NOTAS 1ER TRIMESTRE'!H41</f>
        <v>B+</v>
      </c>
      <c r="F42" s="76">
        <f t="shared" si="1"/>
        <v>3.7484999999999999</v>
      </c>
      <c r="G42" s="75">
        <f>'NOTAS 1ER TRIMESTRE'!M41</f>
        <v>8.5</v>
      </c>
      <c r="H42" s="75">
        <f t="shared" si="9"/>
        <v>9</v>
      </c>
      <c r="I42" s="75" t="str">
        <f>'NOTAS 1ER TRIMESTRE'!O41</f>
        <v>A-</v>
      </c>
      <c r="J42" s="76">
        <f t="shared" si="2"/>
        <v>3.8250000000000002</v>
      </c>
      <c r="K42" s="77">
        <f t="shared" si="3"/>
        <v>7.5735000000000001</v>
      </c>
      <c r="L42" s="75">
        <f>'NOTAS 1ER TRIMESTRE'!P41</f>
        <v>8.5</v>
      </c>
      <c r="M42" s="76">
        <f t="shared" si="4"/>
        <v>0.42500000000000004</v>
      </c>
      <c r="N42" s="75">
        <f>'NOTAS 1ER TRIMESTRE'!Q41</f>
        <v>4.5</v>
      </c>
      <c r="O42" s="76">
        <f t="shared" si="5"/>
        <v>0.22500000000000001</v>
      </c>
      <c r="P42" s="77">
        <f>M42+O42</f>
        <v>0.65</v>
      </c>
      <c r="Q42" s="78">
        <f>K42+P42</f>
        <v>8.2234999999999996</v>
      </c>
      <c r="R42" s="78">
        <f t="shared" si="6"/>
        <v>8</v>
      </c>
      <c r="S42" s="67" t="str">
        <f t="shared" si="7"/>
        <v>B+</v>
      </c>
      <c r="T42" s="115" t="str">
        <f t="shared" si="8"/>
        <v>APROBADO</v>
      </c>
      <c r="U42" s="68"/>
      <c r="V42" s="68"/>
      <c r="W42" s="68"/>
    </row>
    <row r="43" spans="1:23" ht="17.25" thickTop="1" thickBot="1">
      <c r="A43" s="73">
        <v>28</v>
      </c>
      <c r="B43" s="74" t="str">
        <f>DATOS!B39</f>
        <v xml:space="preserve">SIMBAÑA HERNANDEZ JOAO JAVIER                     </v>
      </c>
      <c r="C43" s="75">
        <f>'NOTAS 1ER TRIMESTRE'!F42</f>
        <v>7</v>
      </c>
      <c r="D43" s="75">
        <f t="shared" si="0"/>
        <v>7</v>
      </c>
      <c r="E43" s="75" t="str">
        <f>'NOTAS 1ER TRIMESTRE'!H42</f>
        <v>B-</v>
      </c>
      <c r="F43" s="76">
        <f t="shared" si="1"/>
        <v>3.15</v>
      </c>
      <c r="G43" s="75">
        <f>'NOTAS 1ER TRIMESTRE'!M42</f>
        <v>7.33</v>
      </c>
      <c r="H43" s="75">
        <f t="shared" si="9"/>
        <v>7</v>
      </c>
      <c r="I43" s="75" t="str">
        <f>'NOTAS 1ER TRIMESTRE'!O42</f>
        <v>B-</v>
      </c>
      <c r="J43" s="76">
        <f t="shared" si="2"/>
        <v>3.2985000000000002</v>
      </c>
      <c r="K43" s="77">
        <f t="shared" si="3"/>
        <v>6.4485000000000001</v>
      </c>
      <c r="L43" s="75">
        <f>'NOTAS 1ER TRIMESTRE'!P42</f>
        <v>7.28</v>
      </c>
      <c r="M43" s="76">
        <f t="shared" si="4"/>
        <v>0.36400000000000005</v>
      </c>
      <c r="N43" s="75">
        <f>'NOTAS 1ER TRIMESTRE'!Q42</f>
        <v>6</v>
      </c>
      <c r="O43" s="76">
        <f t="shared" si="5"/>
        <v>0.30000000000000004</v>
      </c>
      <c r="P43" s="77">
        <f>M43+O43</f>
        <v>0.66400000000000015</v>
      </c>
      <c r="Q43" s="78">
        <f>K43+P43</f>
        <v>7.1125000000000007</v>
      </c>
      <c r="R43" s="78">
        <f t="shared" si="6"/>
        <v>7</v>
      </c>
      <c r="S43" s="67" t="str">
        <f t="shared" si="7"/>
        <v>B-</v>
      </c>
      <c r="T43" s="115" t="str">
        <f t="shared" si="8"/>
        <v>APROBADO</v>
      </c>
      <c r="U43" s="68"/>
      <c r="V43" s="68"/>
      <c r="W43" s="68"/>
    </row>
    <row r="44" spans="1:23" ht="17.25" thickTop="1" thickBot="1">
      <c r="A44" s="73">
        <v>29</v>
      </c>
      <c r="B44" s="74" t="str">
        <f>DATOS!B40</f>
        <v>TOAPANTA CHICAIZA JENNY ESTEFANIA</v>
      </c>
      <c r="C44" s="75">
        <f>'NOTAS 1ER TRIMESTRE'!F43</f>
        <v>9.33</v>
      </c>
      <c r="D44" s="75">
        <f t="shared" si="0"/>
        <v>9</v>
      </c>
      <c r="E44" s="75" t="str">
        <f>'NOTAS 1ER TRIMESTRE'!H43</f>
        <v>A-</v>
      </c>
      <c r="F44" s="76">
        <f t="shared" si="1"/>
        <v>4.1985000000000001</v>
      </c>
      <c r="G44" s="75">
        <f>'NOTAS 1ER TRIMESTRE'!M43</f>
        <v>8.75</v>
      </c>
      <c r="H44" s="75">
        <f t="shared" si="9"/>
        <v>9</v>
      </c>
      <c r="I44" s="75" t="str">
        <f>'NOTAS 1ER TRIMESTRE'!O43</f>
        <v>A-</v>
      </c>
      <c r="J44" s="76">
        <f t="shared" si="2"/>
        <v>3.9375</v>
      </c>
      <c r="K44" s="77">
        <f t="shared" si="3"/>
        <v>8.1359999999999992</v>
      </c>
      <c r="L44" s="75">
        <f>'NOTAS 1ER TRIMESTRE'!P43</f>
        <v>6.57</v>
      </c>
      <c r="M44" s="76">
        <f t="shared" si="4"/>
        <v>0.32850000000000001</v>
      </c>
      <c r="N44" s="75">
        <f>'NOTAS 1ER TRIMESTRE'!Q43</f>
        <v>8</v>
      </c>
      <c r="O44" s="76">
        <f t="shared" si="5"/>
        <v>0.4</v>
      </c>
      <c r="P44" s="77">
        <f>M44+O44</f>
        <v>0.72850000000000004</v>
      </c>
      <c r="Q44" s="78">
        <f>K44+P44</f>
        <v>8.8644999999999996</v>
      </c>
      <c r="R44" s="78">
        <f t="shared" si="6"/>
        <v>9</v>
      </c>
      <c r="S44" s="67" t="str">
        <f t="shared" si="7"/>
        <v>A-</v>
      </c>
      <c r="T44" s="115" t="str">
        <f t="shared" si="8"/>
        <v>APROBADO</v>
      </c>
      <c r="U44" s="68"/>
      <c r="V44" s="68"/>
      <c r="W44" s="68"/>
    </row>
    <row r="45" spans="1:23" ht="17.25" thickTop="1" thickBot="1">
      <c r="A45" s="73">
        <v>30</v>
      </c>
      <c r="B45" s="74" t="str">
        <f>DATOS!B41</f>
        <v>TOAQUIZA CATOTA DENNIS ALEXANDER</v>
      </c>
      <c r="C45" s="75">
        <f>'NOTAS 1ER TRIMESTRE'!F44</f>
        <v>8.83</v>
      </c>
      <c r="D45" s="75">
        <f t="shared" si="0"/>
        <v>9</v>
      </c>
      <c r="E45" s="75" t="str">
        <f>'NOTAS 1ER TRIMESTRE'!H44</f>
        <v>A-</v>
      </c>
      <c r="F45" s="76">
        <f t="shared" si="1"/>
        <v>3.9735</v>
      </c>
      <c r="G45" s="75">
        <f>'NOTAS 1ER TRIMESTRE'!M44</f>
        <v>7.66</v>
      </c>
      <c r="H45" s="75">
        <f t="shared" si="9"/>
        <v>8</v>
      </c>
      <c r="I45" s="75" t="str">
        <f>'NOTAS 1ER TRIMESTRE'!O44</f>
        <v>B+</v>
      </c>
      <c r="J45" s="76">
        <f t="shared" si="2"/>
        <v>3.4470000000000001</v>
      </c>
      <c r="K45" s="77">
        <f t="shared" si="3"/>
        <v>7.4205000000000005</v>
      </c>
      <c r="L45" s="75">
        <f>'NOTAS 1ER TRIMESTRE'!P44</f>
        <v>7.5</v>
      </c>
      <c r="M45" s="76">
        <f t="shared" si="4"/>
        <v>0.375</v>
      </c>
      <c r="N45" s="75">
        <f>'NOTAS 1ER TRIMESTRE'!Q44</f>
        <v>7.5</v>
      </c>
      <c r="O45" s="76">
        <f t="shared" si="5"/>
        <v>0.375</v>
      </c>
      <c r="P45" s="77">
        <f>M45+O45</f>
        <v>0.75</v>
      </c>
      <c r="Q45" s="78">
        <f>K45+P45</f>
        <v>8.1705000000000005</v>
      </c>
      <c r="R45" s="78">
        <f t="shared" si="6"/>
        <v>8</v>
      </c>
      <c r="S45" s="67" t="str">
        <f t="shared" si="7"/>
        <v>B+</v>
      </c>
      <c r="T45" s="115" t="str">
        <f t="shared" si="8"/>
        <v>APROBADO</v>
      </c>
      <c r="U45" s="68"/>
      <c r="V45" s="68"/>
      <c r="W45" s="68"/>
    </row>
    <row r="46" spans="1:23" ht="17.25" thickTop="1" thickBot="1">
      <c r="A46" s="73">
        <v>31</v>
      </c>
      <c r="B46" s="74" t="str">
        <f>DATOS!B42</f>
        <v>TOAQUIZA LEMA MELANY ANAHI</v>
      </c>
      <c r="C46" s="75">
        <f>'NOTAS 1ER TRIMESTRE'!F45</f>
        <v>9.5</v>
      </c>
      <c r="D46" s="75">
        <f t="shared" si="0"/>
        <v>10</v>
      </c>
      <c r="E46" s="75" t="str">
        <f>'NOTAS 1ER TRIMESTRE'!H45</f>
        <v>A+</v>
      </c>
      <c r="F46" s="76">
        <f t="shared" si="1"/>
        <v>4.2750000000000004</v>
      </c>
      <c r="G46" s="75">
        <f>'NOTAS 1ER TRIMESTRE'!M45</f>
        <v>9.66</v>
      </c>
      <c r="H46" s="75">
        <f t="shared" si="9"/>
        <v>10</v>
      </c>
      <c r="I46" s="75" t="str">
        <f>'NOTAS 1ER TRIMESTRE'!O45</f>
        <v>A+</v>
      </c>
      <c r="J46" s="76">
        <f t="shared" si="2"/>
        <v>4.3470000000000004</v>
      </c>
      <c r="K46" s="77">
        <f t="shared" si="3"/>
        <v>8.6219999999999999</v>
      </c>
      <c r="L46" s="75">
        <f>'NOTAS 1ER TRIMESTRE'!P45</f>
        <v>9.07</v>
      </c>
      <c r="M46" s="76">
        <f t="shared" si="4"/>
        <v>0.45350000000000001</v>
      </c>
      <c r="N46" s="75">
        <f>'NOTAS 1ER TRIMESTRE'!Q45</f>
        <v>7</v>
      </c>
      <c r="O46" s="76">
        <f t="shared" si="5"/>
        <v>0.35000000000000003</v>
      </c>
      <c r="P46" s="77">
        <f>M46+O46</f>
        <v>0.8035000000000001</v>
      </c>
      <c r="Q46" s="78">
        <f>K46+P46</f>
        <v>9.4254999999999995</v>
      </c>
      <c r="R46" s="78">
        <f t="shared" si="6"/>
        <v>9</v>
      </c>
      <c r="S46" s="67" t="str">
        <f t="shared" si="7"/>
        <v>A-</v>
      </c>
      <c r="T46" s="115" t="str">
        <f t="shared" si="8"/>
        <v>APROBADO</v>
      </c>
      <c r="U46" s="68"/>
      <c r="V46" s="68"/>
      <c r="W46" s="68"/>
    </row>
    <row r="47" spans="1:23" ht="17.25" thickTop="1" thickBot="1">
      <c r="A47" s="73">
        <v>32</v>
      </c>
      <c r="B47" s="74" t="str">
        <f>DATOS!B43</f>
        <v>TOCTAGUANO TUMBACO MAHOLY GUADALUPE</v>
      </c>
      <c r="C47" s="75">
        <f>'NOTAS 1ER TRIMESTRE'!F46</f>
        <v>8.66</v>
      </c>
      <c r="D47" s="75">
        <f t="shared" si="0"/>
        <v>9</v>
      </c>
      <c r="E47" s="75" t="str">
        <f>'NOTAS 1ER TRIMESTRE'!H46</f>
        <v>A-</v>
      </c>
      <c r="F47" s="76">
        <f t="shared" si="1"/>
        <v>3.8970000000000002</v>
      </c>
      <c r="G47" s="75">
        <f>'NOTAS 1ER TRIMESTRE'!M46</f>
        <v>9.16</v>
      </c>
      <c r="H47" s="75">
        <f t="shared" si="9"/>
        <v>9</v>
      </c>
      <c r="I47" s="75" t="str">
        <f>'NOTAS 1ER TRIMESTRE'!O46</f>
        <v>A-</v>
      </c>
      <c r="J47" s="76">
        <f t="shared" si="2"/>
        <v>4.1219999999999999</v>
      </c>
      <c r="K47" s="77">
        <f t="shared" si="3"/>
        <v>8.0190000000000001</v>
      </c>
      <c r="L47" s="75">
        <f>'NOTAS 1ER TRIMESTRE'!P46</f>
        <v>9.35</v>
      </c>
      <c r="M47" s="76">
        <f t="shared" si="4"/>
        <v>0.46750000000000003</v>
      </c>
      <c r="N47" s="75">
        <f>'NOTAS 1ER TRIMESTRE'!Q46</f>
        <v>8.5</v>
      </c>
      <c r="O47" s="76">
        <f t="shared" si="5"/>
        <v>0.42500000000000004</v>
      </c>
      <c r="P47" s="77">
        <f>M47+O47</f>
        <v>0.89250000000000007</v>
      </c>
      <c r="Q47" s="78">
        <f>K47+P47</f>
        <v>8.9115000000000002</v>
      </c>
      <c r="R47" s="78">
        <f t="shared" si="6"/>
        <v>9</v>
      </c>
      <c r="S47" s="67" t="str">
        <f t="shared" si="7"/>
        <v>A-</v>
      </c>
      <c r="T47" s="115" t="str">
        <f t="shared" si="8"/>
        <v>APROBADO</v>
      </c>
      <c r="U47" s="68"/>
      <c r="V47" s="68"/>
      <c r="W47" s="68"/>
    </row>
    <row r="48" spans="1:23" ht="17.25" thickTop="1" thickBot="1">
      <c r="A48" s="73">
        <v>33</v>
      </c>
      <c r="B48" s="74" t="str">
        <f>DATOS!B44</f>
        <v>TONATO YUGCHA STALIN JOEL</v>
      </c>
      <c r="C48" s="75">
        <f>'NOTAS 1ER TRIMESTRE'!F47</f>
        <v>8.33</v>
      </c>
      <c r="D48" s="75">
        <f t="shared" si="0"/>
        <v>8</v>
      </c>
      <c r="E48" s="75" t="str">
        <f>'NOTAS 1ER TRIMESTRE'!H47</f>
        <v>B+</v>
      </c>
      <c r="F48" s="76">
        <f t="shared" si="1"/>
        <v>3.7484999999999999</v>
      </c>
      <c r="G48" s="75">
        <f>'NOTAS 1ER TRIMESTRE'!M47</f>
        <v>8.5</v>
      </c>
      <c r="H48" s="75">
        <f t="shared" si="9"/>
        <v>9</v>
      </c>
      <c r="I48" s="75" t="str">
        <f>'NOTAS 1ER TRIMESTRE'!O47</f>
        <v>A-</v>
      </c>
      <c r="J48" s="76">
        <f t="shared" si="2"/>
        <v>3.8250000000000002</v>
      </c>
      <c r="K48" s="77">
        <f t="shared" si="3"/>
        <v>7.5735000000000001</v>
      </c>
      <c r="L48" s="75">
        <f>'NOTAS 1ER TRIMESTRE'!P47</f>
        <v>8.14</v>
      </c>
      <c r="M48" s="76">
        <f t="shared" si="4"/>
        <v>0.40700000000000003</v>
      </c>
      <c r="N48" s="75">
        <f>'NOTAS 1ER TRIMESTRE'!Q47</f>
        <v>10</v>
      </c>
      <c r="O48" s="76">
        <f t="shared" si="5"/>
        <v>0.5</v>
      </c>
      <c r="P48" s="77">
        <f>M48+O48</f>
        <v>0.90700000000000003</v>
      </c>
      <c r="Q48" s="78">
        <f>K48+P48</f>
        <v>8.4804999999999993</v>
      </c>
      <c r="R48" s="78">
        <f t="shared" si="6"/>
        <v>8</v>
      </c>
      <c r="S48" s="67" t="str">
        <f t="shared" si="7"/>
        <v>B+</v>
      </c>
      <c r="T48" s="115" t="str">
        <f t="shared" si="8"/>
        <v>APROBADO</v>
      </c>
      <c r="U48" s="68"/>
      <c r="V48" s="68"/>
      <c r="W48" s="68"/>
    </row>
    <row r="49" spans="1:23" ht="17.25" thickTop="1" thickBot="1">
      <c r="A49" s="73">
        <v>34</v>
      </c>
      <c r="B49" s="74" t="str">
        <f>DATOS!B45</f>
        <v>VILLACRESES MUÑOZ MARIA LUCRECIA</v>
      </c>
      <c r="C49" s="75">
        <f>'NOTAS 1ER TRIMESTRE'!F48</f>
        <v>7.66</v>
      </c>
      <c r="D49" s="75">
        <f t="shared" si="0"/>
        <v>8</v>
      </c>
      <c r="E49" s="75" t="str">
        <f>'NOTAS 1ER TRIMESTRE'!H48</f>
        <v>B+</v>
      </c>
      <c r="F49" s="76">
        <f t="shared" si="1"/>
        <v>3.4470000000000001</v>
      </c>
      <c r="G49" s="75">
        <f>'NOTAS 1ER TRIMESTRE'!M48</f>
        <v>8</v>
      </c>
      <c r="H49" s="75">
        <f t="shared" si="9"/>
        <v>8</v>
      </c>
      <c r="I49" s="75" t="str">
        <f>'NOTAS 1ER TRIMESTRE'!O48</f>
        <v>B+</v>
      </c>
      <c r="J49" s="76">
        <f t="shared" si="2"/>
        <v>3.6</v>
      </c>
      <c r="K49" s="77">
        <f t="shared" si="3"/>
        <v>7.0470000000000006</v>
      </c>
      <c r="L49" s="75">
        <f>'NOTAS 1ER TRIMESTRE'!P48</f>
        <v>6.92</v>
      </c>
      <c r="M49" s="76">
        <f t="shared" si="4"/>
        <v>0.34600000000000003</v>
      </c>
      <c r="N49" s="75">
        <f>'NOTAS 1ER TRIMESTRE'!Q48</f>
        <v>8</v>
      </c>
      <c r="O49" s="76">
        <f t="shared" si="5"/>
        <v>0.4</v>
      </c>
      <c r="P49" s="77">
        <f>M49+O49</f>
        <v>0.746</v>
      </c>
      <c r="Q49" s="78">
        <f>K49+P49</f>
        <v>7.793000000000001</v>
      </c>
      <c r="R49" s="78">
        <f t="shared" si="6"/>
        <v>8</v>
      </c>
      <c r="S49" s="67" t="str">
        <f t="shared" si="7"/>
        <v>B+</v>
      </c>
      <c r="T49" s="115" t="str">
        <f t="shared" si="8"/>
        <v>APROBADO</v>
      </c>
      <c r="U49" s="68"/>
      <c r="V49" s="68"/>
      <c r="W49" s="68"/>
    </row>
    <row r="50" spans="1:23" ht="17.25" thickTop="1" thickBot="1">
      <c r="A50" s="73">
        <v>35</v>
      </c>
      <c r="B50" s="74" t="str">
        <f>DATOS!B46</f>
        <v>ZAMORA LEAL MAYKEL JOSUE</v>
      </c>
      <c r="C50" s="75">
        <f>'NOTAS 1ER TRIMESTRE'!F49</f>
        <v>7.5</v>
      </c>
      <c r="D50" s="75">
        <f t="shared" si="0"/>
        <v>8</v>
      </c>
      <c r="E50" s="75" t="str">
        <f>'NOTAS 1ER TRIMESTRE'!H49</f>
        <v>B+</v>
      </c>
      <c r="F50" s="76">
        <f t="shared" si="1"/>
        <v>3.375</v>
      </c>
      <c r="G50" s="75">
        <f>'NOTAS 1ER TRIMESTRE'!M49</f>
        <v>7</v>
      </c>
      <c r="H50" s="75">
        <f t="shared" si="9"/>
        <v>7</v>
      </c>
      <c r="I50" s="75" t="str">
        <f>'NOTAS 1ER TRIMESTRE'!O49</f>
        <v>B-</v>
      </c>
      <c r="J50" s="76">
        <f t="shared" si="2"/>
        <v>3.15</v>
      </c>
      <c r="K50" s="77">
        <f t="shared" si="3"/>
        <v>6.5250000000000004</v>
      </c>
      <c r="L50" s="75">
        <f>'NOTAS 1ER TRIMESTRE'!P49</f>
        <v>6.57</v>
      </c>
      <c r="M50" s="76">
        <f t="shared" si="4"/>
        <v>0.32850000000000001</v>
      </c>
      <c r="N50" s="75">
        <f>'NOTAS 1ER TRIMESTRE'!Q49</f>
        <v>3</v>
      </c>
      <c r="O50" s="76">
        <f t="shared" si="5"/>
        <v>0.15000000000000002</v>
      </c>
      <c r="P50" s="77">
        <f>M50+O50</f>
        <v>0.47850000000000004</v>
      </c>
      <c r="Q50" s="78">
        <f>K50+P50</f>
        <v>7.0035000000000007</v>
      </c>
      <c r="R50" s="78">
        <f t="shared" si="6"/>
        <v>7</v>
      </c>
      <c r="S50" s="67" t="str">
        <f t="shared" si="7"/>
        <v>B-</v>
      </c>
      <c r="T50" s="115" t="str">
        <f t="shared" si="8"/>
        <v>APROBADO</v>
      </c>
      <c r="U50" s="68"/>
      <c r="V50" s="68"/>
      <c r="W50" s="68"/>
    </row>
    <row r="51" spans="1:23" ht="17.25" thickTop="1" thickBot="1">
      <c r="A51" s="73">
        <v>36</v>
      </c>
      <c r="B51" s="74">
        <f>DATOS!B47</f>
        <v>0</v>
      </c>
      <c r="C51" s="75" t="e">
        <f>'NOTAS 1ER TRIMESTRE'!F50</f>
        <v>#DIV/0!</v>
      </c>
      <c r="D51" s="75" t="e">
        <f t="shared" si="0"/>
        <v>#DIV/0!</v>
      </c>
      <c r="E51" s="75" t="e">
        <f>'NOTAS 1ER TRIMESTRE'!H50</f>
        <v>#DIV/0!</v>
      </c>
      <c r="F51" s="76" t="e">
        <f t="shared" si="1"/>
        <v>#DIV/0!</v>
      </c>
      <c r="G51" s="75" t="e">
        <f>'NOTAS 1ER TRIMESTRE'!M50</f>
        <v>#DIV/0!</v>
      </c>
      <c r="H51" s="75" t="e">
        <f t="shared" si="9"/>
        <v>#DIV/0!</v>
      </c>
      <c r="I51" s="75" t="e">
        <f>'NOTAS 1ER TRIMESTRE'!O50</f>
        <v>#DIV/0!</v>
      </c>
      <c r="J51" s="76" t="e">
        <f t="shared" si="2"/>
        <v>#DIV/0!</v>
      </c>
      <c r="K51" s="77" t="e">
        <f t="shared" si="3"/>
        <v>#DIV/0!</v>
      </c>
      <c r="L51" s="75">
        <f>'NOTAS 1ER TRIMESTRE'!P50</f>
        <v>0</v>
      </c>
      <c r="M51" s="76">
        <f t="shared" si="4"/>
        <v>0</v>
      </c>
      <c r="N51" s="75">
        <f>'NOTAS 1ER TRIMESTRE'!Q50</f>
        <v>0</v>
      </c>
      <c r="O51" s="76">
        <f t="shared" si="5"/>
        <v>0</v>
      </c>
      <c r="P51" s="77">
        <f>M51+O51</f>
        <v>0</v>
      </c>
      <c r="Q51" s="78" t="e">
        <f>K51+P51</f>
        <v>#DIV/0!</v>
      </c>
      <c r="R51" s="78" t="e">
        <f t="shared" si="6"/>
        <v>#DIV/0!</v>
      </c>
      <c r="S51" s="67" t="e">
        <f t="shared" si="7"/>
        <v>#DIV/0!</v>
      </c>
      <c r="T51" s="115" t="e">
        <f t="shared" si="8"/>
        <v>#DIV/0!</v>
      </c>
      <c r="U51" s="68"/>
      <c r="V51" s="68"/>
      <c r="W51" s="68"/>
    </row>
    <row r="52" spans="1:23" ht="17.25" thickTop="1" thickBot="1">
      <c r="A52" s="73">
        <v>37</v>
      </c>
      <c r="B52" s="74">
        <f>DATOS!B48</f>
        <v>0</v>
      </c>
      <c r="C52" s="75" t="e">
        <f>'NOTAS 1ER TRIMESTRE'!F51</f>
        <v>#DIV/0!</v>
      </c>
      <c r="D52" s="75" t="e">
        <f t="shared" si="0"/>
        <v>#DIV/0!</v>
      </c>
      <c r="E52" s="75" t="e">
        <f>'NOTAS 1ER TRIMESTRE'!H51</f>
        <v>#DIV/0!</v>
      </c>
      <c r="F52" s="76" t="e">
        <f t="shared" si="1"/>
        <v>#DIV/0!</v>
      </c>
      <c r="G52" s="75" t="e">
        <f>'NOTAS 1ER TRIMESTRE'!M51</f>
        <v>#DIV/0!</v>
      </c>
      <c r="H52" s="75" t="e">
        <f t="shared" si="9"/>
        <v>#DIV/0!</v>
      </c>
      <c r="I52" s="75" t="e">
        <f>'NOTAS 1ER TRIMESTRE'!O51</f>
        <v>#DIV/0!</v>
      </c>
      <c r="J52" s="76" t="e">
        <f t="shared" si="2"/>
        <v>#DIV/0!</v>
      </c>
      <c r="K52" s="77" t="e">
        <f t="shared" si="3"/>
        <v>#DIV/0!</v>
      </c>
      <c r="L52" s="75">
        <f>'NOTAS 1ER TRIMESTRE'!P51</f>
        <v>0</v>
      </c>
      <c r="M52" s="76">
        <f t="shared" si="4"/>
        <v>0</v>
      </c>
      <c r="N52" s="75">
        <f>'NOTAS 1ER TRIMESTRE'!Q51</f>
        <v>0</v>
      </c>
      <c r="O52" s="76">
        <f t="shared" si="5"/>
        <v>0</v>
      </c>
      <c r="P52" s="77">
        <f>M52+O52</f>
        <v>0</v>
      </c>
      <c r="Q52" s="78" t="e">
        <f>K52+P52</f>
        <v>#DIV/0!</v>
      </c>
      <c r="R52" s="78" t="e">
        <f t="shared" si="6"/>
        <v>#DIV/0!</v>
      </c>
      <c r="S52" s="67" t="e">
        <f t="shared" si="7"/>
        <v>#DIV/0!</v>
      </c>
      <c r="T52" s="115" t="e">
        <f t="shared" si="8"/>
        <v>#DIV/0!</v>
      </c>
      <c r="U52" s="68"/>
      <c r="V52" s="68"/>
      <c r="W52" s="68"/>
    </row>
    <row r="53" spans="1:23" ht="17.25" thickTop="1" thickBot="1">
      <c r="A53" s="73">
        <v>38</v>
      </c>
      <c r="B53" s="74">
        <f>DATOS!B49</f>
        <v>0</v>
      </c>
      <c r="C53" s="75" t="e">
        <f>'NOTAS 1ER TRIMESTRE'!F52</f>
        <v>#DIV/0!</v>
      </c>
      <c r="D53" s="75" t="e">
        <f t="shared" si="0"/>
        <v>#DIV/0!</v>
      </c>
      <c r="E53" s="75" t="e">
        <f>'NOTAS 1ER TRIMESTRE'!H52</f>
        <v>#DIV/0!</v>
      </c>
      <c r="F53" s="76" t="e">
        <f t="shared" si="1"/>
        <v>#DIV/0!</v>
      </c>
      <c r="G53" s="75" t="e">
        <f>'NOTAS 1ER TRIMESTRE'!M52</f>
        <v>#DIV/0!</v>
      </c>
      <c r="H53" s="75" t="e">
        <f t="shared" si="9"/>
        <v>#DIV/0!</v>
      </c>
      <c r="I53" s="75" t="e">
        <f>'NOTAS 1ER TRIMESTRE'!O52</f>
        <v>#DIV/0!</v>
      </c>
      <c r="J53" s="76" t="e">
        <f t="shared" si="2"/>
        <v>#DIV/0!</v>
      </c>
      <c r="K53" s="77" t="e">
        <f t="shared" si="3"/>
        <v>#DIV/0!</v>
      </c>
      <c r="L53" s="75">
        <f>'NOTAS 1ER TRIMESTRE'!P52</f>
        <v>0</v>
      </c>
      <c r="M53" s="76">
        <f t="shared" si="4"/>
        <v>0</v>
      </c>
      <c r="N53" s="75">
        <f>'NOTAS 1ER TRIMESTRE'!Q52</f>
        <v>0</v>
      </c>
      <c r="O53" s="76">
        <f t="shared" si="5"/>
        <v>0</v>
      </c>
      <c r="P53" s="77">
        <f>M53+O53</f>
        <v>0</v>
      </c>
      <c r="Q53" s="78" t="e">
        <f>K53+P53</f>
        <v>#DIV/0!</v>
      </c>
      <c r="R53" s="78" t="e">
        <f t="shared" si="6"/>
        <v>#DIV/0!</v>
      </c>
      <c r="S53" s="67" t="e">
        <f t="shared" si="7"/>
        <v>#DIV/0!</v>
      </c>
      <c r="T53" s="115" t="e">
        <f t="shared" si="8"/>
        <v>#DIV/0!</v>
      </c>
      <c r="U53" s="68"/>
      <c r="V53" s="68"/>
      <c r="W53" s="68"/>
    </row>
    <row r="54" spans="1:23" ht="17.25" thickTop="1" thickBot="1">
      <c r="A54" s="73">
        <v>39</v>
      </c>
      <c r="B54" s="74">
        <f>DATOS!B50</f>
        <v>0</v>
      </c>
      <c r="C54" s="75" t="e">
        <f>'NOTAS 1ER TRIMESTRE'!F53</f>
        <v>#DIV/0!</v>
      </c>
      <c r="D54" s="75" t="e">
        <f t="shared" si="0"/>
        <v>#DIV/0!</v>
      </c>
      <c r="E54" s="75" t="e">
        <f>'NOTAS 1ER TRIMESTRE'!H53</f>
        <v>#DIV/0!</v>
      </c>
      <c r="F54" s="76" t="e">
        <f t="shared" si="1"/>
        <v>#DIV/0!</v>
      </c>
      <c r="G54" s="75" t="e">
        <f>'NOTAS 1ER TRIMESTRE'!M53</f>
        <v>#DIV/0!</v>
      </c>
      <c r="H54" s="75" t="e">
        <f t="shared" si="9"/>
        <v>#DIV/0!</v>
      </c>
      <c r="I54" s="75" t="e">
        <f>'NOTAS 1ER TRIMESTRE'!O53</f>
        <v>#DIV/0!</v>
      </c>
      <c r="J54" s="76" t="e">
        <f t="shared" si="2"/>
        <v>#DIV/0!</v>
      </c>
      <c r="K54" s="77" t="e">
        <f t="shared" si="3"/>
        <v>#DIV/0!</v>
      </c>
      <c r="L54" s="75">
        <f>'NOTAS 1ER TRIMESTRE'!P53</f>
        <v>0</v>
      </c>
      <c r="M54" s="76">
        <f t="shared" si="4"/>
        <v>0</v>
      </c>
      <c r="N54" s="75">
        <f>'NOTAS 1ER TRIMESTRE'!Q53</f>
        <v>0</v>
      </c>
      <c r="O54" s="76">
        <f t="shared" si="5"/>
        <v>0</v>
      </c>
      <c r="P54" s="77">
        <f>M54+O54</f>
        <v>0</v>
      </c>
      <c r="Q54" s="78" t="e">
        <f>K54+P54</f>
        <v>#DIV/0!</v>
      </c>
      <c r="R54" s="78" t="e">
        <f t="shared" si="6"/>
        <v>#DIV/0!</v>
      </c>
      <c r="S54" s="67" t="e">
        <f t="shared" si="7"/>
        <v>#DIV/0!</v>
      </c>
      <c r="T54" s="115" t="e">
        <f t="shared" si="8"/>
        <v>#DIV/0!</v>
      </c>
      <c r="U54" s="68"/>
      <c r="V54" s="68"/>
      <c r="W54" s="68"/>
    </row>
    <row r="55" spans="1:23" ht="17.25" thickTop="1" thickBot="1">
      <c r="A55" s="73">
        <v>40</v>
      </c>
      <c r="B55" s="74">
        <f>DATOS!B51</f>
        <v>0</v>
      </c>
      <c r="C55" s="75" t="e">
        <f>'NOTAS 1ER TRIMESTRE'!F54</f>
        <v>#DIV/0!</v>
      </c>
      <c r="D55" s="75" t="e">
        <f t="shared" si="0"/>
        <v>#DIV/0!</v>
      </c>
      <c r="E55" s="75" t="e">
        <f>'NOTAS 1ER TRIMESTRE'!H54</f>
        <v>#DIV/0!</v>
      </c>
      <c r="F55" s="76" t="e">
        <f t="shared" si="1"/>
        <v>#DIV/0!</v>
      </c>
      <c r="G55" s="75" t="e">
        <f>'NOTAS 1ER TRIMESTRE'!M54</f>
        <v>#DIV/0!</v>
      </c>
      <c r="H55" s="75" t="e">
        <f t="shared" si="9"/>
        <v>#DIV/0!</v>
      </c>
      <c r="I55" s="75" t="e">
        <f>'NOTAS 1ER TRIMESTRE'!O54</f>
        <v>#DIV/0!</v>
      </c>
      <c r="J55" s="76" t="e">
        <f t="shared" si="2"/>
        <v>#DIV/0!</v>
      </c>
      <c r="K55" s="77" t="e">
        <f t="shared" si="3"/>
        <v>#DIV/0!</v>
      </c>
      <c r="L55" s="75">
        <f>'NOTAS 1ER TRIMESTRE'!P54</f>
        <v>0</v>
      </c>
      <c r="M55" s="76">
        <f t="shared" si="4"/>
        <v>0</v>
      </c>
      <c r="N55" s="75">
        <f>'NOTAS 1ER TRIMESTRE'!Q54</f>
        <v>0</v>
      </c>
      <c r="O55" s="76">
        <f t="shared" si="5"/>
        <v>0</v>
      </c>
      <c r="P55" s="77">
        <f>M55+O55</f>
        <v>0</v>
      </c>
      <c r="Q55" s="78" t="e">
        <f>K55+P55</f>
        <v>#DIV/0!</v>
      </c>
      <c r="R55" s="78" t="e">
        <f t="shared" si="6"/>
        <v>#DIV/0!</v>
      </c>
      <c r="S55" s="67" t="e">
        <f t="shared" si="7"/>
        <v>#DIV/0!</v>
      </c>
      <c r="T55" s="115" t="e">
        <f t="shared" si="8"/>
        <v>#DIV/0!</v>
      </c>
      <c r="U55" s="68"/>
      <c r="V55" s="68"/>
      <c r="W55" s="68"/>
    </row>
    <row r="56" spans="1:23" ht="17.25" thickTop="1" thickBot="1">
      <c r="A56" s="73">
        <v>41</v>
      </c>
      <c r="B56" s="74">
        <f>DATOS!B52</f>
        <v>0</v>
      </c>
      <c r="C56" s="75" t="e">
        <f>'NOTAS 1ER TRIMESTRE'!F55</f>
        <v>#DIV/0!</v>
      </c>
      <c r="D56" s="75" t="e">
        <f t="shared" si="0"/>
        <v>#DIV/0!</v>
      </c>
      <c r="E56" s="75" t="e">
        <f>'NOTAS 1ER TRIMESTRE'!H55</f>
        <v>#DIV/0!</v>
      </c>
      <c r="F56" s="76" t="e">
        <f t="shared" si="1"/>
        <v>#DIV/0!</v>
      </c>
      <c r="G56" s="75" t="e">
        <f>'NOTAS 1ER TRIMESTRE'!M55</f>
        <v>#DIV/0!</v>
      </c>
      <c r="H56" s="75" t="e">
        <f t="shared" si="9"/>
        <v>#DIV/0!</v>
      </c>
      <c r="I56" s="75" t="e">
        <f>'NOTAS 1ER TRIMESTRE'!O55</f>
        <v>#DIV/0!</v>
      </c>
      <c r="J56" s="76" t="e">
        <f t="shared" si="2"/>
        <v>#DIV/0!</v>
      </c>
      <c r="K56" s="77" t="e">
        <f t="shared" si="3"/>
        <v>#DIV/0!</v>
      </c>
      <c r="L56" s="75">
        <f>'NOTAS 1ER TRIMESTRE'!P55</f>
        <v>0</v>
      </c>
      <c r="M56" s="76">
        <f t="shared" si="4"/>
        <v>0</v>
      </c>
      <c r="N56" s="75">
        <f>'NOTAS 1ER TRIMESTRE'!Q55</f>
        <v>0</v>
      </c>
      <c r="O56" s="76">
        <f t="shared" si="5"/>
        <v>0</v>
      </c>
      <c r="P56" s="77">
        <f>M56+O56</f>
        <v>0</v>
      </c>
      <c r="Q56" s="78" t="e">
        <f>K56+P56</f>
        <v>#DIV/0!</v>
      </c>
      <c r="R56" s="78" t="e">
        <f t="shared" si="6"/>
        <v>#DIV/0!</v>
      </c>
      <c r="S56" s="67" t="e">
        <f t="shared" si="7"/>
        <v>#DIV/0!</v>
      </c>
      <c r="T56" s="115" t="e">
        <f t="shared" si="8"/>
        <v>#DIV/0!</v>
      </c>
      <c r="U56" s="68"/>
      <c r="V56" s="68"/>
      <c r="W56" s="68"/>
    </row>
    <row r="57" spans="1:23" ht="17.25" thickTop="1" thickBot="1">
      <c r="A57" s="73">
        <v>42</v>
      </c>
      <c r="B57" s="74">
        <f>DATOS!B53</f>
        <v>0</v>
      </c>
      <c r="C57" s="75" t="e">
        <f>'NOTAS 1ER TRIMESTRE'!F56</f>
        <v>#DIV/0!</v>
      </c>
      <c r="D57" s="75" t="e">
        <f t="shared" si="0"/>
        <v>#DIV/0!</v>
      </c>
      <c r="E57" s="75" t="e">
        <f>'NOTAS 1ER TRIMESTRE'!H56</f>
        <v>#DIV/0!</v>
      </c>
      <c r="F57" s="76" t="e">
        <f t="shared" si="1"/>
        <v>#DIV/0!</v>
      </c>
      <c r="G57" s="75" t="e">
        <f>'NOTAS 1ER TRIMESTRE'!M56</f>
        <v>#DIV/0!</v>
      </c>
      <c r="H57" s="75" t="e">
        <f t="shared" si="9"/>
        <v>#DIV/0!</v>
      </c>
      <c r="I57" s="75" t="e">
        <f>'NOTAS 1ER TRIMESTRE'!O56</f>
        <v>#DIV/0!</v>
      </c>
      <c r="J57" s="76" t="e">
        <f t="shared" si="2"/>
        <v>#DIV/0!</v>
      </c>
      <c r="K57" s="77" t="e">
        <f t="shared" si="3"/>
        <v>#DIV/0!</v>
      </c>
      <c r="L57" s="75">
        <f>'NOTAS 1ER TRIMESTRE'!P56</f>
        <v>0</v>
      </c>
      <c r="M57" s="76">
        <f t="shared" si="4"/>
        <v>0</v>
      </c>
      <c r="N57" s="75">
        <f>'NOTAS 1ER TRIMESTRE'!Q56</f>
        <v>0</v>
      </c>
      <c r="O57" s="76">
        <f t="shared" si="5"/>
        <v>0</v>
      </c>
      <c r="P57" s="77">
        <f>M57+O57</f>
        <v>0</v>
      </c>
      <c r="Q57" s="78" t="e">
        <f>K57+P57</f>
        <v>#DIV/0!</v>
      </c>
      <c r="R57" s="78" t="e">
        <f t="shared" si="6"/>
        <v>#DIV/0!</v>
      </c>
      <c r="S57" s="67" t="e">
        <f t="shared" si="7"/>
        <v>#DIV/0!</v>
      </c>
      <c r="T57" s="115" t="e">
        <f t="shared" si="8"/>
        <v>#DIV/0!</v>
      </c>
      <c r="U57" s="68"/>
      <c r="V57" s="68"/>
      <c r="W57" s="68"/>
    </row>
    <row r="58" spans="1:23" ht="17.25" thickTop="1" thickBot="1">
      <c r="A58" s="73">
        <v>43</v>
      </c>
      <c r="B58" s="74">
        <f>DATOS!B54</f>
        <v>0</v>
      </c>
      <c r="C58" s="75" t="e">
        <f>'NOTAS 1ER TRIMESTRE'!F57</f>
        <v>#DIV/0!</v>
      </c>
      <c r="D58" s="75" t="e">
        <f t="shared" si="0"/>
        <v>#DIV/0!</v>
      </c>
      <c r="E58" s="75" t="e">
        <f>'NOTAS 1ER TRIMESTRE'!H57</f>
        <v>#DIV/0!</v>
      </c>
      <c r="F58" s="76" t="e">
        <f t="shared" si="1"/>
        <v>#DIV/0!</v>
      </c>
      <c r="G58" s="75" t="e">
        <f>'NOTAS 1ER TRIMESTRE'!M57</f>
        <v>#DIV/0!</v>
      </c>
      <c r="H58" s="75" t="e">
        <f t="shared" si="9"/>
        <v>#DIV/0!</v>
      </c>
      <c r="I58" s="75" t="e">
        <f>'NOTAS 1ER TRIMESTRE'!O57</f>
        <v>#DIV/0!</v>
      </c>
      <c r="J58" s="76" t="e">
        <f t="shared" si="2"/>
        <v>#DIV/0!</v>
      </c>
      <c r="K58" s="77" t="e">
        <f t="shared" si="3"/>
        <v>#DIV/0!</v>
      </c>
      <c r="L58" s="75">
        <f>'NOTAS 1ER TRIMESTRE'!P57</f>
        <v>0</v>
      </c>
      <c r="M58" s="76">
        <f t="shared" si="4"/>
        <v>0</v>
      </c>
      <c r="N58" s="75">
        <f>'NOTAS 1ER TRIMESTRE'!Q57</f>
        <v>0</v>
      </c>
      <c r="O58" s="76">
        <f t="shared" si="5"/>
        <v>0</v>
      </c>
      <c r="P58" s="77">
        <f>M58+O58</f>
        <v>0</v>
      </c>
      <c r="Q58" s="78" t="e">
        <f>K58+P58</f>
        <v>#DIV/0!</v>
      </c>
      <c r="R58" s="78" t="e">
        <f t="shared" si="6"/>
        <v>#DIV/0!</v>
      </c>
      <c r="S58" s="67" t="e">
        <f t="shared" si="7"/>
        <v>#DIV/0!</v>
      </c>
      <c r="T58" s="115" t="e">
        <f t="shared" si="8"/>
        <v>#DIV/0!</v>
      </c>
      <c r="U58" s="68"/>
      <c r="V58" s="68"/>
      <c r="W58" s="68"/>
    </row>
    <row r="59" spans="1:23" ht="17.25" thickTop="1" thickBot="1">
      <c r="A59" s="73">
        <v>44</v>
      </c>
      <c r="B59" s="74">
        <f>DATOS!B55</f>
        <v>0</v>
      </c>
      <c r="C59" s="75" t="e">
        <f>'NOTAS 1ER TRIMESTRE'!F58</f>
        <v>#DIV/0!</v>
      </c>
      <c r="D59" s="75" t="e">
        <f t="shared" si="0"/>
        <v>#DIV/0!</v>
      </c>
      <c r="E59" s="75" t="e">
        <f>'NOTAS 1ER TRIMESTRE'!H58</f>
        <v>#DIV/0!</v>
      </c>
      <c r="F59" s="76" t="e">
        <f t="shared" si="1"/>
        <v>#DIV/0!</v>
      </c>
      <c r="G59" s="75" t="e">
        <f>'NOTAS 1ER TRIMESTRE'!M58</f>
        <v>#DIV/0!</v>
      </c>
      <c r="H59" s="75" t="e">
        <f t="shared" si="9"/>
        <v>#DIV/0!</v>
      </c>
      <c r="I59" s="75" t="e">
        <f>'NOTAS 1ER TRIMESTRE'!O58</f>
        <v>#DIV/0!</v>
      </c>
      <c r="J59" s="76" t="e">
        <f t="shared" si="2"/>
        <v>#DIV/0!</v>
      </c>
      <c r="K59" s="77" t="e">
        <f t="shared" si="3"/>
        <v>#DIV/0!</v>
      </c>
      <c r="L59" s="75">
        <f>'NOTAS 1ER TRIMESTRE'!P58</f>
        <v>0</v>
      </c>
      <c r="M59" s="76">
        <f t="shared" si="4"/>
        <v>0</v>
      </c>
      <c r="N59" s="75">
        <f>'NOTAS 1ER TRIMESTRE'!Q58</f>
        <v>0</v>
      </c>
      <c r="O59" s="76">
        <f t="shared" si="5"/>
        <v>0</v>
      </c>
      <c r="P59" s="77">
        <f>M59+O59</f>
        <v>0</v>
      </c>
      <c r="Q59" s="78" t="e">
        <f>K59+P59</f>
        <v>#DIV/0!</v>
      </c>
      <c r="R59" s="78" t="e">
        <f t="shared" si="6"/>
        <v>#DIV/0!</v>
      </c>
      <c r="S59" s="67" t="e">
        <f t="shared" si="7"/>
        <v>#DIV/0!</v>
      </c>
      <c r="T59" s="115" t="e">
        <f t="shared" si="8"/>
        <v>#DIV/0!</v>
      </c>
      <c r="U59" s="68"/>
      <c r="V59" s="68"/>
      <c r="W59" s="68"/>
    </row>
    <row r="60" spans="1:23" ht="17.25" thickTop="1" thickBot="1">
      <c r="A60" s="73">
        <v>45</v>
      </c>
      <c r="B60" s="74">
        <f>DATOS!B56</f>
        <v>0</v>
      </c>
      <c r="C60" s="75" t="e">
        <f>'NOTAS 1ER TRIMESTRE'!F59</f>
        <v>#DIV/0!</v>
      </c>
      <c r="D60" s="75" t="e">
        <f t="shared" si="0"/>
        <v>#DIV/0!</v>
      </c>
      <c r="E60" s="75" t="e">
        <f>'NOTAS 1ER TRIMESTRE'!H59</f>
        <v>#DIV/0!</v>
      </c>
      <c r="F60" s="76" t="e">
        <f t="shared" si="1"/>
        <v>#DIV/0!</v>
      </c>
      <c r="G60" s="75" t="e">
        <f>'NOTAS 1ER TRIMESTRE'!M59</f>
        <v>#DIV/0!</v>
      </c>
      <c r="H60" s="75" t="e">
        <f t="shared" si="9"/>
        <v>#DIV/0!</v>
      </c>
      <c r="I60" s="75" t="e">
        <f>'NOTAS 1ER TRIMESTRE'!O59</f>
        <v>#DIV/0!</v>
      </c>
      <c r="J60" s="76" t="e">
        <f t="shared" si="2"/>
        <v>#DIV/0!</v>
      </c>
      <c r="K60" s="77" t="e">
        <f t="shared" si="3"/>
        <v>#DIV/0!</v>
      </c>
      <c r="L60" s="75">
        <f>'NOTAS 1ER TRIMESTRE'!P59</f>
        <v>0</v>
      </c>
      <c r="M60" s="76">
        <f t="shared" si="4"/>
        <v>0</v>
      </c>
      <c r="N60" s="75">
        <f>'NOTAS 1ER TRIMESTRE'!Q59</f>
        <v>0</v>
      </c>
      <c r="O60" s="76">
        <f t="shared" si="5"/>
        <v>0</v>
      </c>
      <c r="P60" s="77">
        <f>M60+O60</f>
        <v>0</v>
      </c>
      <c r="Q60" s="78" t="e">
        <f>K60+P60</f>
        <v>#DIV/0!</v>
      </c>
      <c r="R60" s="78" t="e">
        <f t="shared" si="6"/>
        <v>#DIV/0!</v>
      </c>
      <c r="S60" s="67" t="e">
        <f t="shared" si="7"/>
        <v>#DIV/0!</v>
      </c>
      <c r="T60" s="115" t="e">
        <f t="shared" si="8"/>
        <v>#DIV/0!</v>
      </c>
      <c r="U60" s="68"/>
      <c r="V60" s="68"/>
      <c r="W60" s="68"/>
    </row>
    <row r="61" spans="1:23" ht="17.25" thickTop="1" thickBot="1">
      <c r="A61" s="136" t="s">
        <v>82</v>
      </c>
      <c r="B61" s="134"/>
      <c r="C61" s="134"/>
      <c r="D61" s="134"/>
      <c r="E61" s="134"/>
      <c r="F61" s="134"/>
      <c r="G61" s="134"/>
      <c r="H61" s="134"/>
      <c r="I61" s="134"/>
      <c r="J61" s="277" t="s">
        <v>116</v>
      </c>
      <c r="K61" s="277"/>
      <c r="L61" s="277"/>
      <c r="M61" s="277"/>
      <c r="N61" s="277"/>
      <c r="O61" s="277"/>
      <c r="P61" s="278"/>
      <c r="Q61" s="69">
        <f>AVERAGEIF(Q16:Q60,"&gt;0",Q16:Q60)</f>
        <v>8.4435571428571432</v>
      </c>
      <c r="R61" s="439">
        <f>ROUND(Q61,0)</f>
        <v>8</v>
      </c>
      <c r="S61" s="135" t="str">
        <f t="shared" si="7"/>
        <v>B+</v>
      </c>
      <c r="T61" s="132"/>
      <c r="U61" s="132"/>
      <c r="V61" s="132"/>
      <c r="W61" s="132"/>
    </row>
    <row r="62" spans="1:23" ht="15.75" thickTop="1"/>
    <row r="63" spans="1:23">
      <c r="B63" s="320" t="s">
        <v>68</v>
      </c>
      <c r="C63" s="321" t="s">
        <v>72</v>
      </c>
      <c r="D63" s="321"/>
      <c r="E63" s="321"/>
      <c r="F63" s="320" t="s">
        <v>73</v>
      </c>
      <c r="G63" s="322" t="s">
        <v>81</v>
      </c>
      <c r="H63" s="322"/>
      <c r="I63" s="322"/>
    </row>
    <row r="64" spans="1:23">
      <c r="B64" s="320"/>
      <c r="C64" s="321"/>
      <c r="D64" s="321"/>
      <c r="E64" s="321"/>
      <c r="F64" s="320"/>
      <c r="G64" s="322"/>
      <c r="H64" s="322"/>
      <c r="I64" s="322"/>
    </row>
    <row r="65" spans="2:9">
      <c r="B65" s="319" t="s">
        <v>69</v>
      </c>
      <c r="C65" s="319" t="s">
        <v>74</v>
      </c>
      <c r="D65" s="319"/>
      <c r="E65" s="319"/>
      <c r="F65" s="70" t="s">
        <v>70</v>
      </c>
      <c r="G65" s="323">
        <f>COUNTIF(S16:S60,"A+")</f>
        <v>1</v>
      </c>
      <c r="H65" s="323"/>
      <c r="I65" s="323"/>
    </row>
    <row r="66" spans="2:9">
      <c r="B66" s="319"/>
      <c r="C66" s="319"/>
      <c r="D66" s="319"/>
      <c r="E66" s="319"/>
      <c r="F66" s="70" t="s">
        <v>71</v>
      </c>
      <c r="G66" s="323">
        <f>COUNTIF(S16:S60,"A-")</f>
        <v>16</v>
      </c>
      <c r="H66" s="323"/>
      <c r="I66" s="323"/>
    </row>
    <row r="67" spans="2:9">
      <c r="B67" s="319" t="s">
        <v>78</v>
      </c>
      <c r="C67" s="319" t="s">
        <v>75</v>
      </c>
      <c r="D67" s="319"/>
      <c r="E67" s="319"/>
      <c r="F67" s="70" t="s">
        <v>83</v>
      </c>
      <c r="G67" s="323">
        <f>COUNTIF(S16:S60,"B+")</f>
        <v>15</v>
      </c>
      <c r="H67" s="323"/>
      <c r="I67" s="323"/>
    </row>
    <row r="68" spans="2:9">
      <c r="B68" s="319"/>
      <c r="C68" s="319"/>
      <c r="D68" s="319"/>
      <c r="E68" s="319"/>
      <c r="F68" s="70" t="s">
        <v>84</v>
      </c>
      <c r="G68" s="323">
        <f>COUNTIF(S16:S60,"B-")</f>
        <v>3</v>
      </c>
      <c r="H68" s="323"/>
      <c r="I68" s="323"/>
    </row>
    <row r="69" spans="2:9">
      <c r="B69" s="319" t="s">
        <v>79</v>
      </c>
      <c r="C69" s="319" t="s">
        <v>76</v>
      </c>
      <c r="D69" s="319"/>
      <c r="E69" s="319"/>
      <c r="F69" s="70" t="s">
        <v>85</v>
      </c>
      <c r="G69" s="323">
        <f>COUNTIF(S16:S60,"C+")</f>
        <v>0</v>
      </c>
      <c r="H69" s="323"/>
      <c r="I69" s="323"/>
    </row>
    <row r="70" spans="2:9">
      <c r="B70" s="319"/>
      <c r="C70" s="319"/>
      <c r="D70" s="319"/>
      <c r="E70" s="319"/>
      <c r="F70" s="70" t="s">
        <v>86</v>
      </c>
      <c r="G70" s="323">
        <f>COUNTIF(S16:S60,"C-")</f>
        <v>0</v>
      </c>
      <c r="H70" s="323"/>
      <c r="I70" s="323"/>
    </row>
    <row r="71" spans="2:9">
      <c r="B71" s="319" t="s">
        <v>80</v>
      </c>
      <c r="C71" s="326" t="s">
        <v>77</v>
      </c>
      <c r="D71" s="326"/>
      <c r="E71" s="326"/>
      <c r="F71" s="70" t="s">
        <v>87</v>
      </c>
      <c r="G71" s="323">
        <f>COUNTIF(S16:S60,"D+")</f>
        <v>0</v>
      </c>
      <c r="H71" s="323"/>
      <c r="I71" s="323"/>
    </row>
    <row r="72" spans="2:9">
      <c r="B72" s="319"/>
      <c r="C72" s="326"/>
      <c r="D72" s="326"/>
      <c r="E72" s="326"/>
      <c r="F72" s="70" t="s">
        <v>88</v>
      </c>
      <c r="G72" s="323">
        <f>COUNTIF(S16:S60,"D-")</f>
        <v>0</v>
      </c>
      <c r="H72" s="323"/>
      <c r="I72" s="323"/>
    </row>
    <row r="73" spans="2:9">
      <c r="B73" s="319"/>
      <c r="C73" s="326"/>
      <c r="D73" s="326"/>
      <c r="E73" s="326"/>
      <c r="F73" s="70" t="s">
        <v>89</v>
      </c>
      <c r="G73" s="323">
        <f>COUNTIF(S16:S60,"E+")</f>
        <v>0</v>
      </c>
      <c r="H73" s="323"/>
      <c r="I73" s="323"/>
    </row>
    <row r="74" spans="2:9">
      <c r="B74" s="319"/>
      <c r="C74" s="326"/>
      <c r="D74" s="326"/>
      <c r="E74" s="326"/>
      <c r="F74" s="70" t="s">
        <v>90</v>
      </c>
      <c r="G74" s="323">
        <f>COUNTIF(S16:S60,"E-")</f>
        <v>0</v>
      </c>
      <c r="H74" s="323"/>
      <c r="I74" s="323"/>
    </row>
    <row r="82" spans="2:11">
      <c r="B82" s="71" t="str">
        <f>DATOS!B7</f>
        <v>Ing. Margarita Ronquillo</v>
      </c>
      <c r="F82" s="324" t="str">
        <f>DATOS!B4</f>
        <v>Msc. Myrian Zurita</v>
      </c>
      <c r="G82" s="324"/>
      <c r="H82" s="324"/>
      <c r="I82" s="324"/>
      <c r="J82" s="324"/>
      <c r="K82" s="324"/>
    </row>
    <row r="83" spans="2:11">
      <c r="B83" s="72" t="str">
        <f>DATOS!A7</f>
        <v>Vicerrector/a:</v>
      </c>
      <c r="F83" s="325" t="str">
        <f>DATOS!A4</f>
        <v>Docente:</v>
      </c>
      <c r="G83" s="325"/>
      <c r="H83" s="325"/>
      <c r="I83" s="325"/>
      <c r="J83" s="325"/>
      <c r="K83" s="325"/>
    </row>
  </sheetData>
  <mergeCells count="66">
    <mergeCell ref="F82:K82"/>
    <mergeCell ref="F83:K83"/>
    <mergeCell ref="C65:E66"/>
    <mergeCell ref="C67:E68"/>
    <mergeCell ref="C69:E70"/>
    <mergeCell ref="C71:E74"/>
    <mergeCell ref="G69:I69"/>
    <mergeCell ref="G70:I70"/>
    <mergeCell ref="G71:I71"/>
    <mergeCell ref="G72:I72"/>
    <mergeCell ref="G73:I73"/>
    <mergeCell ref="G74:I74"/>
    <mergeCell ref="B69:B70"/>
    <mergeCell ref="B71:B74"/>
    <mergeCell ref="F14:F15"/>
    <mergeCell ref="G14:G15"/>
    <mergeCell ref="I14:I15"/>
    <mergeCell ref="B63:B64"/>
    <mergeCell ref="F63:F64"/>
    <mergeCell ref="C63:E64"/>
    <mergeCell ref="B65:B66"/>
    <mergeCell ref="B67:B68"/>
    <mergeCell ref="G63:I64"/>
    <mergeCell ref="G65:I65"/>
    <mergeCell ref="G66:I66"/>
    <mergeCell ref="G67:I67"/>
    <mergeCell ref="G68:I68"/>
    <mergeCell ref="D14:D15"/>
    <mergeCell ref="A1:W2"/>
    <mergeCell ref="C5:I5"/>
    <mergeCell ref="C6:I6"/>
    <mergeCell ref="C7:I7"/>
    <mergeCell ref="C8:I8"/>
    <mergeCell ref="O5:S5"/>
    <mergeCell ref="K7:N7"/>
    <mergeCell ref="K6:N6"/>
    <mergeCell ref="V6:W6"/>
    <mergeCell ref="O6:S6"/>
    <mergeCell ref="K5:N5"/>
    <mergeCell ref="V5:W5"/>
    <mergeCell ref="O7:S7"/>
    <mergeCell ref="O8:S8"/>
    <mergeCell ref="K8:N8"/>
    <mergeCell ref="C9:I9"/>
    <mergeCell ref="U12:W14"/>
    <mergeCell ref="C14:C15"/>
    <mergeCell ref="E14:E15"/>
    <mergeCell ref="M14:M15"/>
    <mergeCell ref="O14:O15"/>
    <mergeCell ref="L12:O13"/>
    <mergeCell ref="N14:N15"/>
    <mergeCell ref="T12:T15"/>
    <mergeCell ref="J14:J15"/>
    <mergeCell ref="L14:L15"/>
    <mergeCell ref="S12:S15"/>
    <mergeCell ref="P12:P15"/>
    <mergeCell ref="Q12:Q15"/>
    <mergeCell ref="H14:H15"/>
    <mergeCell ref="J61:P61"/>
    <mergeCell ref="A11:W11"/>
    <mergeCell ref="K12:K15"/>
    <mergeCell ref="G12:J13"/>
    <mergeCell ref="C12:F13"/>
    <mergeCell ref="B12:B15"/>
    <mergeCell ref="A12:A15"/>
    <mergeCell ref="R12:R15"/>
  </mergeCells>
  <conditionalFormatting sqref="Q16:Q60">
    <cfRule type="cellIs" dxfId="28" priority="4" operator="lessThan">
      <formula>7</formula>
    </cfRule>
    <cfRule type="cellIs" dxfId="27" priority="5" operator="lessThan">
      <formula>7</formula>
    </cfRule>
  </conditionalFormatting>
  <conditionalFormatting sqref="T16:T60">
    <cfRule type="cellIs" dxfId="26" priority="7" operator="lessThan">
      <formula>6.99</formula>
    </cfRule>
    <cfRule type="cellIs" dxfId="25" priority="8" operator="lessThan">
      <formula>7</formula>
    </cfRule>
  </conditionalFormatting>
  <conditionalFormatting sqref="T16:T60">
    <cfRule type="cellIs" dxfId="24" priority="3" operator="equal">
      <formula>"RECUPERACIÓN PEDAGOGICA"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zoomScale="98" zoomScaleNormal="98" workbookViewId="0">
      <selection activeCell="J15" sqref="J15:K59"/>
    </sheetView>
  </sheetViews>
  <sheetFormatPr baseColWidth="10" defaultRowHeight="15"/>
  <cols>
    <col min="1" max="1" width="6.28515625" style="31" customWidth="1"/>
    <col min="2" max="2" width="55.5703125" style="31" bestFit="1" customWidth="1"/>
    <col min="3" max="8" width="8.7109375" style="31" customWidth="1"/>
    <col min="9" max="9" width="1" style="31" customWidth="1"/>
    <col min="10" max="17" width="8.7109375" style="31" customWidth="1"/>
    <col min="18" max="16384" width="11.42578125" style="31"/>
  </cols>
  <sheetData>
    <row r="1" spans="1:19" ht="18">
      <c r="A1" s="264" t="s">
        <v>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171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0" t="s">
        <v>28</v>
      </c>
      <c r="C3" s="273" t="str">
        <f>DATOS!B5</f>
        <v>Décimo EGB A</v>
      </c>
      <c r="D3" s="273"/>
      <c r="E3" s="273"/>
      <c r="F3" s="273"/>
      <c r="G3" s="273"/>
      <c r="H3" s="273"/>
      <c r="I3" s="265" t="s">
        <v>29</v>
      </c>
      <c r="J3" s="265"/>
      <c r="K3" s="265"/>
      <c r="L3" s="265"/>
      <c r="M3" s="265"/>
      <c r="N3" s="175"/>
      <c r="O3" s="32"/>
      <c r="P3" s="30"/>
      <c r="Q3" s="30"/>
      <c r="R3" s="30"/>
      <c r="S3" s="30"/>
    </row>
    <row r="4" spans="1:19" ht="18.75" thickTop="1" thickBot="1">
      <c r="A4" s="30"/>
      <c r="B4" s="50" t="s">
        <v>30</v>
      </c>
      <c r="C4" s="273" t="str">
        <f>DATOS!B4</f>
        <v>Msc. Myrian Zurita</v>
      </c>
      <c r="D4" s="273"/>
      <c r="E4" s="273"/>
      <c r="F4" s="273"/>
      <c r="G4" s="273"/>
      <c r="H4" s="273"/>
      <c r="I4" s="327" t="s">
        <v>164</v>
      </c>
      <c r="J4" s="267"/>
      <c r="K4" s="267"/>
      <c r="L4" s="267"/>
      <c r="M4" s="267"/>
      <c r="N4" s="176"/>
      <c r="O4" s="33"/>
      <c r="P4" s="30"/>
      <c r="Q4" s="30"/>
      <c r="R4" s="30"/>
      <c r="S4" s="30"/>
    </row>
    <row r="5" spans="1:19" ht="18.75" thickTop="1" thickBot="1">
      <c r="A5" s="30"/>
      <c r="B5" s="50" t="s">
        <v>32</v>
      </c>
      <c r="C5" s="273" t="str">
        <f>DATOS!B3</f>
        <v>Educación Cultural y Artitica</v>
      </c>
      <c r="D5" s="273"/>
      <c r="E5" s="273"/>
      <c r="F5" s="273"/>
      <c r="G5" s="273"/>
      <c r="H5" s="273"/>
      <c r="I5" s="268"/>
      <c r="J5" s="268"/>
      <c r="K5" s="268"/>
      <c r="L5" s="268"/>
      <c r="M5" s="268"/>
      <c r="N5" s="17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69" t="s">
        <v>33</v>
      </c>
      <c r="B10" s="271" t="s">
        <v>34</v>
      </c>
      <c r="C10" s="274" t="s">
        <v>35</v>
      </c>
      <c r="D10" s="275"/>
      <c r="E10" s="275"/>
      <c r="F10" s="275"/>
      <c r="G10" s="172"/>
      <c r="H10" s="36"/>
      <c r="I10" s="37"/>
      <c r="J10" s="260" t="s">
        <v>36</v>
      </c>
      <c r="K10" s="261"/>
      <c r="L10" s="261"/>
      <c r="M10" s="261"/>
      <c r="N10" s="261"/>
      <c r="O10" s="262"/>
      <c r="P10" s="241" t="s">
        <v>37</v>
      </c>
      <c r="Q10" s="242"/>
      <c r="R10" s="35"/>
      <c r="S10" s="35"/>
    </row>
    <row r="11" spans="1:19" ht="15.75" customHeight="1" thickBot="1">
      <c r="A11" s="270"/>
      <c r="B11" s="272"/>
      <c r="C11" s="245">
        <v>0.45</v>
      </c>
      <c r="D11" s="246"/>
      <c r="E11" s="246"/>
      <c r="F11" s="249" t="s">
        <v>44</v>
      </c>
      <c r="G11" s="328" t="s">
        <v>168</v>
      </c>
      <c r="H11" s="328" t="s">
        <v>43</v>
      </c>
      <c r="I11" s="38"/>
      <c r="J11" s="245">
        <v>0.45</v>
      </c>
      <c r="K11" s="251"/>
      <c r="L11" s="251"/>
      <c r="M11" s="249" t="s">
        <v>44</v>
      </c>
      <c r="N11" s="328" t="s">
        <v>168</v>
      </c>
      <c r="O11" s="328" t="s">
        <v>43</v>
      </c>
      <c r="P11" s="243"/>
      <c r="Q11" s="244"/>
      <c r="R11" s="35"/>
      <c r="S11" s="35"/>
    </row>
    <row r="12" spans="1:19">
      <c r="A12" s="270"/>
      <c r="B12" s="272"/>
      <c r="C12" s="247"/>
      <c r="D12" s="248"/>
      <c r="E12" s="248"/>
      <c r="F12" s="250"/>
      <c r="G12" s="329"/>
      <c r="H12" s="329"/>
      <c r="I12" s="39"/>
      <c r="J12" s="247"/>
      <c r="K12" s="248"/>
      <c r="L12" s="248"/>
      <c r="M12" s="250"/>
      <c r="N12" s="329"/>
      <c r="O12" s="329"/>
      <c r="P12" s="254" t="s">
        <v>38</v>
      </c>
      <c r="Q12" s="256" t="s">
        <v>39</v>
      </c>
      <c r="R12" s="35"/>
      <c r="S12" s="35"/>
    </row>
    <row r="13" spans="1:19" ht="15.75" thickBot="1">
      <c r="A13" s="270"/>
      <c r="B13" s="272"/>
      <c r="C13" s="247"/>
      <c r="D13" s="248"/>
      <c r="E13" s="248"/>
      <c r="F13" s="250"/>
      <c r="G13" s="329"/>
      <c r="H13" s="329"/>
      <c r="I13" s="39"/>
      <c r="J13" s="252"/>
      <c r="K13" s="253"/>
      <c r="L13" s="253"/>
      <c r="M13" s="250"/>
      <c r="N13" s="329"/>
      <c r="O13" s="329"/>
      <c r="P13" s="255"/>
      <c r="Q13" s="257"/>
      <c r="R13" s="35"/>
      <c r="S13" s="35"/>
    </row>
    <row r="14" spans="1:19" ht="27" customHeight="1" thickBot="1">
      <c r="A14" s="270"/>
      <c r="B14" s="272"/>
      <c r="C14" s="40" t="s">
        <v>40</v>
      </c>
      <c r="D14" s="41" t="s">
        <v>41</v>
      </c>
      <c r="E14" s="42" t="s">
        <v>42</v>
      </c>
      <c r="F14" s="250"/>
      <c r="G14" s="329"/>
      <c r="H14" s="329"/>
      <c r="I14" s="43"/>
      <c r="J14" s="42" t="s">
        <v>40</v>
      </c>
      <c r="K14" s="41" t="s">
        <v>41</v>
      </c>
      <c r="L14" s="44" t="s">
        <v>42</v>
      </c>
      <c r="M14" s="250"/>
      <c r="N14" s="329"/>
      <c r="O14" s="329"/>
      <c r="P14" s="255"/>
      <c r="Q14" s="257"/>
      <c r="R14" s="35"/>
      <c r="S14" s="35"/>
    </row>
    <row r="15" spans="1:19" ht="16.5" thickTop="1" thickBot="1">
      <c r="A15" s="45">
        <f>IF(B15="","",1)</f>
        <v>1</v>
      </c>
      <c r="B15" s="51" t="str">
        <f>DATOS!B12</f>
        <v>AIMACAÑA LEMA JOSELYN MARISOL</v>
      </c>
      <c r="C15" s="144">
        <v>4.75</v>
      </c>
      <c r="D15" s="145">
        <v>8.5</v>
      </c>
      <c r="E15" s="145"/>
      <c r="F15" s="54">
        <f>TRUNC(AVERAGE(C15:E15),2)</f>
        <v>6.62</v>
      </c>
      <c r="G15" s="179">
        <f>ROUND(F15,0)</f>
        <v>7</v>
      </c>
      <c r="H15" s="180" t="str">
        <f>IF(ROUND(F15,0)=10,"A+",IF(ROUND(F15,0)=9,"A-",IF(ROUND(F15,0)=8,"B+",IF(ROUND(F15,0)=7,"B-",IF(ROUND(F15,0)=6,"C+",IF(ROUND(F15,0)=5,"C-",IF(ROUND(F15,0)=4,"D+",IF(ROUND(F15,0)=3,"D-",IF(ROUND(F15,0)=2,"E+",IF(ROUND(F15,0)=1,"E-"))))))))))</f>
        <v>B-</v>
      </c>
      <c r="I15" s="46"/>
      <c r="J15" s="144">
        <v>9</v>
      </c>
      <c r="K15" s="145">
        <v>6</v>
      </c>
      <c r="L15" s="145"/>
      <c r="M15" s="54">
        <f>TRUNC(AVERAGE(J15:L15),2)</f>
        <v>7.5</v>
      </c>
      <c r="N15" s="179">
        <f>ROUND(M15,0)</f>
        <v>8</v>
      </c>
      <c r="O15" s="181" t="str">
        <f>IF(ROUND(M15,0)=10,"A+",IF(ROUND(M15,0)=9,"A-",IF(ROUND(M15,0)=8,"B+",IF(ROUND(M15,0)=7,"B-",IF(ROUND(M15,0)=6,"C+",IF(ROUND(M15,0)=5,"C-",IF(ROUND(M15,0)=4,"D+",IF(ROUND(M15,0)=3,"D-",IF(ROUND(M15,0)=2,"E+",IF(ROUND(M15,0)=1,"E-"))))))))))</f>
        <v>B+</v>
      </c>
      <c r="P15" s="167">
        <v>8.3699999999999992</v>
      </c>
      <c r="Q15" s="168">
        <v>5.4</v>
      </c>
      <c r="R15" s="35"/>
      <c r="S15" s="35"/>
    </row>
    <row r="16" spans="1:19" ht="16.5" thickTop="1" thickBot="1">
      <c r="A16" s="47">
        <f>IF(B16="","",2)</f>
        <v>2</v>
      </c>
      <c r="B16" s="52" t="str">
        <f>DATOS!B13</f>
        <v>ALMACHI YUGCHA AYAN MIGUEL</v>
      </c>
      <c r="C16" s="144">
        <v>8</v>
      </c>
      <c r="D16" s="145">
        <v>8</v>
      </c>
      <c r="E16" s="145"/>
      <c r="F16" s="54">
        <f t="shared" ref="F16:F59" si="0">TRUNC(AVERAGE(C16:E16),2)</f>
        <v>8</v>
      </c>
      <c r="G16" s="179">
        <f t="shared" ref="G16:G59" si="1">ROUND(F16,0)</f>
        <v>8</v>
      </c>
      <c r="H16" s="180" t="str">
        <f>IF(ROUND(F16,0)=10,"A+",IF(ROUND(F16,0)=9,"A-",IF(ROUND(F16,0)=8,"B+",IF(ROUND(F16,0)=7,"B-",IF(ROUND(F16,0)=6,"C+",IF(ROUND(F16,0)=5,"C-",IF(ROUND(F16,0)=4,"D+",IF(ROUND(F16,0)=3,"D-",IF(ROUND(F16,0)=2,"E+",IF(ROUND(F16,0)=1,"E-"))))))))))</f>
        <v>B+</v>
      </c>
      <c r="I16" s="46"/>
      <c r="J16" s="144">
        <v>7</v>
      </c>
      <c r="K16" s="145">
        <v>7</v>
      </c>
      <c r="L16" s="145"/>
      <c r="M16" s="54">
        <f t="shared" ref="M16:M59" si="2">TRUNC(AVERAGE(J16:L16),2)</f>
        <v>7</v>
      </c>
      <c r="N16" s="179">
        <f t="shared" ref="N16:N59" si="3">ROUND(M16,0)</f>
        <v>7</v>
      </c>
      <c r="O16" s="181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B-</v>
      </c>
      <c r="P16" s="167">
        <v>7</v>
      </c>
      <c r="Q16" s="168">
        <v>6</v>
      </c>
      <c r="R16" s="35"/>
      <c r="S16" s="35"/>
    </row>
    <row r="17" spans="1:19" ht="16.5" thickTop="1" thickBot="1">
      <c r="A17" s="47">
        <f>IF(B17="","",3)</f>
        <v>3</v>
      </c>
      <c r="B17" s="52" t="str">
        <f>DATOS!B14</f>
        <v>ANCHUNDIA PLUAS KEYSI BETSABED</v>
      </c>
      <c r="C17" s="144">
        <v>10</v>
      </c>
      <c r="D17" s="145">
        <v>10</v>
      </c>
      <c r="E17" s="146"/>
      <c r="F17" s="54">
        <f t="shared" si="0"/>
        <v>10</v>
      </c>
      <c r="G17" s="179">
        <f t="shared" si="1"/>
        <v>10</v>
      </c>
      <c r="H17" s="180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A+</v>
      </c>
      <c r="I17" s="46"/>
      <c r="J17" s="144">
        <v>10</v>
      </c>
      <c r="K17" s="145">
        <v>10</v>
      </c>
      <c r="L17" s="146"/>
      <c r="M17" s="54">
        <f t="shared" si="2"/>
        <v>10</v>
      </c>
      <c r="N17" s="179">
        <f t="shared" si="3"/>
        <v>10</v>
      </c>
      <c r="O17" s="181" t="str">
        <f t="shared" si="4"/>
        <v>A+</v>
      </c>
      <c r="P17" s="167">
        <v>9.75</v>
      </c>
      <c r="Q17" s="168">
        <v>9</v>
      </c>
      <c r="R17" s="35"/>
      <c r="S17" s="35"/>
    </row>
    <row r="18" spans="1:19" ht="16.5" thickTop="1" thickBot="1">
      <c r="A18" s="47">
        <f>IF(B18="","",4)</f>
        <v>4</v>
      </c>
      <c r="B18" s="52" t="str">
        <f>DATOS!B15</f>
        <v>ANCHUNDIA SUAREZ MAILY VALENTINA</v>
      </c>
      <c r="C18" s="144">
        <v>7</v>
      </c>
      <c r="D18" s="145">
        <v>6</v>
      </c>
      <c r="E18" s="147"/>
      <c r="F18" s="54">
        <f t="shared" si="0"/>
        <v>6.5</v>
      </c>
      <c r="G18" s="179">
        <f t="shared" si="1"/>
        <v>7</v>
      </c>
      <c r="H18" s="180" t="str">
        <f t="shared" si="5"/>
        <v>B-</v>
      </c>
      <c r="I18" s="46"/>
      <c r="J18" s="144">
        <v>6</v>
      </c>
      <c r="K18" s="145">
        <v>10</v>
      </c>
      <c r="L18" s="147"/>
      <c r="M18" s="54">
        <f t="shared" si="2"/>
        <v>8</v>
      </c>
      <c r="N18" s="179">
        <f t="shared" si="3"/>
        <v>8</v>
      </c>
      <c r="O18" s="181" t="str">
        <f t="shared" si="4"/>
        <v>B+</v>
      </c>
      <c r="P18" s="167">
        <v>7.32</v>
      </c>
      <c r="Q18" s="168">
        <v>3.2</v>
      </c>
      <c r="R18" s="35"/>
      <c r="S18" s="35"/>
    </row>
    <row r="19" spans="1:19" ht="16.5" thickTop="1" thickBot="1">
      <c r="A19" s="47">
        <f>IF(B19="","",5)</f>
        <v>5</v>
      </c>
      <c r="B19" s="52" t="str">
        <f>DATOS!B16</f>
        <v>CAIZA CHICAIZA BRYAN JOEL</v>
      </c>
      <c r="C19" s="144">
        <v>7</v>
      </c>
      <c r="D19" s="145">
        <v>9.75</v>
      </c>
      <c r="E19" s="145"/>
      <c r="F19" s="54">
        <f t="shared" si="0"/>
        <v>8.3699999999999992</v>
      </c>
      <c r="G19" s="179">
        <f t="shared" si="1"/>
        <v>8</v>
      </c>
      <c r="H19" s="180" t="str">
        <f t="shared" si="5"/>
        <v>B+</v>
      </c>
      <c r="I19" s="46"/>
      <c r="J19" s="144">
        <v>7</v>
      </c>
      <c r="K19" s="145">
        <v>7</v>
      </c>
      <c r="L19" s="145"/>
      <c r="M19" s="54">
        <f t="shared" si="2"/>
        <v>7</v>
      </c>
      <c r="N19" s="179">
        <f t="shared" si="3"/>
        <v>7</v>
      </c>
      <c r="O19" s="181" t="str">
        <f t="shared" si="4"/>
        <v>B-</v>
      </c>
      <c r="P19" s="167">
        <v>7.5</v>
      </c>
      <c r="Q19" s="168">
        <v>8</v>
      </c>
      <c r="R19" s="35"/>
      <c r="S19" s="35"/>
    </row>
    <row r="20" spans="1:19" ht="16.5" thickTop="1" thickBot="1">
      <c r="A20" s="47">
        <f>IF(B20="","",6)</f>
        <v>6</v>
      </c>
      <c r="B20" s="52" t="str">
        <f>DATOS!B17</f>
        <v>CASA CASA JOSUE DAVID</v>
      </c>
      <c r="C20" s="144">
        <v>4.5</v>
      </c>
      <c r="D20" s="145">
        <v>9</v>
      </c>
      <c r="E20" s="145"/>
      <c r="F20" s="54">
        <f t="shared" si="0"/>
        <v>6.75</v>
      </c>
      <c r="G20" s="179">
        <f t="shared" si="1"/>
        <v>7</v>
      </c>
      <c r="H20" s="180" t="str">
        <f t="shared" si="5"/>
        <v>B-</v>
      </c>
      <c r="I20" s="46"/>
      <c r="J20" s="144">
        <v>8</v>
      </c>
      <c r="K20" s="145">
        <v>10</v>
      </c>
      <c r="L20" s="145"/>
      <c r="M20" s="54">
        <f t="shared" si="2"/>
        <v>9</v>
      </c>
      <c r="N20" s="179">
        <f t="shared" si="3"/>
        <v>9</v>
      </c>
      <c r="O20" s="181" t="str">
        <f t="shared" si="4"/>
        <v>A-</v>
      </c>
      <c r="P20" s="167">
        <v>7.93</v>
      </c>
      <c r="Q20" s="168">
        <v>5.9</v>
      </c>
      <c r="R20" s="35"/>
      <c r="S20" s="35"/>
    </row>
    <row r="21" spans="1:19" ht="16.5" thickTop="1" thickBot="1">
      <c r="A21" s="47">
        <f>IF(B21="","",7)</f>
        <v>7</v>
      </c>
      <c r="B21" s="52" t="str">
        <f>DATOS!B18</f>
        <v>CASA TASINCHANA MARIA MERCEDES</v>
      </c>
      <c r="C21" s="144">
        <v>7</v>
      </c>
      <c r="D21" s="145">
        <v>7</v>
      </c>
      <c r="E21" s="145"/>
      <c r="F21" s="54">
        <f t="shared" si="0"/>
        <v>7</v>
      </c>
      <c r="G21" s="179">
        <f t="shared" si="1"/>
        <v>7</v>
      </c>
      <c r="H21" s="180" t="str">
        <f t="shared" si="5"/>
        <v>B-</v>
      </c>
      <c r="I21" s="46"/>
      <c r="J21" s="144">
        <v>7</v>
      </c>
      <c r="K21" s="145">
        <v>7.5</v>
      </c>
      <c r="L21" s="145"/>
      <c r="M21" s="54">
        <f t="shared" si="2"/>
        <v>7.25</v>
      </c>
      <c r="N21" s="179">
        <f t="shared" si="3"/>
        <v>7</v>
      </c>
      <c r="O21" s="181" t="str">
        <f t="shared" si="4"/>
        <v>B-</v>
      </c>
      <c r="P21" s="167">
        <v>7.37</v>
      </c>
      <c r="Q21" s="168">
        <v>5.2</v>
      </c>
      <c r="R21" s="35"/>
      <c r="S21" s="35"/>
    </row>
    <row r="22" spans="1:19" ht="16.5" thickTop="1" thickBot="1">
      <c r="A22" s="47">
        <f>IF(B22="","",8)</f>
        <v>8</v>
      </c>
      <c r="B22" s="52" t="str">
        <f>DATOS!B19</f>
        <v>CASA TUSO KATTY LISETH</v>
      </c>
      <c r="C22" s="144">
        <v>5</v>
      </c>
      <c r="D22" s="145">
        <v>10</v>
      </c>
      <c r="E22" s="145"/>
      <c r="F22" s="54">
        <f t="shared" si="0"/>
        <v>7.5</v>
      </c>
      <c r="G22" s="179">
        <f t="shared" si="1"/>
        <v>8</v>
      </c>
      <c r="H22" s="180" t="str">
        <f t="shared" si="5"/>
        <v>B+</v>
      </c>
      <c r="I22" s="46"/>
      <c r="J22" s="144">
        <v>5</v>
      </c>
      <c r="K22" s="145">
        <v>8</v>
      </c>
      <c r="L22" s="145"/>
      <c r="M22" s="54">
        <f t="shared" si="2"/>
        <v>6.5</v>
      </c>
      <c r="N22" s="179">
        <f t="shared" si="3"/>
        <v>7</v>
      </c>
      <c r="O22" s="181" t="str">
        <f t="shared" si="4"/>
        <v>B-</v>
      </c>
      <c r="P22" s="167">
        <v>8.6199999999999992</v>
      </c>
      <c r="Q22" s="168">
        <v>5.4</v>
      </c>
      <c r="R22" s="35"/>
      <c r="S22" s="35"/>
    </row>
    <row r="23" spans="1:19" ht="16.5" thickTop="1" thickBot="1">
      <c r="A23" s="47">
        <f>IF(B23="","",9)</f>
        <v>9</v>
      </c>
      <c r="B23" s="52" t="str">
        <f>DATOS!B20</f>
        <v>CENTENO GUISÑAN ALISON PAMELA</v>
      </c>
      <c r="C23" s="144">
        <v>5</v>
      </c>
      <c r="D23" s="145">
        <v>10</v>
      </c>
      <c r="E23" s="145"/>
      <c r="F23" s="54">
        <f t="shared" si="0"/>
        <v>7.5</v>
      </c>
      <c r="G23" s="179">
        <f t="shared" si="1"/>
        <v>8</v>
      </c>
      <c r="H23" s="180" t="str">
        <f t="shared" si="5"/>
        <v>B+</v>
      </c>
      <c r="I23" s="46"/>
      <c r="J23" s="144">
        <v>9</v>
      </c>
      <c r="K23" s="145">
        <v>9.5</v>
      </c>
      <c r="L23" s="145"/>
      <c r="M23" s="54">
        <f t="shared" si="2"/>
        <v>9.25</v>
      </c>
      <c r="N23" s="179">
        <f t="shared" si="3"/>
        <v>9</v>
      </c>
      <c r="O23" s="181" t="str">
        <f t="shared" si="4"/>
        <v>A-</v>
      </c>
      <c r="P23" s="167">
        <v>7.43</v>
      </c>
      <c r="Q23" s="168">
        <v>2.9</v>
      </c>
      <c r="R23" s="35"/>
      <c r="S23" s="35"/>
    </row>
    <row r="24" spans="1:19" ht="16.5" thickTop="1" thickBot="1">
      <c r="A24" s="47">
        <f>IF(B24="","",10)</f>
        <v>10</v>
      </c>
      <c r="B24" s="52" t="str">
        <f>DATOS!B21</f>
        <v>CHANCUSIG CHILIQUINGA NORMA NICOLE</v>
      </c>
      <c r="C24" s="144">
        <v>8</v>
      </c>
      <c r="D24" s="145">
        <v>9.5</v>
      </c>
      <c r="E24" s="145"/>
      <c r="F24" s="54">
        <f t="shared" si="0"/>
        <v>8.75</v>
      </c>
      <c r="G24" s="179">
        <f t="shared" si="1"/>
        <v>9</v>
      </c>
      <c r="H24" s="180" t="str">
        <f t="shared" si="5"/>
        <v>A-</v>
      </c>
      <c r="I24" s="46"/>
      <c r="J24" s="144">
        <v>8</v>
      </c>
      <c r="K24" s="145">
        <v>9</v>
      </c>
      <c r="L24" s="145"/>
      <c r="M24" s="54">
        <f t="shared" si="2"/>
        <v>8.5</v>
      </c>
      <c r="N24" s="179">
        <f t="shared" si="3"/>
        <v>9</v>
      </c>
      <c r="O24" s="181" t="str">
        <f t="shared" si="4"/>
        <v>A-</v>
      </c>
      <c r="P24" s="167">
        <v>7.81</v>
      </c>
      <c r="Q24" s="168">
        <v>5.5</v>
      </c>
      <c r="R24" s="35"/>
      <c r="S24" s="35"/>
    </row>
    <row r="25" spans="1:19" ht="16.5" thickTop="1" thickBot="1">
      <c r="A25" s="47">
        <f>IF(B25="","",11)</f>
        <v>11</v>
      </c>
      <c r="B25" s="52" t="str">
        <f>DATOS!B22</f>
        <v>CHASI CHANCUSIG JORGE LUIS</v>
      </c>
      <c r="C25" s="144">
        <v>7</v>
      </c>
      <c r="D25" s="145">
        <v>7</v>
      </c>
      <c r="E25" s="145"/>
      <c r="F25" s="54">
        <f t="shared" si="0"/>
        <v>7</v>
      </c>
      <c r="G25" s="179">
        <f t="shared" si="1"/>
        <v>7</v>
      </c>
      <c r="H25" s="180" t="str">
        <f t="shared" si="5"/>
        <v>B-</v>
      </c>
      <c r="I25" s="46"/>
      <c r="J25" s="144">
        <v>7.25</v>
      </c>
      <c r="K25" s="145">
        <v>7</v>
      </c>
      <c r="L25" s="145"/>
      <c r="M25" s="54">
        <f t="shared" si="2"/>
        <v>7.12</v>
      </c>
      <c r="N25" s="179">
        <f t="shared" si="3"/>
        <v>7</v>
      </c>
      <c r="O25" s="181" t="str">
        <f t="shared" si="4"/>
        <v>B-</v>
      </c>
      <c r="P25" s="167">
        <v>7.56</v>
      </c>
      <c r="Q25" s="168">
        <v>6</v>
      </c>
      <c r="R25" s="35"/>
      <c r="S25" s="35"/>
    </row>
    <row r="26" spans="1:19" ht="16.5" thickTop="1" thickBot="1">
      <c r="A26" s="47">
        <f>IF(B26="","",12)</f>
        <v>12</v>
      </c>
      <c r="B26" s="52" t="str">
        <f>DATOS!B23</f>
        <v>CHUQUI PASSO BRITHANY SOLANGE</v>
      </c>
      <c r="C26" s="144">
        <v>8.25</v>
      </c>
      <c r="D26" s="145">
        <v>9.5</v>
      </c>
      <c r="E26" s="145"/>
      <c r="F26" s="54">
        <f t="shared" si="0"/>
        <v>8.8699999999999992</v>
      </c>
      <c r="G26" s="179">
        <f t="shared" si="1"/>
        <v>9</v>
      </c>
      <c r="H26" s="180" t="str">
        <f t="shared" si="5"/>
        <v>A-</v>
      </c>
      <c r="I26" s="46"/>
      <c r="J26" s="144">
        <v>9</v>
      </c>
      <c r="K26" s="145">
        <v>10</v>
      </c>
      <c r="L26" s="145"/>
      <c r="M26" s="54">
        <f t="shared" si="2"/>
        <v>9.5</v>
      </c>
      <c r="N26" s="179">
        <f t="shared" si="3"/>
        <v>10</v>
      </c>
      <c r="O26" s="181" t="str">
        <f t="shared" si="4"/>
        <v>A+</v>
      </c>
      <c r="P26" s="167">
        <v>8.75</v>
      </c>
      <c r="Q26" s="168">
        <v>9</v>
      </c>
      <c r="R26" s="35"/>
      <c r="S26" s="35"/>
    </row>
    <row r="27" spans="1:19" ht="16.5" thickTop="1" thickBot="1">
      <c r="A27" s="47">
        <f>IF(B27="","",13)</f>
        <v>13</v>
      </c>
      <c r="B27" s="52" t="str">
        <f>DATOS!B24</f>
        <v>CUCHIPARTE CASA KARLA CAROLINA</v>
      </c>
      <c r="C27" s="144">
        <v>9.25</v>
      </c>
      <c r="D27" s="145">
        <v>10</v>
      </c>
      <c r="E27" s="145"/>
      <c r="F27" s="54">
        <f t="shared" si="0"/>
        <v>9.6199999999999992</v>
      </c>
      <c r="G27" s="179">
        <f t="shared" si="1"/>
        <v>10</v>
      </c>
      <c r="H27" s="180" t="str">
        <f t="shared" si="5"/>
        <v>A+</v>
      </c>
      <c r="I27" s="46"/>
      <c r="J27" s="144">
        <v>8.5</v>
      </c>
      <c r="K27" s="145">
        <v>9</v>
      </c>
      <c r="L27" s="145"/>
      <c r="M27" s="54">
        <f t="shared" si="2"/>
        <v>8.75</v>
      </c>
      <c r="N27" s="179">
        <f t="shared" si="3"/>
        <v>9</v>
      </c>
      <c r="O27" s="181" t="str">
        <f t="shared" si="4"/>
        <v>A-</v>
      </c>
      <c r="P27" s="167">
        <v>9.56</v>
      </c>
      <c r="Q27" s="168">
        <v>5</v>
      </c>
      <c r="R27" s="35"/>
      <c r="S27" s="35"/>
    </row>
    <row r="28" spans="1:19" ht="16.5" thickTop="1" thickBot="1">
      <c r="A28" s="47">
        <f>IF(B28="","",14)</f>
        <v>14</v>
      </c>
      <c r="B28" s="52" t="str">
        <f>DATOS!B25</f>
        <v>GUAÑA CHINGO EDGAR ISMAEL</v>
      </c>
      <c r="C28" s="144">
        <v>8.25</v>
      </c>
      <c r="D28" s="145">
        <v>9</v>
      </c>
      <c r="E28" s="145"/>
      <c r="F28" s="54">
        <f t="shared" si="0"/>
        <v>8.6199999999999992</v>
      </c>
      <c r="G28" s="179">
        <f t="shared" si="1"/>
        <v>9</v>
      </c>
      <c r="H28" s="180" t="str">
        <f t="shared" si="5"/>
        <v>A-</v>
      </c>
      <c r="I28" s="46"/>
      <c r="J28" s="144">
        <v>6</v>
      </c>
      <c r="K28" s="145">
        <v>8</v>
      </c>
      <c r="L28" s="145"/>
      <c r="M28" s="54">
        <f t="shared" si="2"/>
        <v>7</v>
      </c>
      <c r="N28" s="179">
        <f t="shared" si="3"/>
        <v>7</v>
      </c>
      <c r="O28" s="181" t="str">
        <f t="shared" si="4"/>
        <v>B-</v>
      </c>
      <c r="P28" s="167">
        <v>7.43</v>
      </c>
      <c r="Q28" s="168">
        <v>4.5</v>
      </c>
      <c r="R28" s="35"/>
      <c r="S28" s="35"/>
    </row>
    <row r="29" spans="1:19" ht="16.5" thickTop="1" thickBot="1">
      <c r="A29" s="47">
        <f>IF(B29="","",15)</f>
        <v>15</v>
      </c>
      <c r="B29" s="52" t="str">
        <f>DATOS!B26</f>
        <v>IZA CASA ANGEL DAVID</v>
      </c>
      <c r="C29" s="144">
        <v>5.25</v>
      </c>
      <c r="D29" s="145">
        <v>8.75</v>
      </c>
      <c r="E29" s="145"/>
      <c r="F29" s="54">
        <f t="shared" si="0"/>
        <v>7</v>
      </c>
      <c r="G29" s="179">
        <f t="shared" si="1"/>
        <v>7</v>
      </c>
      <c r="H29" s="180" t="str">
        <f t="shared" si="5"/>
        <v>B-</v>
      </c>
      <c r="I29" s="46"/>
      <c r="J29" s="144">
        <v>7</v>
      </c>
      <c r="K29" s="145">
        <v>7</v>
      </c>
      <c r="L29" s="145"/>
      <c r="M29" s="54">
        <f t="shared" si="2"/>
        <v>7</v>
      </c>
      <c r="N29" s="179">
        <f t="shared" si="3"/>
        <v>7</v>
      </c>
      <c r="O29" s="181" t="str">
        <f t="shared" si="4"/>
        <v>B-</v>
      </c>
      <c r="P29" s="167">
        <v>7.87</v>
      </c>
      <c r="Q29" s="168">
        <v>6.4</v>
      </c>
      <c r="R29" s="35"/>
      <c r="S29" s="35"/>
    </row>
    <row r="30" spans="1:19" ht="16.5" thickTop="1" thickBot="1">
      <c r="A30" s="47">
        <f>IF(B30="","",16)</f>
        <v>16</v>
      </c>
      <c r="B30" s="52" t="str">
        <f>DATOS!B27</f>
        <v>IZA PEREZ ERICK ISMAEL</v>
      </c>
      <c r="C30" s="144">
        <v>6.25</v>
      </c>
      <c r="D30" s="145">
        <v>8</v>
      </c>
      <c r="E30" s="145"/>
      <c r="F30" s="54">
        <f t="shared" si="0"/>
        <v>7.12</v>
      </c>
      <c r="G30" s="179">
        <f t="shared" si="1"/>
        <v>7</v>
      </c>
      <c r="H30" s="180" t="str">
        <f t="shared" si="5"/>
        <v>B-</v>
      </c>
      <c r="I30" s="46"/>
      <c r="J30" s="144">
        <v>7.5</v>
      </c>
      <c r="K30" s="145">
        <v>7</v>
      </c>
      <c r="L30" s="145"/>
      <c r="M30" s="54">
        <f t="shared" si="2"/>
        <v>7.25</v>
      </c>
      <c r="N30" s="179">
        <f t="shared" si="3"/>
        <v>7</v>
      </c>
      <c r="O30" s="181" t="str">
        <f t="shared" si="4"/>
        <v>B-</v>
      </c>
      <c r="P30" s="167">
        <v>6.85</v>
      </c>
      <c r="Q30" s="168">
        <v>4.5999999999999996</v>
      </c>
      <c r="R30" s="35"/>
      <c r="S30" s="35"/>
    </row>
    <row r="31" spans="1:19" ht="16.5" thickTop="1" thickBot="1">
      <c r="A31" s="47">
        <f>IF(B31="","",17)</f>
        <v>17</v>
      </c>
      <c r="B31" s="52" t="str">
        <f>DATOS!B28</f>
        <v>IZA QUINATOA JOSTIN JOSE</v>
      </c>
      <c r="C31" s="144">
        <v>9.5</v>
      </c>
      <c r="D31" s="145">
        <v>10</v>
      </c>
      <c r="E31" s="145"/>
      <c r="F31" s="54">
        <f t="shared" si="0"/>
        <v>9.75</v>
      </c>
      <c r="G31" s="179">
        <f t="shared" si="1"/>
        <v>10</v>
      </c>
      <c r="H31" s="180" t="str">
        <f t="shared" si="5"/>
        <v>A+</v>
      </c>
      <c r="I31" s="46"/>
      <c r="J31" s="144">
        <v>9</v>
      </c>
      <c r="K31" s="145">
        <v>10</v>
      </c>
      <c r="L31" s="145"/>
      <c r="M31" s="54">
        <f t="shared" si="2"/>
        <v>9.5</v>
      </c>
      <c r="N31" s="179">
        <f t="shared" si="3"/>
        <v>10</v>
      </c>
      <c r="O31" s="181" t="str">
        <f t="shared" si="4"/>
        <v>A+</v>
      </c>
      <c r="P31" s="167">
        <v>8</v>
      </c>
      <c r="Q31" s="168">
        <v>6</v>
      </c>
      <c r="R31" s="35"/>
      <c r="S31" s="35"/>
    </row>
    <row r="32" spans="1:19" ht="16.5" thickTop="1" thickBot="1">
      <c r="A32" s="47">
        <f>IF(B32="","",18)</f>
        <v>18</v>
      </c>
      <c r="B32" s="52" t="str">
        <f>DATOS!B29</f>
        <v xml:space="preserve">JAMI JAMI ANTHONI JOEL                            </v>
      </c>
      <c r="C32" s="144">
        <v>8.5</v>
      </c>
      <c r="D32" s="145">
        <v>10</v>
      </c>
      <c r="E32" s="145"/>
      <c r="F32" s="54">
        <f t="shared" si="0"/>
        <v>9.25</v>
      </c>
      <c r="G32" s="179">
        <f t="shared" si="1"/>
        <v>9</v>
      </c>
      <c r="H32" s="180" t="str">
        <f t="shared" si="5"/>
        <v>A-</v>
      </c>
      <c r="I32" s="46"/>
      <c r="J32" s="144">
        <v>8</v>
      </c>
      <c r="K32" s="145">
        <v>8</v>
      </c>
      <c r="L32" s="145"/>
      <c r="M32" s="54">
        <f t="shared" si="2"/>
        <v>8</v>
      </c>
      <c r="N32" s="179">
        <f t="shared" si="3"/>
        <v>8</v>
      </c>
      <c r="O32" s="181" t="str">
        <f t="shared" si="4"/>
        <v>B+</v>
      </c>
      <c r="P32" s="167">
        <v>7.81</v>
      </c>
      <c r="Q32" s="168">
        <v>5.8</v>
      </c>
      <c r="R32" s="35"/>
      <c r="S32" s="35"/>
    </row>
    <row r="33" spans="1:19" ht="16.5" thickTop="1" thickBot="1">
      <c r="A33" s="47">
        <f>IF(B33="","",19)</f>
        <v>19</v>
      </c>
      <c r="B33" s="52" t="str">
        <f>DATOS!B30</f>
        <v>LOOR LOPEZ ALEXANDER JEAMPIERRE</v>
      </c>
      <c r="C33" s="144">
        <v>9.5</v>
      </c>
      <c r="D33" s="145">
        <v>10</v>
      </c>
      <c r="E33" s="145"/>
      <c r="F33" s="54">
        <f t="shared" si="0"/>
        <v>9.75</v>
      </c>
      <c r="G33" s="179">
        <f t="shared" si="1"/>
        <v>10</v>
      </c>
      <c r="H33" s="180" t="str">
        <f t="shared" si="5"/>
        <v>A+</v>
      </c>
      <c r="I33" s="46"/>
      <c r="J33" s="144">
        <v>9</v>
      </c>
      <c r="K33" s="145">
        <v>10</v>
      </c>
      <c r="L33" s="145"/>
      <c r="M33" s="54">
        <f t="shared" si="2"/>
        <v>9.5</v>
      </c>
      <c r="N33" s="179">
        <f t="shared" si="3"/>
        <v>10</v>
      </c>
      <c r="O33" s="181" t="str">
        <f t="shared" si="4"/>
        <v>A+</v>
      </c>
      <c r="P33" s="167">
        <v>8.8699999999999992</v>
      </c>
      <c r="Q33" s="168">
        <v>6.6</v>
      </c>
      <c r="R33" s="35"/>
      <c r="S33" s="35"/>
    </row>
    <row r="34" spans="1:19" ht="16.5" thickTop="1" thickBot="1">
      <c r="A34" s="47">
        <f>IF(B34="","",20)</f>
        <v>20</v>
      </c>
      <c r="B34" s="52" t="str">
        <f>DATOS!B31</f>
        <v>LOPEZ CARRASCO LIA ALEJANDRA</v>
      </c>
      <c r="C34" s="144">
        <v>5.5</v>
      </c>
      <c r="D34" s="145">
        <v>10</v>
      </c>
      <c r="E34" s="145"/>
      <c r="F34" s="54">
        <f t="shared" si="0"/>
        <v>7.75</v>
      </c>
      <c r="G34" s="179">
        <f t="shared" si="1"/>
        <v>8</v>
      </c>
      <c r="H34" s="180" t="str">
        <f t="shared" si="5"/>
        <v>B+</v>
      </c>
      <c r="I34" s="46"/>
      <c r="J34" s="144">
        <v>9</v>
      </c>
      <c r="K34" s="145">
        <v>10</v>
      </c>
      <c r="L34" s="145"/>
      <c r="M34" s="54">
        <f t="shared" si="2"/>
        <v>9.5</v>
      </c>
      <c r="N34" s="179">
        <f t="shared" si="3"/>
        <v>10</v>
      </c>
      <c r="O34" s="181" t="str">
        <f t="shared" si="4"/>
        <v>A+</v>
      </c>
      <c r="P34" s="167">
        <v>8.31</v>
      </c>
      <c r="Q34" s="168">
        <v>6.4</v>
      </c>
      <c r="R34" s="35"/>
      <c r="S34" s="35"/>
    </row>
    <row r="35" spans="1:19" ht="16.5" thickTop="1" thickBot="1">
      <c r="A35" s="47">
        <f>IF(B35="","",21)</f>
        <v>21</v>
      </c>
      <c r="B35" s="52" t="str">
        <f>DATOS!B32</f>
        <v>MASAPANTA CASA JUAN MIGUEL</v>
      </c>
      <c r="C35" s="144">
        <v>7.5</v>
      </c>
      <c r="D35" s="145">
        <v>7</v>
      </c>
      <c r="E35" s="145"/>
      <c r="F35" s="54">
        <f t="shared" si="0"/>
        <v>7.25</v>
      </c>
      <c r="G35" s="179">
        <f t="shared" si="1"/>
        <v>7</v>
      </c>
      <c r="H35" s="180" t="str">
        <f t="shared" si="5"/>
        <v>B-</v>
      </c>
      <c r="I35" s="46"/>
      <c r="J35" s="144">
        <v>7</v>
      </c>
      <c r="K35" s="145">
        <v>7</v>
      </c>
      <c r="L35" s="145"/>
      <c r="M35" s="54">
        <f t="shared" si="2"/>
        <v>7</v>
      </c>
      <c r="N35" s="179">
        <f t="shared" si="3"/>
        <v>7</v>
      </c>
      <c r="O35" s="181" t="str">
        <f t="shared" si="4"/>
        <v>B-</v>
      </c>
      <c r="P35" s="167">
        <v>8</v>
      </c>
      <c r="Q35" s="168">
        <v>4.2</v>
      </c>
      <c r="R35" s="35"/>
      <c r="S35" s="35"/>
    </row>
    <row r="36" spans="1:19" ht="16.5" thickTop="1" thickBot="1">
      <c r="A36" s="47">
        <f>IF(B36="","",22)</f>
        <v>22</v>
      </c>
      <c r="B36" s="52" t="str">
        <f>DATOS!B33</f>
        <v>MENDOZA TOAPANTA VERONICA MARISOL</v>
      </c>
      <c r="C36" s="144">
        <v>9.5</v>
      </c>
      <c r="D36" s="145">
        <v>10</v>
      </c>
      <c r="E36" s="145"/>
      <c r="F36" s="54">
        <f t="shared" si="0"/>
        <v>9.75</v>
      </c>
      <c r="G36" s="179">
        <f t="shared" si="1"/>
        <v>10</v>
      </c>
      <c r="H36" s="180" t="str">
        <f t="shared" si="5"/>
        <v>A+</v>
      </c>
      <c r="I36" s="46"/>
      <c r="J36" s="144">
        <v>9</v>
      </c>
      <c r="K36" s="145">
        <v>10</v>
      </c>
      <c r="L36" s="145"/>
      <c r="M36" s="54">
        <f t="shared" si="2"/>
        <v>9.5</v>
      </c>
      <c r="N36" s="179">
        <f t="shared" si="3"/>
        <v>10</v>
      </c>
      <c r="O36" s="181" t="str">
        <f t="shared" si="4"/>
        <v>A+</v>
      </c>
      <c r="P36" s="167">
        <v>9.5</v>
      </c>
      <c r="Q36" s="168">
        <v>5.3</v>
      </c>
      <c r="R36" s="35"/>
      <c r="S36" s="35"/>
    </row>
    <row r="37" spans="1:19" ht="16.5" thickTop="1" thickBot="1">
      <c r="A37" s="47">
        <f>IF(B37="","",23)</f>
        <v>23</v>
      </c>
      <c r="B37" s="52" t="str">
        <f>DATOS!B34</f>
        <v>MONTA CHICAIZA JOSSELYN MICAELA</v>
      </c>
      <c r="C37" s="144">
        <v>8.5</v>
      </c>
      <c r="D37" s="145">
        <v>10</v>
      </c>
      <c r="E37" s="145"/>
      <c r="F37" s="54">
        <f t="shared" si="0"/>
        <v>9.25</v>
      </c>
      <c r="G37" s="179">
        <f t="shared" si="1"/>
        <v>9</v>
      </c>
      <c r="H37" s="180" t="str">
        <f t="shared" si="5"/>
        <v>A-</v>
      </c>
      <c r="I37" s="46"/>
      <c r="J37" s="144">
        <v>8</v>
      </c>
      <c r="K37" s="145">
        <v>8</v>
      </c>
      <c r="L37" s="145"/>
      <c r="M37" s="54">
        <f t="shared" si="2"/>
        <v>8</v>
      </c>
      <c r="N37" s="179">
        <f t="shared" si="3"/>
        <v>8</v>
      </c>
      <c r="O37" s="181" t="str">
        <f t="shared" si="4"/>
        <v>B+</v>
      </c>
      <c r="P37" s="167">
        <v>8.3699999999999992</v>
      </c>
      <c r="Q37" s="168">
        <v>7.5</v>
      </c>
      <c r="R37" s="35"/>
      <c r="S37" s="35"/>
    </row>
    <row r="38" spans="1:19" ht="16.5" thickTop="1" thickBot="1">
      <c r="A38" s="47">
        <f>IF(B38="","",24)</f>
        <v>24</v>
      </c>
      <c r="B38" s="52" t="str">
        <f>DATOS!B35</f>
        <v>OTO ABRIL ERICK JAHIR</v>
      </c>
      <c r="C38" s="144">
        <v>7.5</v>
      </c>
      <c r="D38" s="145">
        <v>8.5</v>
      </c>
      <c r="E38" s="145"/>
      <c r="F38" s="54">
        <f t="shared" si="0"/>
        <v>8</v>
      </c>
      <c r="G38" s="179">
        <f t="shared" si="1"/>
        <v>8</v>
      </c>
      <c r="H38" s="180" t="str">
        <f t="shared" si="5"/>
        <v>B+</v>
      </c>
      <c r="I38" s="46"/>
      <c r="J38" s="144">
        <v>8</v>
      </c>
      <c r="K38" s="145">
        <v>8</v>
      </c>
      <c r="L38" s="145"/>
      <c r="M38" s="54">
        <f t="shared" si="2"/>
        <v>8</v>
      </c>
      <c r="N38" s="179">
        <f t="shared" si="3"/>
        <v>8</v>
      </c>
      <c r="O38" s="181" t="str">
        <f t="shared" si="4"/>
        <v>B+</v>
      </c>
      <c r="P38" s="167">
        <v>7.37</v>
      </c>
      <c r="Q38" s="168">
        <v>3.8</v>
      </c>
      <c r="R38" s="35"/>
      <c r="S38" s="35"/>
    </row>
    <row r="39" spans="1:19" ht="16.5" thickTop="1" thickBot="1">
      <c r="A39" s="47">
        <f>IF(B39="","",25)</f>
        <v>25</v>
      </c>
      <c r="B39" s="52" t="str">
        <f>DATOS!B36</f>
        <v>PROAÑO TOAQUIZA FERNANDO JOSUE</v>
      </c>
      <c r="C39" s="144">
        <v>10</v>
      </c>
      <c r="D39" s="145">
        <v>9.5</v>
      </c>
      <c r="E39" s="145"/>
      <c r="F39" s="54">
        <f t="shared" si="0"/>
        <v>9.75</v>
      </c>
      <c r="G39" s="179">
        <f t="shared" si="1"/>
        <v>10</v>
      </c>
      <c r="H39" s="180" t="str">
        <f t="shared" si="5"/>
        <v>A+</v>
      </c>
      <c r="I39" s="46"/>
      <c r="J39" s="144">
        <v>10</v>
      </c>
      <c r="K39" s="145">
        <v>10</v>
      </c>
      <c r="L39" s="145"/>
      <c r="M39" s="54">
        <f t="shared" si="2"/>
        <v>10</v>
      </c>
      <c r="N39" s="179">
        <f t="shared" si="3"/>
        <v>10</v>
      </c>
      <c r="O39" s="181" t="str">
        <f t="shared" si="4"/>
        <v>A+</v>
      </c>
      <c r="P39" s="167">
        <v>9.75</v>
      </c>
      <c r="Q39" s="168">
        <v>9</v>
      </c>
      <c r="R39" s="35"/>
      <c r="S39" s="35"/>
    </row>
    <row r="40" spans="1:19" ht="16.5" thickTop="1" thickBot="1">
      <c r="A40" s="47">
        <f>IF(B40="","",26)</f>
        <v>26</v>
      </c>
      <c r="B40" s="52" t="str">
        <f>DATOS!B37</f>
        <v>QUILUMBA TOAPANTA ADRIANA CAROLINA</v>
      </c>
      <c r="C40" s="144">
        <v>7.5</v>
      </c>
      <c r="D40" s="145">
        <v>10</v>
      </c>
      <c r="E40" s="145"/>
      <c r="F40" s="54">
        <f t="shared" si="0"/>
        <v>8.75</v>
      </c>
      <c r="G40" s="179">
        <f t="shared" si="1"/>
        <v>9</v>
      </c>
      <c r="H40" s="180" t="str">
        <f t="shared" si="5"/>
        <v>A-</v>
      </c>
      <c r="I40" s="46"/>
      <c r="J40" s="144">
        <v>9</v>
      </c>
      <c r="K40" s="145">
        <v>9.5</v>
      </c>
      <c r="L40" s="145"/>
      <c r="M40" s="54">
        <f t="shared" si="2"/>
        <v>9.25</v>
      </c>
      <c r="N40" s="179">
        <f t="shared" si="3"/>
        <v>9</v>
      </c>
      <c r="O40" s="181" t="str">
        <f t="shared" si="4"/>
        <v>A-</v>
      </c>
      <c r="P40" s="167">
        <v>8.1199999999999992</v>
      </c>
      <c r="Q40" s="168">
        <v>5</v>
      </c>
      <c r="R40" s="35"/>
      <c r="S40" s="35"/>
    </row>
    <row r="41" spans="1:19" ht="16.5" thickTop="1" thickBot="1">
      <c r="A41" s="47">
        <f>IF(B41="","",27)</f>
        <v>27</v>
      </c>
      <c r="B41" s="52" t="str">
        <f>DATOS!B38</f>
        <v>RENGIFO COLLANTES DANNY SANTIAGO</v>
      </c>
      <c r="C41" s="144">
        <v>8.75</v>
      </c>
      <c r="D41" s="145">
        <v>8</v>
      </c>
      <c r="E41" s="145"/>
      <c r="F41" s="54">
        <f t="shared" si="0"/>
        <v>8.3699999999999992</v>
      </c>
      <c r="G41" s="179">
        <f t="shared" si="1"/>
        <v>8</v>
      </c>
      <c r="H41" s="180" t="str">
        <f t="shared" si="5"/>
        <v>B+</v>
      </c>
      <c r="I41" s="46"/>
      <c r="J41" s="144">
        <v>8</v>
      </c>
      <c r="K41" s="145">
        <v>10</v>
      </c>
      <c r="L41" s="145"/>
      <c r="M41" s="54">
        <f t="shared" si="2"/>
        <v>9</v>
      </c>
      <c r="N41" s="179">
        <f t="shared" si="3"/>
        <v>9</v>
      </c>
      <c r="O41" s="181" t="str">
        <f t="shared" si="4"/>
        <v>A-</v>
      </c>
      <c r="P41" s="167">
        <v>8</v>
      </c>
      <c r="Q41" s="168">
        <v>5.4</v>
      </c>
      <c r="R41" s="35"/>
      <c r="S41" s="35"/>
    </row>
    <row r="42" spans="1:19" ht="16.5" thickTop="1" thickBot="1">
      <c r="A42" s="47">
        <f>IF(B42="","",28)</f>
        <v>28</v>
      </c>
      <c r="B42" s="52" t="str">
        <f>DATOS!B39</f>
        <v xml:space="preserve">SIMBAÑA HERNANDEZ JOAO JAVIER                     </v>
      </c>
      <c r="C42" s="144">
        <v>7.5</v>
      </c>
      <c r="D42" s="145">
        <v>9</v>
      </c>
      <c r="E42" s="145"/>
      <c r="F42" s="54">
        <f t="shared" si="0"/>
        <v>8.25</v>
      </c>
      <c r="G42" s="179">
        <f t="shared" si="1"/>
        <v>8</v>
      </c>
      <c r="H42" s="180" t="str">
        <f t="shared" si="5"/>
        <v>B+</v>
      </c>
      <c r="I42" s="46"/>
      <c r="J42" s="144">
        <v>6</v>
      </c>
      <c r="K42" s="145">
        <v>10</v>
      </c>
      <c r="L42" s="145"/>
      <c r="M42" s="54">
        <f t="shared" si="2"/>
        <v>8</v>
      </c>
      <c r="N42" s="179">
        <f t="shared" si="3"/>
        <v>8</v>
      </c>
      <c r="O42" s="181" t="str">
        <f t="shared" si="4"/>
        <v>B+</v>
      </c>
      <c r="P42" s="167">
        <v>7.5</v>
      </c>
      <c r="Q42" s="168">
        <v>6.5</v>
      </c>
      <c r="R42" s="35"/>
      <c r="S42" s="35"/>
    </row>
    <row r="43" spans="1:19" ht="16.5" thickTop="1" thickBot="1">
      <c r="A43" s="47">
        <f>IF(B43="","",29)</f>
        <v>29</v>
      </c>
      <c r="B43" s="52" t="str">
        <f>DATOS!B40</f>
        <v>TOAPANTA CHICAIZA JENNY ESTEFANIA</v>
      </c>
      <c r="C43" s="144">
        <v>7.25</v>
      </c>
      <c r="D43" s="145">
        <v>7</v>
      </c>
      <c r="E43" s="145"/>
      <c r="F43" s="54">
        <f t="shared" si="0"/>
        <v>7.12</v>
      </c>
      <c r="G43" s="179">
        <f t="shared" si="1"/>
        <v>7</v>
      </c>
      <c r="H43" s="180" t="str">
        <f t="shared" si="5"/>
        <v>B-</v>
      </c>
      <c r="I43" s="46"/>
      <c r="J43" s="144">
        <v>7</v>
      </c>
      <c r="K43" s="145">
        <v>7</v>
      </c>
      <c r="L43" s="145"/>
      <c r="M43" s="54">
        <f t="shared" si="2"/>
        <v>7</v>
      </c>
      <c r="N43" s="179">
        <f t="shared" si="3"/>
        <v>7</v>
      </c>
      <c r="O43" s="181" t="str">
        <f t="shared" si="4"/>
        <v>B-</v>
      </c>
      <c r="P43" s="167">
        <v>6.81</v>
      </c>
      <c r="Q43" s="168">
        <v>6.4</v>
      </c>
      <c r="R43" s="35"/>
      <c r="S43" s="35"/>
    </row>
    <row r="44" spans="1:19" ht="16.5" thickTop="1" thickBot="1">
      <c r="A44" s="47">
        <f>IF(B44="","",30)</f>
        <v>30</v>
      </c>
      <c r="B44" s="52" t="str">
        <f>DATOS!B41</f>
        <v>TOAQUIZA CATOTA DENNIS ALEXANDER</v>
      </c>
      <c r="C44" s="144">
        <v>7.5</v>
      </c>
      <c r="D44" s="145">
        <v>8</v>
      </c>
      <c r="E44" s="145"/>
      <c r="F44" s="54">
        <f t="shared" si="0"/>
        <v>7.75</v>
      </c>
      <c r="G44" s="179">
        <f t="shared" si="1"/>
        <v>8</v>
      </c>
      <c r="H44" s="180" t="str">
        <f t="shared" si="5"/>
        <v>B+</v>
      </c>
      <c r="I44" s="46"/>
      <c r="J44" s="144">
        <v>7</v>
      </c>
      <c r="K44" s="145">
        <v>10</v>
      </c>
      <c r="L44" s="145"/>
      <c r="M44" s="54">
        <f t="shared" si="2"/>
        <v>8.5</v>
      </c>
      <c r="N44" s="179">
        <f t="shared" si="3"/>
        <v>9</v>
      </c>
      <c r="O44" s="181" t="str">
        <f t="shared" si="4"/>
        <v>A-</v>
      </c>
      <c r="P44" s="167">
        <v>7.59</v>
      </c>
      <c r="Q44" s="168">
        <v>5.8</v>
      </c>
      <c r="R44" s="35"/>
      <c r="S44" s="35"/>
    </row>
    <row r="45" spans="1:19" ht="16.5" thickTop="1" thickBot="1">
      <c r="A45" s="47">
        <v>31</v>
      </c>
      <c r="B45" s="52" t="str">
        <f>DATOS!B42</f>
        <v>TOAQUIZA LEMA MELANY ANAHI</v>
      </c>
      <c r="C45" s="144">
        <v>9</v>
      </c>
      <c r="D45" s="145">
        <v>8.5</v>
      </c>
      <c r="E45" s="145"/>
      <c r="F45" s="54">
        <f t="shared" si="0"/>
        <v>8.75</v>
      </c>
      <c r="G45" s="179">
        <f t="shared" si="1"/>
        <v>9</v>
      </c>
      <c r="H45" s="180" t="str">
        <f t="shared" si="5"/>
        <v>A-</v>
      </c>
      <c r="I45" s="46"/>
      <c r="J45" s="144">
        <v>9</v>
      </c>
      <c r="K45" s="145">
        <v>8</v>
      </c>
      <c r="L45" s="145"/>
      <c r="M45" s="54">
        <f t="shared" si="2"/>
        <v>8.5</v>
      </c>
      <c r="N45" s="179">
        <f t="shared" si="3"/>
        <v>9</v>
      </c>
      <c r="O45" s="181" t="str">
        <f t="shared" si="4"/>
        <v>A-</v>
      </c>
      <c r="P45" s="167">
        <v>9.25</v>
      </c>
      <c r="Q45" s="168">
        <v>7.5</v>
      </c>
      <c r="R45" s="35"/>
      <c r="S45" s="35"/>
    </row>
    <row r="46" spans="1:19" ht="16.5" thickTop="1" thickBot="1">
      <c r="A46" s="47">
        <v>32</v>
      </c>
      <c r="B46" s="52" t="str">
        <f>DATOS!B43</f>
        <v>TOCTAGUANO TUMBACO MAHOLY GUADALUPE</v>
      </c>
      <c r="C46" s="144">
        <v>8</v>
      </c>
      <c r="D46" s="145">
        <v>9.5</v>
      </c>
      <c r="E46" s="145"/>
      <c r="F46" s="54">
        <f t="shared" si="0"/>
        <v>8.75</v>
      </c>
      <c r="G46" s="179">
        <f t="shared" si="1"/>
        <v>9</v>
      </c>
      <c r="H46" s="180" t="str">
        <f t="shared" si="5"/>
        <v>A-</v>
      </c>
      <c r="I46" s="46"/>
      <c r="J46" s="144">
        <v>9</v>
      </c>
      <c r="K46" s="145">
        <v>8</v>
      </c>
      <c r="L46" s="145"/>
      <c r="M46" s="54">
        <f t="shared" si="2"/>
        <v>8.5</v>
      </c>
      <c r="N46" s="179">
        <f t="shared" si="3"/>
        <v>9</v>
      </c>
      <c r="O46" s="181" t="str">
        <f t="shared" si="4"/>
        <v>A-</v>
      </c>
      <c r="P46" s="167">
        <v>9</v>
      </c>
      <c r="Q46" s="168">
        <v>8.4</v>
      </c>
      <c r="R46" s="35"/>
      <c r="S46" s="35"/>
    </row>
    <row r="47" spans="1:19" ht="16.5" thickTop="1" thickBot="1">
      <c r="A47" s="47">
        <v>33</v>
      </c>
      <c r="B47" s="52" t="str">
        <f>DATOS!B44</f>
        <v>TONATO YUGCHA STALIN JOEL</v>
      </c>
      <c r="C47" s="144">
        <v>8</v>
      </c>
      <c r="D47" s="145">
        <v>9</v>
      </c>
      <c r="E47" s="145"/>
      <c r="F47" s="54">
        <f t="shared" si="0"/>
        <v>8.5</v>
      </c>
      <c r="G47" s="179">
        <f t="shared" si="1"/>
        <v>9</v>
      </c>
      <c r="H47" s="180" t="str">
        <f t="shared" si="5"/>
        <v>A-</v>
      </c>
      <c r="I47" s="46"/>
      <c r="J47" s="144">
        <v>8</v>
      </c>
      <c r="K47" s="145">
        <v>8</v>
      </c>
      <c r="L47" s="145"/>
      <c r="M47" s="54">
        <f t="shared" si="2"/>
        <v>8</v>
      </c>
      <c r="N47" s="179">
        <f t="shared" si="3"/>
        <v>8</v>
      </c>
      <c r="O47" s="181" t="str">
        <f t="shared" si="4"/>
        <v>B+</v>
      </c>
      <c r="P47" s="167">
        <v>8</v>
      </c>
      <c r="Q47" s="168">
        <v>10</v>
      </c>
      <c r="R47" s="35"/>
      <c r="S47" s="35"/>
    </row>
    <row r="48" spans="1:19" ht="16.5" thickTop="1" thickBot="1">
      <c r="A48" s="47">
        <v>34</v>
      </c>
      <c r="B48" s="52" t="str">
        <f>DATOS!B45</f>
        <v>VILLACRESES MUÑOZ MARIA LUCRECIA</v>
      </c>
      <c r="C48" s="144">
        <v>9.25</v>
      </c>
      <c r="D48" s="145">
        <v>9</v>
      </c>
      <c r="E48" s="145"/>
      <c r="F48" s="54">
        <f t="shared" si="0"/>
        <v>9.1199999999999992</v>
      </c>
      <c r="G48" s="179">
        <f t="shared" si="1"/>
        <v>9</v>
      </c>
      <c r="H48" s="180" t="str">
        <f t="shared" si="5"/>
        <v>A-</v>
      </c>
      <c r="I48" s="46"/>
      <c r="J48" s="144">
        <v>7.5</v>
      </c>
      <c r="K48" s="145">
        <v>10</v>
      </c>
      <c r="L48" s="145"/>
      <c r="M48" s="54">
        <f t="shared" si="2"/>
        <v>8.75</v>
      </c>
      <c r="N48" s="179">
        <f t="shared" si="3"/>
        <v>9</v>
      </c>
      <c r="O48" s="181" t="str">
        <f t="shared" si="4"/>
        <v>A-</v>
      </c>
      <c r="P48" s="167">
        <v>7.75</v>
      </c>
      <c r="Q48" s="168">
        <v>2.2999999999999998</v>
      </c>
      <c r="R48" s="35"/>
      <c r="S48" s="35"/>
    </row>
    <row r="49" spans="1:19" ht="16.5" thickTop="1" thickBot="1">
      <c r="A49" s="47">
        <v>35</v>
      </c>
      <c r="B49" s="52" t="str">
        <f>DATOS!B46</f>
        <v>ZAMORA LEAL MAYKEL JOSUE</v>
      </c>
      <c r="C49" s="144">
        <v>5.75</v>
      </c>
      <c r="D49" s="145">
        <v>7.25</v>
      </c>
      <c r="E49" s="145"/>
      <c r="F49" s="54">
        <f t="shared" si="0"/>
        <v>6.5</v>
      </c>
      <c r="G49" s="179">
        <f t="shared" si="1"/>
        <v>7</v>
      </c>
      <c r="H49" s="180" t="str">
        <f t="shared" si="5"/>
        <v>B-</v>
      </c>
      <c r="I49" s="46"/>
      <c r="J49" s="144">
        <v>5.5</v>
      </c>
      <c r="K49" s="145">
        <v>10</v>
      </c>
      <c r="L49" s="145"/>
      <c r="M49" s="54">
        <f t="shared" si="2"/>
        <v>7.75</v>
      </c>
      <c r="N49" s="179">
        <f t="shared" si="3"/>
        <v>8</v>
      </c>
      <c r="O49" s="181" t="str">
        <f t="shared" si="4"/>
        <v>B+</v>
      </c>
      <c r="P49" s="167">
        <v>6.81</v>
      </c>
      <c r="Q49" s="168">
        <v>6.5</v>
      </c>
      <c r="R49" s="35"/>
      <c r="S49" s="35"/>
    </row>
    <row r="50" spans="1:19" ht="16.5" thickTop="1" thickBot="1">
      <c r="A50" s="47">
        <v>36</v>
      </c>
      <c r="B50" s="52">
        <f>DATOS!B47</f>
        <v>0</v>
      </c>
      <c r="C50" s="144"/>
      <c r="D50" s="145"/>
      <c r="E50" s="145"/>
      <c r="F50" s="54" t="e">
        <f t="shared" si="0"/>
        <v>#DIV/0!</v>
      </c>
      <c r="G50" s="179" t="e">
        <f t="shared" si="1"/>
        <v>#DIV/0!</v>
      </c>
      <c r="H50" s="180" t="e">
        <f t="shared" si="5"/>
        <v>#DIV/0!</v>
      </c>
      <c r="I50" s="46"/>
      <c r="J50" s="144"/>
      <c r="K50" s="145"/>
      <c r="L50" s="145"/>
      <c r="M50" s="54" t="e">
        <f t="shared" si="2"/>
        <v>#DIV/0!</v>
      </c>
      <c r="N50" s="179" t="e">
        <f t="shared" si="3"/>
        <v>#DIV/0!</v>
      </c>
      <c r="O50" s="181" t="e">
        <f t="shared" si="4"/>
        <v>#DIV/0!</v>
      </c>
      <c r="P50" s="57"/>
      <c r="Q50" s="57"/>
      <c r="R50" s="35"/>
      <c r="S50" s="35"/>
    </row>
    <row r="51" spans="1:19" ht="16.5" thickTop="1" thickBot="1">
      <c r="A51" s="47">
        <v>37</v>
      </c>
      <c r="B51" s="52">
        <f>DATOS!B48</f>
        <v>0</v>
      </c>
      <c r="C51" s="144"/>
      <c r="D51" s="145"/>
      <c r="E51" s="145"/>
      <c r="F51" s="54" t="e">
        <f t="shared" si="0"/>
        <v>#DIV/0!</v>
      </c>
      <c r="G51" s="179" t="e">
        <f t="shared" si="1"/>
        <v>#DIV/0!</v>
      </c>
      <c r="H51" s="180" t="e">
        <f t="shared" si="5"/>
        <v>#DIV/0!</v>
      </c>
      <c r="I51" s="46"/>
      <c r="J51" s="57"/>
      <c r="K51" s="57"/>
      <c r="L51" s="58"/>
      <c r="M51" s="54" t="e">
        <f t="shared" si="2"/>
        <v>#DIV/0!</v>
      </c>
      <c r="N51" s="179" t="e">
        <f t="shared" si="3"/>
        <v>#DIV/0!</v>
      </c>
      <c r="O51" s="181" t="e">
        <f t="shared" si="4"/>
        <v>#DIV/0!</v>
      </c>
      <c r="P51" s="57"/>
      <c r="Q51" s="57"/>
      <c r="R51" s="35"/>
      <c r="S51" s="35"/>
    </row>
    <row r="52" spans="1:19" ht="16.5" thickTop="1" thickBot="1">
      <c r="A52" s="47">
        <v>38</v>
      </c>
      <c r="B52" s="52">
        <f>DATOS!B49</f>
        <v>0</v>
      </c>
      <c r="C52" s="55"/>
      <c r="D52" s="55"/>
      <c r="E52" s="56"/>
      <c r="F52" s="54" t="e">
        <f t="shared" si="0"/>
        <v>#DIV/0!</v>
      </c>
      <c r="G52" s="179" t="e">
        <f t="shared" si="1"/>
        <v>#DIV/0!</v>
      </c>
      <c r="H52" s="180" t="e">
        <f t="shared" si="5"/>
        <v>#DIV/0!</v>
      </c>
      <c r="I52" s="46"/>
      <c r="J52" s="57"/>
      <c r="K52" s="57"/>
      <c r="L52" s="58"/>
      <c r="M52" s="54" t="e">
        <f t="shared" si="2"/>
        <v>#DIV/0!</v>
      </c>
      <c r="N52" s="179" t="e">
        <f t="shared" si="3"/>
        <v>#DIV/0!</v>
      </c>
      <c r="O52" s="181" t="e">
        <f t="shared" si="4"/>
        <v>#DIV/0!</v>
      </c>
      <c r="P52" s="57"/>
      <c r="Q52" s="57"/>
      <c r="R52" s="35"/>
      <c r="S52" s="35"/>
    </row>
    <row r="53" spans="1:19" ht="16.5" thickTop="1" thickBot="1">
      <c r="A53" s="47">
        <v>39</v>
      </c>
      <c r="B53" s="52">
        <f>DATOS!B50</f>
        <v>0</v>
      </c>
      <c r="C53" s="55"/>
      <c r="D53" s="55"/>
      <c r="E53" s="56"/>
      <c r="F53" s="54" t="e">
        <f t="shared" si="0"/>
        <v>#DIV/0!</v>
      </c>
      <c r="G53" s="179" t="e">
        <f t="shared" si="1"/>
        <v>#DIV/0!</v>
      </c>
      <c r="H53" s="180" t="e">
        <f t="shared" si="5"/>
        <v>#DIV/0!</v>
      </c>
      <c r="I53" s="46"/>
      <c r="J53" s="57"/>
      <c r="K53" s="57"/>
      <c r="L53" s="58"/>
      <c r="M53" s="54" t="e">
        <f t="shared" si="2"/>
        <v>#DIV/0!</v>
      </c>
      <c r="N53" s="179" t="e">
        <f t="shared" si="3"/>
        <v>#DIV/0!</v>
      </c>
      <c r="O53" s="181" t="e">
        <f t="shared" si="4"/>
        <v>#DIV/0!</v>
      </c>
      <c r="P53" s="57"/>
      <c r="Q53" s="57"/>
      <c r="R53" s="35"/>
      <c r="S53" s="35"/>
    </row>
    <row r="54" spans="1:19" ht="16.5" thickTop="1" thickBot="1">
      <c r="A54" s="47">
        <v>40</v>
      </c>
      <c r="B54" s="52">
        <f>DATOS!B51</f>
        <v>0</v>
      </c>
      <c r="C54" s="55"/>
      <c r="D54" s="55"/>
      <c r="E54" s="56"/>
      <c r="F54" s="54" t="e">
        <f t="shared" si="0"/>
        <v>#DIV/0!</v>
      </c>
      <c r="G54" s="179" t="e">
        <f t="shared" si="1"/>
        <v>#DIV/0!</v>
      </c>
      <c r="H54" s="180" t="e">
        <f t="shared" si="5"/>
        <v>#DIV/0!</v>
      </c>
      <c r="I54" s="46"/>
      <c r="J54" s="57"/>
      <c r="K54" s="57"/>
      <c r="L54" s="57"/>
      <c r="M54" s="54" t="e">
        <f t="shared" si="2"/>
        <v>#DIV/0!</v>
      </c>
      <c r="N54" s="179" t="e">
        <f t="shared" si="3"/>
        <v>#DIV/0!</v>
      </c>
      <c r="O54" s="181" t="e">
        <f t="shared" si="4"/>
        <v>#DIV/0!</v>
      </c>
      <c r="P54" s="57"/>
      <c r="Q54" s="57"/>
      <c r="R54" s="35"/>
      <c r="S54" s="35"/>
    </row>
    <row r="55" spans="1:19" ht="16.5" thickTop="1" thickBot="1">
      <c r="A55" s="47">
        <v>41</v>
      </c>
      <c r="B55" s="52">
        <f>DATOS!B52</f>
        <v>0</v>
      </c>
      <c r="C55" s="55"/>
      <c r="D55" s="55"/>
      <c r="E55" s="56"/>
      <c r="F55" s="54" t="e">
        <f t="shared" si="0"/>
        <v>#DIV/0!</v>
      </c>
      <c r="G55" s="179" t="e">
        <f t="shared" si="1"/>
        <v>#DIV/0!</v>
      </c>
      <c r="H55" s="180" t="e">
        <f t="shared" si="5"/>
        <v>#DIV/0!</v>
      </c>
      <c r="I55" s="46"/>
      <c r="J55" s="57"/>
      <c r="K55" s="57"/>
      <c r="L55" s="57"/>
      <c r="M55" s="54" t="e">
        <f t="shared" si="2"/>
        <v>#DIV/0!</v>
      </c>
      <c r="N55" s="179" t="e">
        <f t="shared" si="3"/>
        <v>#DIV/0!</v>
      </c>
      <c r="O55" s="181" t="e">
        <f t="shared" si="4"/>
        <v>#DIV/0!</v>
      </c>
      <c r="P55" s="57"/>
      <c r="Q55" s="57"/>
      <c r="R55" s="35"/>
      <c r="S55" s="35"/>
    </row>
    <row r="56" spans="1:19" ht="16.5" thickTop="1" thickBot="1">
      <c r="A56" s="47">
        <v>42</v>
      </c>
      <c r="B56" s="52">
        <f>DATOS!B53</f>
        <v>0</v>
      </c>
      <c r="C56" s="55"/>
      <c r="D56" s="55"/>
      <c r="E56" s="56"/>
      <c r="F56" s="54" t="e">
        <f t="shared" si="0"/>
        <v>#DIV/0!</v>
      </c>
      <c r="G56" s="179" t="e">
        <f t="shared" si="1"/>
        <v>#DIV/0!</v>
      </c>
      <c r="H56" s="180" t="e">
        <f t="shared" si="5"/>
        <v>#DIV/0!</v>
      </c>
      <c r="I56" s="46"/>
      <c r="J56" s="57"/>
      <c r="K56" s="57"/>
      <c r="L56" s="57"/>
      <c r="M56" s="54" t="e">
        <f t="shared" si="2"/>
        <v>#DIV/0!</v>
      </c>
      <c r="N56" s="179" t="e">
        <f t="shared" si="3"/>
        <v>#DIV/0!</v>
      </c>
      <c r="O56" s="181" t="e">
        <f t="shared" si="4"/>
        <v>#DIV/0!</v>
      </c>
      <c r="P56" s="57"/>
      <c r="Q56" s="57"/>
      <c r="R56" s="35"/>
      <c r="S56" s="35"/>
    </row>
    <row r="57" spans="1:19" ht="16.5" thickTop="1" thickBot="1">
      <c r="A57" s="47">
        <v>43</v>
      </c>
      <c r="B57" s="52">
        <f>DATOS!B54</f>
        <v>0</v>
      </c>
      <c r="C57" s="55"/>
      <c r="D57" s="55"/>
      <c r="E57" s="55"/>
      <c r="F57" s="54" t="e">
        <f t="shared" si="0"/>
        <v>#DIV/0!</v>
      </c>
      <c r="G57" s="179" t="e">
        <f t="shared" si="1"/>
        <v>#DIV/0!</v>
      </c>
      <c r="H57" s="180" t="e">
        <f t="shared" si="5"/>
        <v>#DIV/0!</v>
      </c>
      <c r="I57" s="46"/>
      <c r="J57" s="57"/>
      <c r="K57" s="57"/>
      <c r="L57" s="57"/>
      <c r="M57" s="54" t="e">
        <f t="shared" si="2"/>
        <v>#DIV/0!</v>
      </c>
      <c r="N57" s="179" t="e">
        <f t="shared" si="3"/>
        <v>#DIV/0!</v>
      </c>
      <c r="O57" s="181" t="e">
        <f t="shared" si="4"/>
        <v>#DIV/0!</v>
      </c>
      <c r="P57" s="57"/>
      <c r="Q57" s="57"/>
      <c r="R57" s="35"/>
      <c r="S57" s="35"/>
    </row>
    <row r="58" spans="1:19" ht="16.5" thickTop="1" thickBot="1">
      <c r="A58" s="47">
        <v>44</v>
      </c>
      <c r="B58" s="52">
        <f>DATOS!B55</f>
        <v>0</v>
      </c>
      <c r="C58" s="55"/>
      <c r="D58" s="55"/>
      <c r="E58" s="55"/>
      <c r="F58" s="54" t="e">
        <f t="shared" si="0"/>
        <v>#DIV/0!</v>
      </c>
      <c r="G58" s="179" t="e">
        <f t="shared" si="1"/>
        <v>#DIV/0!</v>
      </c>
      <c r="H58" s="180" t="e">
        <f t="shared" si="5"/>
        <v>#DIV/0!</v>
      </c>
      <c r="I58" s="46"/>
      <c r="J58" s="57"/>
      <c r="K58" s="57"/>
      <c r="L58" s="57"/>
      <c r="M58" s="54" t="e">
        <f t="shared" si="2"/>
        <v>#DIV/0!</v>
      </c>
      <c r="N58" s="179" t="e">
        <f t="shared" si="3"/>
        <v>#DIV/0!</v>
      </c>
      <c r="O58" s="181" t="e">
        <f t="shared" si="4"/>
        <v>#DIV/0!</v>
      </c>
      <c r="P58" s="57"/>
      <c r="Q58" s="57"/>
      <c r="R58" s="35"/>
      <c r="S58" s="35"/>
    </row>
    <row r="59" spans="1:19" ht="16.5" thickTop="1" thickBot="1">
      <c r="A59" s="48">
        <v>45</v>
      </c>
      <c r="B59" s="53">
        <f>DATOS!B56</f>
        <v>0</v>
      </c>
      <c r="C59" s="55"/>
      <c r="D59" s="55"/>
      <c r="E59" s="55"/>
      <c r="F59" s="54" t="e">
        <f t="shared" si="0"/>
        <v>#DIV/0!</v>
      </c>
      <c r="G59" s="179" t="e">
        <f t="shared" si="1"/>
        <v>#DIV/0!</v>
      </c>
      <c r="H59" s="180" t="e">
        <f t="shared" si="5"/>
        <v>#DIV/0!</v>
      </c>
      <c r="I59" s="49"/>
      <c r="J59" s="57"/>
      <c r="K59" s="57"/>
      <c r="L59" s="57"/>
      <c r="M59" s="54" t="e">
        <f t="shared" si="2"/>
        <v>#DIV/0!</v>
      </c>
      <c r="N59" s="179" t="e">
        <f t="shared" si="3"/>
        <v>#DIV/0!</v>
      </c>
      <c r="O59" s="181" t="e">
        <f t="shared" si="4"/>
        <v>#DIV/0!</v>
      </c>
      <c r="P59" s="57"/>
      <c r="Q59" s="57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O11:O14"/>
    <mergeCell ref="P12:P14"/>
    <mergeCell ref="Q12:Q14"/>
    <mergeCell ref="A10:A14"/>
    <mergeCell ref="B10:B14"/>
    <mergeCell ref="C10:F10"/>
    <mergeCell ref="J10:O10"/>
    <mergeCell ref="P10:Q11"/>
    <mergeCell ref="C11:E13"/>
    <mergeCell ref="F11:F14"/>
    <mergeCell ref="H11:H14"/>
    <mergeCell ref="J11:L13"/>
    <mergeCell ref="M11:M14"/>
    <mergeCell ref="G11:G14"/>
    <mergeCell ref="N11:N14"/>
    <mergeCell ref="A1:M1"/>
    <mergeCell ref="C3:H3"/>
    <mergeCell ref="I3:M3"/>
    <mergeCell ref="C4:H4"/>
    <mergeCell ref="I4:M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C7" workbookViewId="0">
      <selection activeCell="U47" sqref="U47"/>
    </sheetView>
  </sheetViews>
  <sheetFormatPr baseColWidth="10" defaultRowHeight="15"/>
  <cols>
    <col min="1" max="1" width="8.7109375" style="31" customWidth="1"/>
    <col min="2" max="2" width="45.42578125" style="31" customWidth="1"/>
    <col min="3" max="19" width="7.7109375" style="31" customWidth="1"/>
    <col min="20" max="20" width="23.7109375" style="31" bestFit="1" customWidth="1"/>
    <col min="21" max="23" width="7.7109375" style="31" customWidth="1"/>
    <col min="24" max="16384" width="11.42578125" style="31"/>
  </cols>
  <sheetData>
    <row r="1" spans="1:23">
      <c r="A1" s="306" t="s">
        <v>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</row>
    <row r="2" spans="1:23" ht="55.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20.25" thickTop="1" thickBot="1">
      <c r="A5" s="59"/>
      <c r="B5" s="60" t="s">
        <v>28</v>
      </c>
      <c r="C5" s="307" t="str">
        <f>DATOS!B5</f>
        <v>Décimo EGB A</v>
      </c>
      <c r="D5" s="308"/>
      <c r="E5" s="308"/>
      <c r="F5" s="308"/>
      <c r="G5" s="308"/>
      <c r="H5" s="308"/>
      <c r="I5" s="309"/>
      <c r="J5" s="61"/>
      <c r="K5" s="316" t="s">
        <v>45</v>
      </c>
      <c r="L5" s="316"/>
      <c r="M5" s="316"/>
      <c r="N5" s="316"/>
      <c r="O5" s="313"/>
      <c r="P5" s="314"/>
      <c r="Q5" s="314"/>
      <c r="R5" s="314"/>
      <c r="S5" s="315"/>
      <c r="T5" s="30"/>
      <c r="U5" s="30"/>
      <c r="V5" s="317"/>
      <c r="W5" s="317"/>
    </row>
    <row r="6" spans="1:23" ht="20.25" thickTop="1" thickBot="1">
      <c r="A6" s="59"/>
      <c r="B6" s="60" t="s">
        <v>30</v>
      </c>
      <c r="C6" s="307" t="str">
        <f>DATOS!B4</f>
        <v>Msc. Myrian Zurita</v>
      </c>
      <c r="D6" s="308"/>
      <c r="E6" s="308"/>
      <c r="F6" s="308"/>
      <c r="G6" s="308"/>
      <c r="H6" s="308"/>
      <c r="I6" s="309"/>
      <c r="J6" s="61"/>
      <c r="K6" s="316" t="s">
        <v>46</v>
      </c>
      <c r="L6" s="316"/>
      <c r="M6" s="316"/>
      <c r="N6" s="316"/>
      <c r="O6" s="313"/>
      <c r="P6" s="314"/>
      <c r="Q6" s="314"/>
      <c r="R6" s="314"/>
      <c r="S6" s="315"/>
      <c r="T6" s="30"/>
      <c r="U6" s="30"/>
      <c r="V6" s="317"/>
      <c r="W6" s="317"/>
    </row>
    <row r="7" spans="1:23" ht="20.25" thickTop="1" thickBot="1">
      <c r="A7" s="59"/>
      <c r="B7" s="60" t="s">
        <v>32</v>
      </c>
      <c r="C7" s="307" t="str">
        <f>DATOS!B3</f>
        <v>Educación Cultural y Artitica</v>
      </c>
      <c r="D7" s="308"/>
      <c r="E7" s="308"/>
      <c r="F7" s="308"/>
      <c r="G7" s="308"/>
      <c r="H7" s="308"/>
      <c r="I7" s="309"/>
      <c r="J7" s="61"/>
      <c r="K7" s="316" t="s">
        <v>48</v>
      </c>
      <c r="L7" s="316"/>
      <c r="M7" s="316"/>
      <c r="N7" s="316"/>
      <c r="O7" s="307" t="str">
        <f>DATOS!B6</f>
        <v>Lic. Gabriela Banda</v>
      </c>
      <c r="P7" s="308"/>
      <c r="Q7" s="308"/>
      <c r="R7" s="308"/>
      <c r="S7" s="309"/>
      <c r="T7" s="30"/>
      <c r="U7" s="30"/>
      <c r="V7" s="30"/>
      <c r="W7" s="30"/>
    </row>
    <row r="8" spans="1:23" ht="20.25" thickTop="1" thickBot="1">
      <c r="A8" s="30"/>
      <c r="B8" s="62" t="s">
        <v>66</v>
      </c>
      <c r="C8" s="310" t="str">
        <f>DATOS!B2</f>
        <v>2023 - 2024</v>
      </c>
      <c r="D8" s="311"/>
      <c r="E8" s="311"/>
      <c r="F8" s="311"/>
      <c r="G8" s="311"/>
      <c r="H8" s="311"/>
      <c r="I8" s="312"/>
      <c r="J8" s="30"/>
      <c r="K8" s="318" t="s">
        <v>47</v>
      </c>
      <c r="L8" s="318"/>
      <c r="M8" s="318"/>
      <c r="N8" s="318"/>
      <c r="O8" s="310" t="s">
        <v>59</v>
      </c>
      <c r="P8" s="311"/>
      <c r="Q8" s="311"/>
      <c r="R8" s="311"/>
      <c r="S8" s="312"/>
      <c r="T8" s="30"/>
      <c r="U8" s="30"/>
      <c r="V8" s="30"/>
      <c r="W8" s="30"/>
    </row>
    <row r="9" spans="1:23" ht="20.25" thickTop="1" thickBot="1">
      <c r="B9" s="60" t="s">
        <v>29</v>
      </c>
      <c r="C9" s="285" t="s">
        <v>92</v>
      </c>
      <c r="D9" s="286"/>
      <c r="E9" s="286"/>
      <c r="F9" s="286"/>
      <c r="G9" s="286"/>
      <c r="H9" s="286"/>
      <c r="I9" s="287"/>
    </row>
    <row r="10" spans="1:23" ht="15.75" thickTop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4"/>
    </row>
    <row r="11" spans="1:23" ht="29.25" customHeight="1" thickBot="1">
      <c r="A11" s="279" t="s">
        <v>49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80"/>
    </row>
    <row r="12" spans="1:23" ht="16.5" customHeight="1" thickTop="1" thickBot="1">
      <c r="A12" s="330" t="s">
        <v>33</v>
      </c>
      <c r="B12" s="330" t="s">
        <v>34</v>
      </c>
      <c r="C12" s="333" t="s">
        <v>61</v>
      </c>
      <c r="D12" s="333"/>
      <c r="E12" s="333"/>
      <c r="F12" s="333"/>
      <c r="G12" s="334" t="s">
        <v>52</v>
      </c>
      <c r="H12" s="334"/>
      <c r="I12" s="334"/>
      <c r="J12" s="334"/>
      <c r="K12" s="335" t="s">
        <v>53</v>
      </c>
      <c r="L12" s="336" t="s">
        <v>37</v>
      </c>
      <c r="M12" s="336"/>
      <c r="N12" s="336"/>
      <c r="O12" s="336"/>
      <c r="P12" s="331" t="s">
        <v>50</v>
      </c>
      <c r="Q12" s="340" t="s">
        <v>65</v>
      </c>
      <c r="R12" s="340" t="s">
        <v>170</v>
      </c>
      <c r="S12" s="300" t="s">
        <v>51</v>
      </c>
      <c r="T12" s="295" t="s">
        <v>115</v>
      </c>
      <c r="U12" s="288" t="s">
        <v>54</v>
      </c>
      <c r="V12" s="288"/>
      <c r="W12" s="288"/>
    </row>
    <row r="13" spans="1:23" ht="16.5" customHeight="1" thickTop="1" thickBot="1">
      <c r="A13" s="330"/>
      <c r="B13" s="330"/>
      <c r="C13" s="333"/>
      <c r="D13" s="333"/>
      <c r="E13" s="333"/>
      <c r="F13" s="333"/>
      <c r="G13" s="334"/>
      <c r="H13" s="334"/>
      <c r="I13" s="334"/>
      <c r="J13" s="334"/>
      <c r="K13" s="335"/>
      <c r="L13" s="336"/>
      <c r="M13" s="336"/>
      <c r="N13" s="336"/>
      <c r="O13" s="336"/>
      <c r="P13" s="332"/>
      <c r="Q13" s="341"/>
      <c r="R13" s="341"/>
      <c r="S13" s="301"/>
      <c r="T13" s="296"/>
      <c r="U13" s="288"/>
      <c r="V13" s="288"/>
      <c r="W13" s="288"/>
    </row>
    <row r="14" spans="1:23" ht="16.5" thickTop="1" thickBot="1">
      <c r="A14" s="330"/>
      <c r="B14" s="330"/>
      <c r="C14" s="337" t="s">
        <v>60</v>
      </c>
      <c r="D14" s="337" t="s">
        <v>62</v>
      </c>
      <c r="E14" s="337" t="s">
        <v>62</v>
      </c>
      <c r="F14" s="338">
        <v>0.45</v>
      </c>
      <c r="G14" s="337" t="s">
        <v>60</v>
      </c>
      <c r="H14" s="337" t="s">
        <v>62</v>
      </c>
      <c r="I14" s="337" t="s">
        <v>62</v>
      </c>
      <c r="J14" s="338">
        <v>0.45</v>
      </c>
      <c r="K14" s="335"/>
      <c r="L14" s="342" t="s">
        <v>63</v>
      </c>
      <c r="M14" s="344">
        <v>0.05</v>
      </c>
      <c r="N14" s="342" t="s">
        <v>64</v>
      </c>
      <c r="O14" s="344">
        <v>0.05</v>
      </c>
      <c r="P14" s="332"/>
      <c r="Q14" s="341"/>
      <c r="R14" s="341"/>
      <c r="S14" s="301"/>
      <c r="T14" s="296"/>
      <c r="U14" s="288"/>
      <c r="V14" s="288"/>
      <c r="W14" s="288"/>
    </row>
    <row r="15" spans="1:23" ht="72.75" thickTop="1" thickBot="1">
      <c r="A15" s="330"/>
      <c r="B15" s="330"/>
      <c r="C15" s="337"/>
      <c r="D15" s="337"/>
      <c r="E15" s="337"/>
      <c r="F15" s="339"/>
      <c r="G15" s="337"/>
      <c r="H15" s="337"/>
      <c r="I15" s="337"/>
      <c r="J15" s="339" t="s">
        <v>55</v>
      </c>
      <c r="K15" s="335"/>
      <c r="L15" s="343"/>
      <c r="M15" s="345"/>
      <c r="N15" s="343"/>
      <c r="O15" s="345"/>
      <c r="P15" s="332"/>
      <c r="Q15" s="341"/>
      <c r="R15" s="341"/>
      <c r="S15" s="301"/>
      <c r="T15" s="297"/>
      <c r="U15" s="65" t="s">
        <v>56</v>
      </c>
      <c r="V15" s="65" t="s">
        <v>57</v>
      </c>
      <c r="W15" s="66" t="s">
        <v>58</v>
      </c>
    </row>
    <row r="16" spans="1:23" ht="17.25" thickTop="1" thickBot="1">
      <c r="A16" s="73">
        <v>1</v>
      </c>
      <c r="B16" s="74" t="str">
        <f>DATOS!B12</f>
        <v>AIMACAÑA LEMA JOSELYN MARISOL</v>
      </c>
      <c r="C16" s="75">
        <f>'NOTAS 2DO TRIMESTRE'!F15</f>
        <v>6.62</v>
      </c>
      <c r="D16" s="75">
        <f>ROUND(C16,0)</f>
        <v>7</v>
      </c>
      <c r="E16" s="75" t="str">
        <f>'NOTAS 2DO TRIMESTRE'!H15</f>
        <v>B-</v>
      </c>
      <c r="F16" s="76">
        <f>C16*0.45</f>
        <v>2.9790000000000001</v>
      </c>
      <c r="G16" s="75">
        <f>'NOTAS 2DO TRIMESTRE'!M15</f>
        <v>7.5</v>
      </c>
      <c r="H16" s="75">
        <f>ROUND(G16,0)</f>
        <v>8</v>
      </c>
      <c r="I16" s="75" t="str">
        <f>'NOTAS 2DO TRIMESTRE'!O15</f>
        <v>B+</v>
      </c>
      <c r="J16" s="76">
        <f>G16*0.45</f>
        <v>3.375</v>
      </c>
      <c r="K16" s="77">
        <f>F16+J16</f>
        <v>6.3540000000000001</v>
      </c>
      <c r="L16" s="75">
        <f>'NOTAS 2DO TRIMESTRE'!P15</f>
        <v>8.3699999999999992</v>
      </c>
      <c r="M16" s="76">
        <f>L16*0.05</f>
        <v>0.41849999999999998</v>
      </c>
      <c r="N16" s="75">
        <f>'NOTAS 2DO TRIMESTRE'!Q15</f>
        <v>5.4</v>
      </c>
      <c r="O16" s="76">
        <f>N16*0.05</f>
        <v>0.27</v>
      </c>
      <c r="P16" s="77">
        <f>M16+O16</f>
        <v>0.6885</v>
      </c>
      <c r="Q16" s="78">
        <f>K16+P16</f>
        <v>7.0425000000000004</v>
      </c>
      <c r="R16" s="78">
        <f>ROUND(Q16,0)</f>
        <v>7</v>
      </c>
      <c r="S16" s="79" t="str">
        <f>IF(ROUND(Q16,0)=10,"A+",IF(ROUND(Q16,0)=9,"A-",IF(ROUND(Q16,0)=8,"B+",IF(ROUND(Q16,0)=7,"B-",IF(ROUND(Q16,0)=6,"C+",IF(ROUND(Q16,0)=5,"C-",IF(ROUND(17,0)=4,"D+",IF(ROUND(Q16,0)=3,"D-",IF(ROUND(Q16,0)=2,"E+",IF(ROUND(Q16,0)=1,"E-"))))))))))</f>
        <v>B-</v>
      </c>
      <c r="T16" s="115" t="str">
        <f>IF(Q16="","",IF(AND(Q16&gt;=7,Q16&lt;=10),"APROBADO",IF(AND(Q16&gt;=0,Q16&lt;7),"RECUPERACIÓN PEDAGOGICA")))</f>
        <v>APROBADO</v>
      </c>
      <c r="U16" s="68"/>
      <c r="V16" s="68"/>
      <c r="W16" s="68"/>
    </row>
    <row r="17" spans="1:23" ht="17.25" thickTop="1" thickBot="1">
      <c r="A17" s="73">
        <v>2</v>
      </c>
      <c r="B17" s="74" t="str">
        <f>DATOS!B13</f>
        <v>ALMACHI YUGCHA AYAN MIGUEL</v>
      </c>
      <c r="C17" s="75">
        <f>'NOTAS 2DO TRIMESTRE'!F16</f>
        <v>8</v>
      </c>
      <c r="D17" s="75">
        <f t="shared" ref="D17:D60" si="0">ROUND(C17,0)</f>
        <v>8</v>
      </c>
      <c r="E17" s="75" t="str">
        <f>'NOTAS 2DO TRIMESTRE'!H16</f>
        <v>B+</v>
      </c>
      <c r="F17" s="76">
        <f t="shared" ref="F17:F60" si="1">C17*0.45</f>
        <v>3.6</v>
      </c>
      <c r="G17" s="75">
        <f>'NOTAS 2DO TRIMESTRE'!M16</f>
        <v>7</v>
      </c>
      <c r="H17" s="75">
        <f t="shared" ref="H17:H60" si="2">ROUND(G17,0)</f>
        <v>7</v>
      </c>
      <c r="I17" s="75" t="str">
        <f>'NOTAS 2DO TRIMESTRE'!O16</f>
        <v>B-</v>
      </c>
      <c r="J17" s="76">
        <f t="shared" ref="J17:J60" si="3">G17*0.45</f>
        <v>3.15</v>
      </c>
      <c r="K17" s="77">
        <f t="shared" ref="K17:K60" si="4">F17+J17</f>
        <v>6.75</v>
      </c>
      <c r="L17" s="75">
        <f>'NOTAS 2DO TRIMESTRE'!P16</f>
        <v>7</v>
      </c>
      <c r="M17" s="76">
        <f t="shared" ref="M17:M60" si="5">L17*0.05</f>
        <v>0.35000000000000003</v>
      </c>
      <c r="N17" s="75">
        <f>'NOTAS 2DO TRIMESTRE'!Q16</f>
        <v>6</v>
      </c>
      <c r="O17" s="76">
        <f t="shared" ref="O17:O60" si="6">N17*0.05</f>
        <v>0.30000000000000004</v>
      </c>
      <c r="P17" s="77">
        <f t="shared" ref="P17:P60" si="7">M17+O17</f>
        <v>0.65000000000000013</v>
      </c>
      <c r="Q17" s="78">
        <f t="shared" ref="Q17:R60" si="8">K17+P17</f>
        <v>7.4</v>
      </c>
      <c r="R17" s="78">
        <f t="shared" ref="R17:R61" si="9">ROUND(Q17,0)</f>
        <v>7</v>
      </c>
      <c r="S17" s="79" t="str">
        <f t="shared" ref="S17:S60" si="10">IF(ROUND(Q17,0)=10,"A+",IF(ROUND(Q17,0)=9,"A-",IF(ROUND(Q17,0)=8,"B+",IF(ROUND(Q17,0)=7,"B-",IF(ROUND(Q17,0)=6,"C+",IF(ROUND(Q17,0)=5,"C-",IF(ROUND(17,0)=4,"D+",IF(ROUND(Q17,0)=3,"D-",IF(ROUND(Q17,0)=2,"E+",IF(ROUND(Q17,0)=1,"E-"))))))))))</f>
        <v>B-</v>
      </c>
      <c r="T17" s="115" t="str">
        <f t="shared" ref="T17:T60" si="11">IF(Q17="","",IF(AND(Q17&gt;=7,Q17&lt;=10),"APROBADO",IF(AND(Q17&gt;=0,Q17&lt;7),"RECUPERACIÓN PEDAGOGICA")))</f>
        <v>APROBADO</v>
      </c>
      <c r="U17" s="68"/>
      <c r="V17" s="68"/>
      <c r="W17" s="68"/>
    </row>
    <row r="18" spans="1:23" ht="17.25" thickTop="1" thickBot="1">
      <c r="A18" s="73">
        <v>3</v>
      </c>
      <c r="B18" s="74" t="str">
        <f>DATOS!B14</f>
        <v>ANCHUNDIA PLUAS KEYSI BETSABED</v>
      </c>
      <c r="C18" s="75">
        <f>'NOTAS 2DO TRIMESTRE'!F17</f>
        <v>10</v>
      </c>
      <c r="D18" s="75">
        <f t="shared" si="0"/>
        <v>10</v>
      </c>
      <c r="E18" s="75" t="str">
        <f>'NOTAS 2DO TRIMESTRE'!H17</f>
        <v>A+</v>
      </c>
      <c r="F18" s="76">
        <f t="shared" si="1"/>
        <v>4.5</v>
      </c>
      <c r="G18" s="75">
        <f>'NOTAS 2DO TRIMESTRE'!M17</f>
        <v>10</v>
      </c>
      <c r="H18" s="75">
        <f t="shared" si="2"/>
        <v>10</v>
      </c>
      <c r="I18" s="75" t="str">
        <f>'NOTAS 2DO TRIMESTRE'!O17</f>
        <v>A+</v>
      </c>
      <c r="J18" s="76">
        <f t="shared" si="3"/>
        <v>4.5</v>
      </c>
      <c r="K18" s="77">
        <f t="shared" si="4"/>
        <v>9</v>
      </c>
      <c r="L18" s="75">
        <f>'NOTAS 2DO TRIMESTRE'!P17</f>
        <v>9.75</v>
      </c>
      <c r="M18" s="76">
        <f t="shared" si="5"/>
        <v>0.48750000000000004</v>
      </c>
      <c r="N18" s="75">
        <f>'NOTAS 2DO TRIMESTRE'!Q17</f>
        <v>9</v>
      </c>
      <c r="O18" s="76">
        <f t="shared" si="6"/>
        <v>0.45</v>
      </c>
      <c r="P18" s="77">
        <f t="shared" si="7"/>
        <v>0.9375</v>
      </c>
      <c r="Q18" s="78">
        <f t="shared" si="8"/>
        <v>9.9375</v>
      </c>
      <c r="R18" s="78">
        <f t="shared" si="9"/>
        <v>10</v>
      </c>
      <c r="S18" s="79" t="str">
        <f t="shared" si="10"/>
        <v>A+</v>
      </c>
      <c r="T18" s="115" t="str">
        <f t="shared" si="11"/>
        <v>APROBADO</v>
      </c>
      <c r="U18" s="68"/>
      <c r="V18" s="68"/>
      <c r="W18" s="68"/>
    </row>
    <row r="19" spans="1:23" ht="17.25" thickTop="1" thickBot="1">
      <c r="A19" s="73">
        <v>4</v>
      </c>
      <c r="B19" s="74" t="str">
        <f>DATOS!B15</f>
        <v>ANCHUNDIA SUAREZ MAILY VALENTINA</v>
      </c>
      <c r="C19" s="75">
        <f>'NOTAS 2DO TRIMESTRE'!F18</f>
        <v>6.5</v>
      </c>
      <c r="D19" s="75">
        <f t="shared" si="0"/>
        <v>7</v>
      </c>
      <c r="E19" s="75" t="str">
        <f>'NOTAS 2DO TRIMESTRE'!H18</f>
        <v>B-</v>
      </c>
      <c r="F19" s="76">
        <f t="shared" si="1"/>
        <v>2.9250000000000003</v>
      </c>
      <c r="G19" s="75">
        <f>'NOTAS 2DO TRIMESTRE'!M18</f>
        <v>8</v>
      </c>
      <c r="H19" s="75">
        <f t="shared" si="2"/>
        <v>8</v>
      </c>
      <c r="I19" s="75" t="str">
        <f>'NOTAS 2DO TRIMESTRE'!O18</f>
        <v>B+</v>
      </c>
      <c r="J19" s="76">
        <f t="shared" si="3"/>
        <v>3.6</v>
      </c>
      <c r="K19" s="77">
        <f t="shared" si="4"/>
        <v>6.5250000000000004</v>
      </c>
      <c r="L19" s="75">
        <f>'NOTAS 2DO TRIMESTRE'!P18</f>
        <v>7.32</v>
      </c>
      <c r="M19" s="76">
        <f t="shared" si="5"/>
        <v>0.36600000000000005</v>
      </c>
      <c r="N19" s="75">
        <f>'NOTAS 2DO TRIMESTRE'!Q18</f>
        <v>3.2</v>
      </c>
      <c r="O19" s="76">
        <f t="shared" si="6"/>
        <v>0.16000000000000003</v>
      </c>
      <c r="P19" s="77">
        <f t="shared" si="7"/>
        <v>0.52600000000000002</v>
      </c>
      <c r="Q19" s="78">
        <f t="shared" si="8"/>
        <v>7.0510000000000002</v>
      </c>
      <c r="R19" s="78">
        <f t="shared" si="9"/>
        <v>7</v>
      </c>
      <c r="S19" s="79" t="str">
        <f t="shared" si="10"/>
        <v>B-</v>
      </c>
      <c r="T19" s="115" t="str">
        <f t="shared" si="11"/>
        <v>APROBADO</v>
      </c>
      <c r="U19" s="68"/>
      <c r="V19" s="68"/>
      <c r="W19" s="68"/>
    </row>
    <row r="20" spans="1:23" ht="17.25" thickTop="1" thickBot="1">
      <c r="A20" s="73">
        <v>5</v>
      </c>
      <c r="B20" s="74" t="str">
        <f>DATOS!B16</f>
        <v>CAIZA CHICAIZA BRYAN JOEL</v>
      </c>
      <c r="C20" s="75">
        <f>'NOTAS 2DO TRIMESTRE'!F19</f>
        <v>8.3699999999999992</v>
      </c>
      <c r="D20" s="75">
        <f t="shared" si="0"/>
        <v>8</v>
      </c>
      <c r="E20" s="75" t="str">
        <f>'NOTAS 2DO TRIMESTRE'!H19</f>
        <v>B+</v>
      </c>
      <c r="F20" s="76">
        <f t="shared" si="1"/>
        <v>3.7664999999999997</v>
      </c>
      <c r="G20" s="75">
        <f>'NOTAS 2DO TRIMESTRE'!M19</f>
        <v>7</v>
      </c>
      <c r="H20" s="75">
        <f t="shared" si="2"/>
        <v>7</v>
      </c>
      <c r="I20" s="75" t="str">
        <f>'NOTAS 2DO TRIMESTRE'!O19</f>
        <v>B-</v>
      </c>
      <c r="J20" s="76">
        <f t="shared" si="3"/>
        <v>3.15</v>
      </c>
      <c r="K20" s="77">
        <f t="shared" si="4"/>
        <v>6.9164999999999992</v>
      </c>
      <c r="L20" s="75">
        <f>'NOTAS 2DO TRIMESTRE'!P19</f>
        <v>7.5</v>
      </c>
      <c r="M20" s="76">
        <f t="shared" si="5"/>
        <v>0.375</v>
      </c>
      <c r="N20" s="75">
        <f>'NOTAS 2DO TRIMESTRE'!Q19</f>
        <v>8</v>
      </c>
      <c r="O20" s="76">
        <f t="shared" si="6"/>
        <v>0.4</v>
      </c>
      <c r="P20" s="77">
        <f t="shared" si="7"/>
        <v>0.77500000000000002</v>
      </c>
      <c r="Q20" s="78">
        <f t="shared" si="8"/>
        <v>7.6914999999999996</v>
      </c>
      <c r="R20" s="78">
        <f t="shared" si="9"/>
        <v>8</v>
      </c>
      <c r="S20" s="79" t="str">
        <f t="shared" si="10"/>
        <v>B+</v>
      </c>
      <c r="T20" s="115" t="str">
        <f t="shared" si="11"/>
        <v>APROBADO</v>
      </c>
      <c r="U20" s="68"/>
      <c r="V20" s="68"/>
      <c r="W20" s="68"/>
    </row>
    <row r="21" spans="1:23" ht="17.25" thickTop="1" thickBot="1">
      <c r="A21" s="73">
        <v>6</v>
      </c>
      <c r="B21" s="74" t="str">
        <f>DATOS!B17</f>
        <v>CASA CASA JOSUE DAVID</v>
      </c>
      <c r="C21" s="75">
        <f>'NOTAS 2DO TRIMESTRE'!F20</f>
        <v>6.75</v>
      </c>
      <c r="D21" s="75">
        <f t="shared" si="0"/>
        <v>7</v>
      </c>
      <c r="E21" s="75" t="str">
        <f>'NOTAS 2DO TRIMESTRE'!H20</f>
        <v>B-</v>
      </c>
      <c r="F21" s="76">
        <f t="shared" si="1"/>
        <v>3.0375000000000001</v>
      </c>
      <c r="G21" s="75">
        <f>'NOTAS 2DO TRIMESTRE'!M20</f>
        <v>9</v>
      </c>
      <c r="H21" s="75">
        <f t="shared" si="2"/>
        <v>9</v>
      </c>
      <c r="I21" s="75" t="str">
        <f>'NOTAS 2DO TRIMESTRE'!O20</f>
        <v>A-</v>
      </c>
      <c r="J21" s="76">
        <f t="shared" si="3"/>
        <v>4.05</v>
      </c>
      <c r="K21" s="77">
        <f t="shared" si="4"/>
        <v>7.0875000000000004</v>
      </c>
      <c r="L21" s="75">
        <f>'NOTAS 2DO TRIMESTRE'!P20</f>
        <v>7.93</v>
      </c>
      <c r="M21" s="76">
        <f t="shared" si="5"/>
        <v>0.39650000000000002</v>
      </c>
      <c r="N21" s="75">
        <f>'NOTAS 2DO TRIMESTRE'!Q20</f>
        <v>5.9</v>
      </c>
      <c r="O21" s="76">
        <f t="shared" si="6"/>
        <v>0.29500000000000004</v>
      </c>
      <c r="P21" s="77">
        <f t="shared" si="7"/>
        <v>0.6915</v>
      </c>
      <c r="Q21" s="78">
        <f t="shared" si="8"/>
        <v>7.7789999999999999</v>
      </c>
      <c r="R21" s="78">
        <f t="shared" si="9"/>
        <v>8</v>
      </c>
      <c r="S21" s="79" t="str">
        <f t="shared" si="10"/>
        <v>B+</v>
      </c>
      <c r="T21" s="115" t="str">
        <f t="shared" si="11"/>
        <v>APROBADO</v>
      </c>
      <c r="U21" s="68"/>
      <c r="V21" s="68"/>
      <c r="W21" s="68"/>
    </row>
    <row r="22" spans="1:23" ht="17.25" thickTop="1" thickBot="1">
      <c r="A22" s="73">
        <v>7</v>
      </c>
      <c r="B22" s="74" t="str">
        <f>DATOS!B18</f>
        <v>CASA TASINCHANA MARIA MERCEDES</v>
      </c>
      <c r="C22" s="75">
        <f>'NOTAS 2DO TRIMESTRE'!F21</f>
        <v>7</v>
      </c>
      <c r="D22" s="75">
        <f t="shared" si="0"/>
        <v>7</v>
      </c>
      <c r="E22" s="75" t="str">
        <f>'NOTAS 2DO TRIMESTRE'!H21</f>
        <v>B-</v>
      </c>
      <c r="F22" s="76">
        <f t="shared" si="1"/>
        <v>3.15</v>
      </c>
      <c r="G22" s="75">
        <f>'NOTAS 2DO TRIMESTRE'!M21</f>
        <v>7.25</v>
      </c>
      <c r="H22" s="75">
        <f t="shared" si="2"/>
        <v>7</v>
      </c>
      <c r="I22" s="75" t="str">
        <f>'NOTAS 2DO TRIMESTRE'!O21</f>
        <v>B-</v>
      </c>
      <c r="J22" s="76">
        <f t="shared" si="3"/>
        <v>3.2625000000000002</v>
      </c>
      <c r="K22" s="77">
        <f t="shared" si="4"/>
        <v>6.4124999999999996</v>
      </c>
      <c r="L22" s="75">
        <f>'NOTAS 2DO TRIMESTRE'!P21</f>
        <v>7.37</v>
      </c>
      <c r="M22" s="76">
        <f t="shared" si="5"/>
        <v>0.36850000000000005</v>
      </c>
      <c r="N22" s="75">
        <f>'NOTAS 2DO TRIMESTRE'!Q21</f>
        <v>5.2</v>
      </c>
      <c r="O22" s="76">
        <f t="shared" si="6"/>
        <v>0.26</v>
      </c>
      <c r="P22" s="77">
        <f t="shared" si="7"/>
        <v>0.62850000000000006</v>
      </c>
      <c r="Q22" s="78">
        <f t="shared" si="8"/>
        <v>7.0409999999999995</v>
      </c>
      <c r="R22" s="78">
        <f t="shared" si="9"/>
        <v>7</v>
      </c>
      <c r="S22" s="79" t="str">
        <f t="shared" si="10"/>
        <v>B-</v>
      </c>
      <c r="T22" s="115" t="str">
        <f t="shared" si="11"/>
        <v>APROBADO</v>
      </c>
      <c r="U22" s="68"/>
      <c r="V22" s="68"/>
      <c r="W22" s="68"/>
    </row>
    <row r="23" spans="1:23" ht="17.25" thickTop="1" thickBot="1">
      <c r="A23" s="73">
        <v>8</v>
      </c>
      <c r="B23" s="74" t="str">
        <f>DATOS!B19</f>
        <v>CASA TUSO KATTY LISETH</v>
      </c>
      <c r="C23" s="75">
        <f>'NOTAS 2DO TRIMESTRE'!F22</f>
        <v>7.5</v>
      </c>
      <c r="D23" s="75">
        <f t="shared" si="0"/>
        <v>8</v>
      </c>
      <c r="E23" s="75" t="str">
        <f>'NOTAS 2DO TRIMESTRE'!H22</f>
        <v>B+</v>
      </c>
      <c r="F23" s="76">
        <f t="shared" si="1"/>
        <v>3.375</v>
      </c>
      <c r="G23" s="75">
        <f>'NOTAS 2DO TRIMESTRE'!M22</f>
        <v>6.5</v>
      </c>
      <c r="H23" s="75">
        <f t="shared" si="2"/>
        <v>7</v>
      </c>
      <c r="I23" s="75" t="str">
        <f>'NOTAS 2DO TRIMESTRE'!O22</f>
        <v>B-</v>
      </c>
      <c r="J23" s="76">
        <f t="shared" si="3"/>
        <v>2.9250000000000003</v>
      </c>
      <c r="K23" s="77">
        <f t="shared" si="4"/>
        <v>6.3000000000000007</v>
      </c>
      <c r="L23" s="75">
        <f>'NOTAS 2DO TRIMESTRE'!P22</f>
        <v>8.6199999999999992</v>
      </c>
      <c r="M23" s="76">
        <f t="shared" si="5"/>
        <v>0.43099999999999999</v>
      </c>
      <c r="N23" s="75">
        <f>'NOTAS 2DO TRIMESTRE'!Q22</f>
        <v>5.4</v>
      </c>
      <c r="O23" s="76">
        <f t="shared" si="6"/>
        <v>0.27</v>
      </c>
      <c r="P23" s="77">
        <f t="shared" si="7"/>
        <v>0.70100000000000007</v>
      </c>
      <c r="Q23" s="78">
        <f t="shared" si="8"/>
        <v>7.0010000000000012</v>
      </c>
      <c r="R23" s="78">
        <f t="shared" si="9"/>
        <v>7</v>
      </c>
      <c r="S23" s="79" t="str">
        <f t="shared" si="10"/>
        <v>B-</v>
      </c>
      <c r="T23" s="115" t="str">
        <f t="shared" si="11"/>
        <v>APROBADO</v>
      </c>
      <c r="U23" s="68"/>
      <c r="V23" s="68"/>
      <c r="W23" s="68"/>
    </row>
    <row r="24" spans="1:23" ht="17.25" thickTop="1" thickBot="1">
      <c r="A24" s="73">
        <v>9</v>
      </c>
      <c r="B24" s="74" t="str">
        <f>DATOS!B20</f>
        <v>CENTENO GUISÑAN ALISON PAMELA</v>
      </c>
      <c r="C24" s="75">
        <f>'NOTAS 2DO TRIMESTRE'!F23</f>
        <v>7.5</v>
      </c>
      <c r="D24" s="75">
        <f t="shared" si="0"/>
        <v>8</v>
      </c>
      <c r="E24" s="75" t="str">
        <f>'NOTAS 2DO TRIMESTRE'!H23</f>
        <v>B+</v>
      </c>
      <c r="F24" s="76">
        <f t="shared" si="1"/>
        <v>3.375</v>
      </c>
      <c r="G24" s="75">
        <f>'NOTAS 2DO TRIMESTRE'!M23</f>
        <v>9.25</v>
      </c>
      <c r="H24" s="75">
        <f t="shared" si="2"/>
        <v>9</v>
      </c>
      <c r="I24" s="75" t="str">
        <f>'NOTAS 2DO TRIMESTRE'!O23</f>
        <v>A-</v>
      </c>
      <c r="J24" s="76">
        <f t="shared" si="3"/>
        <v>4.1625000000000005</v>
      </c>
      <c r="K24" s="77">
        <f t="shared" si="4"/>
        <v>7.5375000000000005</v>
      </c>
      <c r="L24" s="75">
        <f>'NOTAS 2DO TRIMESTRE'!P23</f>
        <v>7.43</v>
      </c>
      <c r="M24" s="76">
        <f t="shared" si="5"/>
        <v>0.3715</v>
      </c>
      <c r="N24" s="75">
        <f>'NOTAS 2DO TRIMESTRE'!Q23</f>
        <v>2.9</v>
      </c>
      <c r="O24" s="76">
        <f t="shared" si="6"/>
        <v>0.14499999999999999</v>
      </c>
      <c r="P24" s="77">
        <f t="shared" si="7"/>
        <v>0.51649999999999996</v>
      </c>
      <c r="Q24" s="78">
        <f t="shared" si="8"/>
        <v>8.0540000000000003</v>
      </c>
      <c r="R24" s="78">
        <f t="shared" si="9"/>
        <v>8</v>
      </c>
      <c r="S24" s="79" t="str">
        <f t="shared" si="10"/>
        <v>B+</v>
      </c>
      <c r="T24" s="115" t="str">
        <f t="shared" si="11"/>
        <v>APROBADO</v>
      </c>
      <c r="U24" s="68"/>
      <c r="V24" s="68"/>
      <c r="W24" s="68"/>
    </row>
    <row r="25" spans="1:23" ht="17.25" thickTop="1" thickBot="1">
      <c r="A25" s="73">
        <v>10</v>
      </c>
      <c r="B25" s="74" t="str">
        <f>DATOS!B21</f>
        <v>CHANCUSIG CHILIQUINGA NORMA NICOLE</v>
      </c>
      <c r="C25" s="75">
        <f>'NOTAS 2DO TRIMESTRE'!F24</f>
        <v>8.75</v>
      </c>
      <c r="D25" s="75">
        <f t="shared" si="0"/>
        <v>9</v>
      </c>
      <c r="E25" s="75" t="str">
        <f>'NOTAS 2DO TRIMESTRE'!H24</f>
        <v>A-</v>
      </c>
      <c r="F25" s="76">
        <f t="shared" si="1"/>
        <v>3.9375</v>
      </c>
      <c r="G25" s="75">
        <f>'NOTAS 2DO TRIMESTRE'!M24</f>
        <v>8.5</v>
      </c>
      <c r="H25" s="75">
        <f t="shared" si="2"/>
        <v>9</v>
      </c>
      <c r="I25" s="75" t="str">
        <f>'NOTAS 2DO TRIMESTRE'!O24</f>
        <v>A-</v>
      </c>
      <c r="J25" s="76">
        <f t="shared" si="3"/>
        <v>3.8250000000000002</v>
      </c>
      <c r="K25" s="77">
        <f t="shared" si="4"/>
        <v>7.7625000000000002</v>
      </c>
      <c r="L25" s="75">
        <f>'NOTAS 2DO TRIMESTRE'!P24</f>
        <v>7.81</v>
      </c>
      <c r="M25" s="76">
        <f t="shared" si="5"/>
        <v>0.39050000000000001</v>
      </c>
      <c r="N25" s="75">
        <f>'NOTAS 2DO TRIMESTRE'!Q24</f>
        <v>5.5</v>
      </c>
      <c r="O25" s="76">
        <f t="shared" si="6"/>
        <v>0.27500000000000002</v>
      </c>
      <c r="P25" s="77">
        <f t="shared" si="7"/>
        <v>0.66549999999999998</v>
      </c>
      <c r="Q25" s="78">
        <f t="shared" si="8"/>
        <v>8.4280000000000008</v>
      </c>
      <c r="R25" s="78">
        <f t="shared" si="9"/>
        <v>8</v>
      </c>
      <c r="S25" s="79" t="str">
        <f t="shared" si="10"/>
        <v>B+</v>
      </c>
      <c r="T25" s="115" t="str">
        <f t="shared" si="11"/>
        <v>APROBADO</v>
      </c>
      <c r="U25" s="68"/>
      <c r="V25" s="68"/>
      <c r="W25" s="68"/>
    </row>
    <row r="26" spans="1:23" ht="17.25" thickTop="1" thickBot="1">
      <c r="A26" s="73">
        <v>11</v>
      </c>
      <c r="B26" s="74" t="str">
        <f>DATOS!B22</f>
        <v>CHASI CHANCUSIG JORGE LUIS</v>
      </c>
      <c r="C26" s="75">
        <f>'NOTAS 2DO TRIMESTRE'!F25</f>
        <v>7</v>
      </c>
      <c r="D26" s="75">
        <f t="shared" si="0"/>
        <v>7</v>
      </c>
      <c r="E26" s="75" t="str">
        <f>'NOTAS 2DO TRIMESTRE'!H25</f>
        <v>B-</v>
      </c>
      <c r="F26" s="76">
        <f t="shared" si="1"/>
        <v>3.15</v>
      </c>
      <c r="G26" s="75">
        <f>'NOTAS 2DO TRIMESTRE'!M25</f>
        <v>7.12</v>
      </c>
      <c r="H26" s="75">
        <f t="shared" si="2"/>
        <v>7</v>
      </c>
      <c r="I26" s="75" t="str">
        <f>'NOTAS 2DO TRIMESTRE'!O25</f>
        <v>B-</v>
      </c>
      <c r="J26" s="76">
        <f t="shared" si="3"/>
        <v>3.2040000000000002</v>
      </c>
      <c r="K26" s="77">
        <f t="shared" si="4"/>
        <v>6.3540000000000001</v>
      </c>
      <c r="L26" s="75">
        <f>'NOTAS 2DO TRIMESTRE'!P25</f>
        <v>7.56</v>
      </c>
      <c r="M26" s="76">
        <f t="shared" si="5"/>
        <v>0.378</v>
      </c>
      <c r="N26" s="75">
        <f>'NOTAS 2DO TRIMESTRE'!Q25</f>
        <v>6</v>
      </c>
      <c r="O26" s="76">
        <f t="shared" si="6"/>
        <v>0.30000000000000004</v>
      </c>
      <c r="P26" s="77">
        <f t="shared" si="7"/>
        <v>0.67800000000000005</v>
      </c>
      <c r="Q26" s="78">
        <f t="shared" si="8"/>
        <v>7.032</v>
      </c>
      <c r="R26" s="78">
        <f t="shared" si="9"/>
        <v>7</v>
      </c>
      <c r="S26" s="79" t="str">
        <f t="shared" si="10"/>
        <v>B-</v>
      </c>
      <c r="T26" s="115" t="str">
        <f t="shared" si="11"/>
        <v>APROBADO</v>
      </c>
      <c r="U26" s="68"/>
      <c r="V26" s="68"/>
      <c r="W26" s="68"/>
    </row>
    <row r="27" spans="1:23" ht="17.25" thickTop="1" thickBot="1">
      <c r="A27" s="73">
        <v>12</v>
      </c>
      <c r="B27" s="74" t="str">
        <f>DATOS!B23</f>
        <v>CHUQUI PASSO BRITHANY SOLANGE</v>
      </c>
      <c r="C27" s="75">
        <f>'NOTAS 2DO TRIMESTRE'!F26</f>
        <v>8.8699999999999992</v>
      </c>
      <c r="D27" s="75">
        <f t="shared" si="0"/>
        <v>9</v>
      </c>
      <c r="E27" s="75" t="str">
        <f>'NOTAS 2DO TRIMESTRE'!H26</f>
        <v>A-</v>
      </c>
      <c r="F27" s="76">
        <f t="shared" si="1"/>
        <v>3.9914999999999998</v>
      </c>
      <c r="G27" s="75">
        <f>'NOTAS 2DO TRIMESTRE'!M26</f>
        <v>9.5</v>
      </c>
      <c r="H27" s="75">
        <f t="shared" si="2"/>
        <v>10</v>
      </c>
      <c r="I27" s="75" t="str">
        <f>'NOTAS 2DO TRIMESTRE'!O26</f>
        <v>A+</v>
      </c>
      <c r="J27" s="76">
        <f t="shared" si="3"/>
        <v>4.2750000000000004</v>
      </c>
      <c r="K27" s="77">
        <f t="shared" si="4"/>
        <v>8.2665000000000006</v>
      </c>
      <c r="L27" s="75">
        <f>'NOTAS 2DO TRIMESTRE'!P26</f>
        <v>8.75</v>
      </c>
      <c r="M27" s="76">
        <f t="shared" si="5"/>
        <v>0.4375</v>
      </c>
      <c r="N27" s="75">
        <f>'NOTAS 2DO TRIMESTRE'!Q26</f>
        <v>9</v>
      </c>
      <c r="O27" s="76">
        <f t="shared" si="6"/>
        <v>0.45</v>
      </c>
      <c r="P27" s="77">
        <f t="shared" si="7"/>
        <v>0.88749999999999996</v>
      </c>
      <c r="Q27" s="78">
        <f t="shared" si="8"/>
        <v>9.1539999999999999</v>
      </c>
      <c r="R27" s="78">
        <f t="shared" si="9"/>
        <v>9</v>
      </c>
      <c r="S27" s="79" t="str">
        <f t="shared" si="10"/>
        <v>A-</v>
      </c>
      <c r="T27" s="115" t="str">
        <f t="shared" si="11"/>
        <v>APROBADO</v>
      </c>
      <c r="U27" s="68"/>
      <c r="V27" s="68"/>
      <c r="W27" s="68"/>
    </row>
    <row r="28" spans="1:23" ht="17.25" thickTop="1" thickBot="1">
      <c r="A28" s="73">
        <v>13</v>
      </c>
      <c r="B28" s="74" t="str">
        <f>DATOS!B24</f>
        <v>CUCHIPARTE CASA KARLA CAROLINA</v>
      </c>
      <c r="C28" s="75">
        <f>'NOTAS 2DO TRIMESTRE'!F27</f>
        <v>9.6199999999999992</v>
      </c>
      <c r="D28" s="75">
        <f t="shared" si="0"/>
        <v>10</v>
      </c>
      <c r="E28" s="75" t="str">
        <f>'NOTAS 2DO TRIMESTRE'!H27</f>
        <v>A+</v>
      </c>
      <c r="F28" s="76">
        <f t="shared" si="1"/>
        <v>4.3289999999999997</v>
      </c>
      <c r="G28" s="75">
        <f>'NOTAS 2DO TRIMESTRE'!M27</f>
        <v>8.75</v>
      </c>
      <c r="H28" s="75">
        <f t="shared" si="2"/>
        <v>9</v>
      </c>
      <c r="I28" s="75" t="str">
        <f>'NOTAS 2DO TRIMESTRE'!O27</f>
        <v>A-</v>
      </c>
      <c r="J28" s="76">
        <f t="shared" si="3"/>
        <v>3.9375</v>
      </c>
      <c r="K28" s="77">
        <f t="shared" si="4"/>
        <v>8.2665000000000006</v>
      </c>
      <c r="L28" s="75">
        <f>'NOTAS 2DO TRIMESTRE'!P27</f>
        <v>9.56</v>
      </c>
      <c r="M28" s="76">
        <f t="shared" si="5"/>
        <v>0.47800000000000004</v>
      </c>
      <c r="N28" s="75">
        <f>'NOTAS 2DO TRIMESTRE'!Q27</f>
        <v>5</v>
      </c>
      <c r="O28" s="76">
        <f t="shared" si="6"/>
        <v>0.25</v>
      </c>
      <c r="P28" s="77">
        <f t="shared" si="7"/>
        <v>0.72799999999999998</v>
      </c>
      <c r="Q28" s="78">
        <f t="shared" si="8"/>
        <v>8.9945000000000004</v>
      </c>
      <c r="R28" s="78">
        <f t="shared" si="9"/>
        <v>9</v>
      </c>
      <c r="S28" s="79" t="str">
        <f t="shared" si="10"/>
        <v>A-</v>
      </c>
      <c r="T28" s="115" t="str">
        <f t="shared" si="11"/>
        <v>APROBADO</v>
      </c>
      <c r="U28" s="68"/>
      <c r="V28" s="68"/>
      <c r="W28" s="68"/>
    </row>
    <row r="29" spans="1:23" ht="17.25" thickTop="1" thickBot="1">
      <c r="A29" s="73">
        <v>14</v>
      </c>
      <c r="B29" s="74" t="str">
        <f>DATOS!B25</f>
        <v>GUAÑA CHINGO EDGAR ISMAEL</v>
      </c>
      <c r="C29" s="75">
        <f>'NOTAS 2DO TRIMESTRE'!F28</f>
        <v>8.6199999999999992</v>
      </c>
      <c r="D29" s="75">
        <f t="shared" si="0"/>
        <v>9</v>
      </c>
      <c r="E29" s="75" t="str">
        <f>'NOTAS 2DO TRIMESTRE'!H28</f>
        <v>A-</v>
      </c>
      <c r="F29" s="76">
        <f t="shared" si="1"/>
        <v>3.8789999999999996</v>
      </c>
      <c r="G29" s="75">
        <f>'NOTAS 2DO TRIMESTRE'!M28</f>
        <v>7</v>
      </c>
      <c r="H29" s="75">
        <f t="shared" si="2"/>
        <v>7</v>
      </c>
      <c r="I29" s="75" t="str">
        <f>'NOTAS 2DO TRIMESTRE'!O28</f>
        <v>B-</v>
      </c>
      <c r="J29" s="76">
        <f t="shared" si="3"/>
        <v>3.15</v>
      </c>
      <c r="K29" s="77">
        <f t="shared" si="4"/>
        <v>7.0289999999999999</v>
      </c>
      <c r="L29" s="75">
        <f>'NOTAS 2DO TRIMESTRE'!P28</f>
        <v>7.43</v>
      </c>
      <c r="M29" s="76">
        <f t="shared" si="5"/>
        <v>0.3715</v>
      </c>
      <c r="N29" s="75">
        <f>'NOTAS 2DO TRIMESTRE'!Q28</f>
        <v>4.5</v>
      </c>
      <c r="O29" s="76">
        <f t="shared" si="6"/>
        <v>0.22500000000000001</v>
      </c>
      <c r="P29" s="77">
        <f t="shared" si="7"/>
        <v>0.59650000000000003</v>
      </c>
      <c r="Q29" s="78">
        <f t="shared" si="8"/>
        <v>7.6254999999999997</v>
      </c>
      <c r="R29" s="78">
        <f t="shared" si="9"/>
        <v>8</v>
      </c>
      <c r="S29" s="79" t="str">
        <f t="shared" si="10"/>
        <v>B+</v>
      </c>
      <c r="T29" s="115" t="str">
        <f t="shared" si="11"/>
        <v>APROBADO</v>
      </c>
      <c r="U29" s="68"/>
      <c r="V29" s="68"/>
      <c r="W29" s="68"/>
    </row>
    <row r="30" spans="1:23" ht="17.25" thickTop="1" thickBot="1">
      <c r="A30" s="73">
        <v>15</v>
      </c>
      <c r="B30" s="74" t="str">
        <f>DATOS!B26</f>
        <v>IZA CASA ANGEL DAVID</v>
      </c>
      <c r="C30" s="75">
        <f>'NOTAS 2DO TRIMESTRE'!F29</f>
        <v>7</v>
      </c>
      <c r="D30" s="75">
        <f t="shared" si="0"/>
        <v>7</v>
      </c>
      <c r="E30" s="75" t="str">
        <f>'NOTAS 2DO TRIMESTRE'!H29</f>
        <v>B-</v>
      </c>
      <c r="F30" s="76">
        <f t="shared" si="1"/>
        <v>3.15</v>
      </c>
      <c r="G30" s="75">
        <f>'NOTAS 2DO TRIMESTRE'!M29</f>
        <v>7</v>
      </c>
      <c r="H30" s="75">
        <f t="shared" si="2"/>
        <v>7</v>
      </c>
      <c r="I30" s="75" t="str">
        <f>'NOTAS 2DO TRIMESTRE'!O29</f>
        <v>B-</v>
      </c>
      <c r="J30" s="76">
        <f t="shared" si="3"/>
        <v>3.15</v>
      </c>
      <c r="K30" s="77">
        <f t="shared" si="4"/>
        <v>6.3</v>
      </c>
      <c r="L30" s="75">
        <f>'NOTAS 2DO TRIMESTRE'!P29</f>
        <v>7.87</v>
      </c>
      <c r="M30" s="76">
        <f t="shared" si="5"/>
        <v>0.39350000000000002</v>
      </c>
      <c r="N30" s="75">
        <f>'NOTAS 2DO TRIMESTRE'!Q29</f>
        <v>6.4</v>
      </c>
      <c r="O30" s="76">
        <f t="shared" si="6"/>
        <v>0.32000000000000006</v>
      </c>
      <c r="P30" s="77">
        <f t="shared" si="7"/>
        <v>0.71350000000000002</v>
      </c>
      <c r="Q30" s="78">
        <f t="shared" si="8"/>
        <v>7.0134999999999996</v>
      </c>
      <c r="R30" s="78">
        <f t="shared" si="9"/>
        <v>7</v>
      </c>
      <c r="S30" s="79" t="str">
        <f t="shared" si="10"/>
        <v>B-</v>
      </c>
      <c r="T30" s="115" t="str">
        <f t="shared" si="11"/>
        <v>APROBADO</v>
      </c>
      <c r="U30" s="68"/>
      <c r="V30" s="68"/>
      <c r="W30" s="68"/>
    </row>
    <row r="31" spans="1:23" ht="17.25" thickTop="1" thickBot="1">
      <c r="A31" s="73">
        <v>16</v>
      </c>
      <c r="B31" s="74" t="str">
        <f>DATOS!B27</f>
        <v>IZA PEREZ ERICK ISMAEL</v>
      </c>
      <c r="C31" s="75">
        <f>'NOTAS 2DO TRIMESTRE'!F30</f>
        <v>7.12</v>
      </c>
      <c r="D31" s="75">
        <f t="shared" si="0"/>
        <v>7</v>
      </c>
      <c r="E31" s="75" t="str">
        <f>'NOTAS 2DO TRIMESTRE'!H30</f>
        <v>B-</v>
      </c>
      <c r="F31" s="76">
        <f t="shared" si="1"/>
        <v>3.2040000000000002</v>
      </c>
      <c r="G31" s="75">
        <f>'NOTAS 2DO TRIMESTRE'!M30</f>
        <v>7.25</v>
      </c>
      <c r="H31" s="75">
        <f t="shared" si="2"/>
        <v>7</v>
      </c>
      <c r="I31" s="75" t="str">
        <f>'NOTAS 2DO TRIMESTRE'!O30</f>
        <v>B-</v>
      </c>
      <c r="J31" s="76">
        <f t="shared" si="3"/>
        <v>3.2625000000000002</v>
      </c>
      <c r="K31" s="77">
        <f t="shared" si="4"/>
        <v>6.4664999999999999</v>
      </c>
      <c r="L31" s="75">
        <f>'NOTAS 2DO TRIMESTRE'!P30</f>
        <v>6.85</v>
      </c>
      <c r="M31" s="76">
        <f t="shared" si="5"/>
        <v>0.34250000000000003</v>
      </c>
      <c r="N31" s="75">
        <f>'NOTAS 2DO TRIMESTRE'!Q30</f>
        <v>4.5999999999999996</v>
      </c>
      <c r="O31" s="76">
        <f t="shared" si="6"/>
        <v>0.22999999999999998</v>
      </c>
      <c r="P31" s="77">
        <f t="shared" si="7"/>
        <v>0.57250000000000001</v>
      </c>
      <c r="Q31" s="78">
        <f t="shared" si="8"/>
        <v>7.0389999999999997</v>
      </c>
      <c r="R31" s="78">
        <f t="shared" si="9"/>
        <v>7</v>
      </c>
      <c r="S31" s="79" t="str">
        <f t="shared" si="10"/>
        <v>B-</v>
      </c>
      <c r="T31" s="115" t="str">
        <f t="shared" si="11"/>
        <v>APROBADO</v>
      </c>
      <c r="U31" s="68"/>
      <c r="V31" s="68"/>
      <c r="W31" s="68"/>
    </row>
    <row r="32" spans="1:23" ht="17.25" thickTop="1" thickBot="1">
      <c r="A32" s="73">
        <v>17</v>
      </c>
      <c r="B32" s="74" t="str">
        <f>DATOS!B28</f>
        <v>IZA QUINATOA JOSTIN JOSE</v>
      </c>
      <c r="C32" s="75">
        <f>'NOTAS 2DO TRIMESTRE'!F31</f>
        <v>9.75</v>
      </c>
      <c r="D32" s="75">
        <f t="shared" si="0"/>
        <v>10</v>
      </c>
      <c r="E32" s="75" t="str">
        <f>'NOTAS 2DO TRIMESTRE'!H31</f>
        <v>A+</v>
      </c>
      <c r="F32" s="76">
        <f t="shared" si="1"/>
        <v>4.3875000000000002</v>
      </c>
      <c r="G32" s="75">
        <f>'NOTAS 2DO TRIMESTRE'!M31</f>
        <v>9.5</v>
      </c>
      <c r="H32" s="75">
        <f t="shared" si="2"/>
        <v>10</v>
      </c>
      <c r="I32" s="75" t="str">
        <f>'NOTAS 2DO TRIMESTRE'!O31</f>
        <v>A+</v>
      </c>
      <c r="J32" s="76">
        <f t="shared" si="3"/>
        <v>4.2750000000000004</v>
      </c>
      <c r="K32" s="77">
        <f t="shared" si="4"/>
        <v>8.6625000000000014</v>
      </c>
      <c r="L32" s="75">
        <f>'NOTAS 2DO TRIMESTRE'!P31</f>
        <v>8</v>
      </c>
      <c r="M32" s="76">
        <f t="shared" si="5"/>
        <v>0.4</v>
      </c>
      <c r="N32" s="75">
        <f>'NOTAS 2DO TRIMESTRE'!Q31</f>
        <v>6</v>
      </c>
      <c r="O32" s="76">
        <f t="shared" si="6"/>
        <v>0.30000000000000004</v>
      </c>
      <c r="P32" s="77">
        <f t="shared" si="7"/>
        <v>0.70000000000000007</v>
      </c>
      <c r="Q32" s="78">
        <f t="shared" si="8"/>
        <v>9.3625000000000007</v>
      </c>
      <c r="R32" s="78">
        <f t="shared" si="9"/>
        <v>9</v>
      </c>
      <c r="S32" s="79" t="str">
        <f t="shared" si="10"/>
        <v>A-</v>
      </c>
      <c r="T32" s="115" t="str">
        <f t="shared" si="11"/>
        <v>APROBADO</v>
      </c>
      <c r="U32" s="68"/>
      <c r="V32" s="68"/>
      <c r="W32" s="68"/>
    </row>
    <row r="33" spans="1:23" ht="17.25" thickTop="1" thickBot="1">
      <c r="A33" s="73">
        <v>18</v>
      </c>
      <c r="B33" s="74" t="str">
        <f>DATOS!B29</f>
        <v xml:space="preserve">JAMI JAMI ANTHONI JOEL                            </v>
      </c>
      <c r="C33" s="75">
        <f>'NOTAS 2DO TRIMESTRE'!F32</f>
        <v>9.25</v>
      </c>
      <c r="D33" s="75">
        <f t="shared" si="0"/>
        <v>9</v>
      </c>
      <c r="E33" s="75" t="str">
        <f>'NOTAS 2DO TRIMESTRE'!H32</f>
        <v>A-</v>
      </c>
      <c r="F33" s="76">
        <f t="shared" si="1"/>
        <v>4.1625000000000005</v>
      </c>
      <c r="G33" s="75">
        <f>'NOTAS 2DO TRIMESTRE'!M32</f>
        <v>8</v>
      </c>
      <c r="H33" s="75">
        <f t="shared" si="2"/>
        <v>8</v>
      </c>
      <c r="I33" s="75" t="str">
        <f>'NOTAS 2DO TRIMESTRE'!O32</f>
        <v>B+</v>
      </c>
      <c r="J33" s="76">
        <f t="shared" si="3"/>
        <v>3.6</v>
      </c>
      <c r="K33" s="77">
        <f t="shared" si="4"/>
        <v>7.7625000000000011</v>
      </c>
      <c r="L33" s="75">
        <f>'NOTAS 2DO TRIMESTRE'!P32</f>
        <v>7.81</v>
      </c>
      <c r="M33" s="76">
        <f t="shared" si="5"/>
        <v>0.39050000000000001</v>
      </c>
      <c r="N33" s="75">
        <f>'NOTAS 2DO TRIMESTRE'!Q32</f>
        <v>5.8</v>
      </c>
      <c r="O33" s="76">
        <f t="shared" si="6"/>
        <v>0.28999999999999998</v>
      </c>
      <c r="P33" s="77">
        <f t="shared" si="7"/>
        <v>0.68049999999999999</v>
      </c>
      <c r="Q33" s="78">
        <f t="shared" si="8"/>
        <v>8.4430000000000014</v>
      </c>
      <c r="R33" s="78">
        <f t="shared" si="9"/>
        <v>8</v>
      </c>
      <c r="S33" s="79" t="str">
        <f t="shared" si="10"/>
        <v>B+</v>
      </c>
      <c r="T33" s="115" t="str">
        <f t="shared" si="11"/>
        <v>APROBADO</v>
      </c>
      <c r="U33" s="68"/>
      <c r="V33" s="68"/>
      <c r="W33" s="68"/>
    </row>
    <row r="34" spans="1:23" ht="17.25" thickTop="1" thickBot="1">
      <c r="A34" s="73">
        <v>19</v>
      </c>
      <c r="B34" s="74" t="str">
        <f>DATOS!B30</f>
        <v>LOOR LOPEZ ALEXANDER JEAMPIERRE</v>
      </c>
      <c r="C34" s="75">
        <f>'NOTAS 2DO TRIMESTRE'!F33</f>
        <v>9.75</v>
      </c>
      <c r="D34" s="75">
        <f t="shared" si="0"/>
        <v>10</v>
      </c>
      <c r="E34" s="75" t="str">
        <f>'NOTAS 2DO TRIMESTRE'!H33</f>
        <v>A+</v>
      </c>
      <c r="F34" s="76">
        <f t="shared" si="1"/>
        <v>4.3875000000000002</v>
      </c>
      <c r="G34" s="75">
        <f>'NOTAS 2DO TRIMESTRE'!M33</f>
        <v>9.5</v>
      </c>
      <c r="H34" s="75">
        <f t="shared" si="2"/>
        <v>10</v>
      </c>
      <c r="I34" s="75" t="str">
        <f>'NOTAS 2DO TRIMESTRE'!O33</f>
        <v>A+</v>
      </c>
      <c r="J34" s="76">
        <f t="shared" si="3"/>
        <v>4.2750000000000004</v>
      </c>
      <c r="K34" s="77">
        <f t="shared" si="4"/>
        <v>8.6625000000000014</v>
      </c>
      <c r="L34" s="75">
        <f>'NOTAS 2DO TRIMESTRE'!P33</f>
        <v>8.8699999999999992</v>
      </c>
      <c r="M34" s="76">
        <f t="shared" si="5"/>
        <v>0.44350000000000001</v>
      </c>
      <c r="N34" s="75">
        <f>'NOTAS 2DO TRIMESTRE'!Q33</f>
        <v>6.6</v>
      </c>
      <c r="O34" s="76">
        <f t="shared" si="6"/>
        <v>0.33</v>
      </c>
      <c r="P34" s="77">
        <f t="shared" si="7"/>
        <v>0.77350000000000008</v>
      </c>
      <c r="Q34" s="78">
        <f t="shared" si="8"/>
        <v>9.4360000000000017</v>
      </c>
      <c r="R34" s="78">
        <f t="shared" si="9"/>
        <v>9</v>
      </c>
      <c r="S34" s="79" t="str">
        <f t="shared" si="10"/>
        <v>A-</v>
      </c>
      <c r="T34" s="115" t="str">
        <f t="shared" si="11"/>
        <v>APROBADO</v>
      </c>
      <c r="U34" s="68"/>
      <c r="V34" s="68"/>
      <c r="W34" s="68"/>
    </row>
    <row r="35" spans="1:23" ht="17.25" thickTop="1" thickBot="1">
      <c r="A35" s="73">
        <v>20</v>
      </c>
      <c r="B35" s="74" t="str">
        <f>DATOS!B31</f>
        <v>LOPEZ CARRASCO LIA ALEJANDRA</v>
      </c>
      <c r="C35" s="75">
        <f>'NOTAS 2DO TRIMESTRE'!F34</f>
        <v>7.75</v>
      </c>
      <c r="D35" s="75">
        <f t="shared" si="0"/>
        <v>8</v>
      </c>
      <c r="E35" s="75" t="str">
        <f>'NOTAS 2DO TRIMESTRE'!H34</f>
        <v>B+</v>
      </c>
      <c r="F35" s="76">
        <f t="shared" si="1"/>
        <v>3.4875000000000003</v>
      </c>
      <c r="G35" s="75">
        <f>'NOTAS 2DO TRIMESTRE'!M34</f>
        <v>9.5</v>
      </c>
      <c r="H35" s="75">
        <f t="shared" si="2"/>
        <v>10</v>
      </c>
      <c r="I35" s="75" t="str">
        <f>'NOTAS 2DO TRIMESTRE'!O34</f>
        <v>A+</v>
      </c>
      <c r="J35" s="76">
        <f t="shared" si="3"/>
        <v>4.2750000000000004</v>
      </c>
      <c r="K35" s="77">
        <f t="shared" si="4"/>
        <v>7.7625000000000011</v>
      </c>
      <c r="L35" s="75">
        <f>'NOTAS 2DO TRIMESTRE'!P34</f>
        <v>8.31</v>
      </c>
      <c r="M35" s="76">
        <f t="shared" si="5"/>
        <v>0.41550000000000004</v>
      </c>
      <c r="N35" s="75">
        <f>'NOTAS 2DO TRIMESTRE'!Q34</f>
        <v>6.4</v>
      </c>
      <c r="O35" s="76">
        <f t="shared" si="6"/>
        <v>0.32000000000000006</v>
      </c>
      <c r="P35" s="77">
        <f t="shared" si="7"/>
        <v>0.73550000000000004</v>
      </c>
      <c r="Q35" s="78">
        <f t="shared" si="8"/>
        <v>8.4980000000000011</v>
      </c>
      <c r="R35" s="78">
        <f t="shared" si="9"/>
        <v>8</v>
      </c>
      <c r="S35" s="79" t="str">
        <f t="shared" si="10"/>
        <v>B+</v>
      </c>
      <c r="T35" s="115" t="str">
        <f t="shared" si="11"/>
        <v>APROBADO</v>
      </c>
      <c r="U35" s="68"/>
      <c r="V35" s="68"/>
      <c r="W35" s="68"/>
    </row>
    <row r="36" spans="1:23" ht="17.25" thickTop="1" thickBot="1">
      <c r="A36" s="73">
        <v>21</v>
      </c>
      <c r="B36" s="74" t="str">
        <f>DATOS!B32</f>
        <v>MASAPANTA CASA JUAN MIGUEL</v>
      </c>
      <c r="C36" s="75">
        <f>'NOTAS 2DO TRIMESTRE'!F35</f>
        <v>7.25</v>
      </c>
      <c r="D36" s="75">
        <f t="shared" si="0"/>
        <v>7</v>
      </c>
      <c r="E36" s="75" t="str">
        <f>'NOTAS 2DO TRIMESTRE'!H35</f>
        <v>B-</v>
      </c>
      <c r="F36" s="76">
        <f t="shared" si="1"/>
        <v>3.2625000000000002</v>
      </c>
      <c r="G36" s="75">
        <f>'NOTAS 2DO TRIMESTRE'!M35</f>
        <v>7</v>
      </c>
      <c r="H36" s="75">
        <f t="shared" si="2"/>
        <v>7</v>
      </c>
      <c r="I36" s="75" t="str">
        <f>'NOTAS 2DO TRIMESTRE'!O35</f>
        <v>B-</v>
      </c>
      <c r="J36" s="76">
        <f t="shared" si="3"/>
        <v>3.15</v>
      </c>
      <c r="K36" s="77">
        <f t="shared" si="4"/>
        <v>6.4124999999999996</v>
      </c>
      <c r="L36" s="75">
        <f>'NOTAS 2DO TRIMESTRE'!P35</f>
        <v>8</v>
      </c>
      <c r="M36" s="76">
        <f t="shared" si="5"/>
        <v>0.4</v>
      </c>
      <c r="N36" s="75">
        <f>'NOTAS 2DO TRIMESTRE'!Q35</f>
        <v>4.2</v>
      </c>
      <c r="O36" s="76">
        <f t="shared" si="6"/>
        <v>0.21000000000000002</v>
      </c>
      <c r="P36" s="77">
        <f t="shared" si="7"/>
        <v>0.6100000000000001</v>
      </c>
      <c r="Q36" s="78">
        <f t="shared" si="8"/>
        <v>7.0225</v>
      </c>
      <c r="R36" s="78">
        <f t="shared" si="9"/>
        <v>7</v>
      </c>
      <c r="S36" s="79" t="str">
        <f t="shared" si="10"/>
        <v>B-</v>
      </c>
      <c r="T36" s="115" t="str">
        <f t="shared" si="11"/>
        <v>APROBADO</v>
      </c>
      <c r="U36" s="68"/>
      <c r="V36" s="68"/>
      <c r="W36" s="68"/>
    </row>
    <row r="37" spans="1:23" ht="17.25" thickTop="1" thickBot="1">
      <c r="A37" s="73">
        <v>22</v>
      </c>
      <c r="B37" s="74" t="str">
        <f>DATOS!B33</f>
        <v>MENDOZA TOAPANTA VERONICA MARISOL</v>
      </c>
      <c r="C37" s="75">
        <f>'NOTAS 2DO TRIMESTRE'!F36</f>
        <v>9.75</v>
      </c>
      <c r="D37" s="75">
        <f t="shared" si="0"/>
        <v>10</v>
      </c>
      <c r="E37" s="75" t="str">
        <f>'NOTAS 2DO TRIMESTRE'!H36</f>
        <v>A+</v>
      </c>
      <c r="F37" s="76">
        <f t="shared" si="1"/>
        <v>4.3875000000000002</v>
      </c>
      <c r="G37" s="75">
        <f>'NOTAS 2DO TRIMESTRE'!M36</f>
        <v>9.5</v>
      </c>
      <c r="H37" s="75">
        <f t="shared" si="2"/>
        <v>10</v>
      </c>
      <c r="I37" s="75" t="str">
        <f>'NOTAS 2DO TRIMESTRE'!O36</f>
        <v>A+</v>
      </c>
      <c r="J37" s="76">
        <f t="shared" si="3"/>
        <v>4.2750000000000004</v>
      </c>
      <c r="K37" s="77">
        <f t="shared" si="4"/>
        <v>8.6625000000000014</v>
      </c>
      <c r="L37" s="75">
        <f>'NOTAS 2DO TRIMESTRE'!P36</f>
        <v>9.5</v>
      </c>
      <c r="M37" s="76">
        <f t="shared" si="5"/>
        <v>0.47500000000000003</v>
      </c>
      <c r="N37" s="75">
        <f>'NOTAS 2DO TRIMESTRE'!Q36</f>
        <v>5.3</v>
      </c>
      <c r="O37" s="76">
        <f t="shared" si="6"/>
        <v>0.26500000000000001</v>
      </c>
      <c r="P37" s="77">
        <f t="shared" si="7"/>
        <v>0.74</v>
      </c>
      <c r="Q37" s="78">
        <f t="shared" si="8"/>
        <v>9.4025000000000016</v>
      </c>
      <c r="R37" s="78">
        <f t="shared" si="9"/>
        <v>9</v>
      </c>
      <c r="S37" s="79" t="str">
        <f t="shared" si="10"/>
        <v>A-</v>
      </c>
      <c r="T37" s="115" t="str">
        <f t="shared" si="11"/>
        <v>APROBADO</v>
      </c>
      <c r="U37" s="68"/>
      <c r="V37" s="68"/>
      <c r="W37" s="68"/>
    </row>
    <row r="38" spans="1:23" ht="17.25" thickTop="1" thickBot="1">
      <c r="A38" s="73">
        <v>23</v>
      </c>
      <c r="B38" s="74" t="str">
        <f>DATOS!B34</f>
        <v>MONTA CHICAIZA JOSSELYN MICAELA</v>
      </c>
      <c r="C38" s="75">
        <f>'NOTAS 2DO TRIMESTRE'!F37</f>
        <v>9.25</v>
      </c>
      <c r="D38" s="75">
        <f t="shared" si="0"/>
        <v>9</v>
      </c>
      <c r="E38" s="75" t="str">
        <f>'NOTAS 2DO TRIMESTRE'!H37</f>
        <v>A-</v>
      </c>
      <c r="F38" s="76">
        <f t="shared" si="1"/>
        <v>4.1625000000000005</v>
      </c>
      <c r="G38" s="75">
        <f>'NOTAS 2DO TRIMESTRE'!M37</f>
        <v>8</v>
      </c>
      <c r="H38" s="75">
        <f t="shared" si="2"/>
        <v>8</v>
      </c>
      <c r="I38" s="75" t="str">
        <f>'NOTAS 2DO TRIMESTRE'!O37</f>
        <v>B+</v>
      </c>
      <c r="J38" s="76">
        <f t="shared" si="3"/>
        <v>3.6</v>
      </c>
      <c r="K38" s="77">
        <f t="shared" si="4"/>
        <v>7.7625000000000011</v>
      </c>
      <c r="L38" s="75">
        <f>'NOTAS 2DO TRIMESTRE'!P37</f>
        <v>8.3699999999999992</v>
      </c>
      <c r="M38" s="76">
        <f t="shared" si="5"/>
        <v>0.41849999999999998</v>
      </c>
      <c r="N38" s="75">
        <f>'NOTAS 2DO TRIMESTRE'!Q37</f>
        <v>7.5</v>
      </c>
      <c r="O38" s="76">
        <f t="shared" si="6"/>
        <v>0.375</v>
      </c>
      <c r="P38" s="77">
        <f t="shared" si="7"/>
        <v>0.79349999999999998</v>
      </c>
      <c r="Q38" s="78">
        <f t="shared" si="8"/>
        <v>8.5560000000000009</v>
      </c>
      <c r="R38" s="78">
        <f t="shared" si="9"/>
        <v>9</v>
      </c>
      <c r="S38" s="79" t="str">
        <f t="shared" si="10"/>
        <v>A-</v>
      </c>
      <c r="T38" s="115" t="str">
        <f t="shared" si="11"/>
        <v>APROBADO</v>
      </c>
      <c r="U38" s="68"/>
      <c r="V38" s="68"/>
      <c r="W38" s="68"/>
    </row>
    <row r="39" spans="1:23" ht="17.25" thickTop="1" thickBot="1">
      <c r="A39" s="73">
        <v>24</v>
      </c>
      <c r="B39" s="74" t="str">
        <f>DATOS!B35</f>
        <v>OTO ABRIL ERICK JAHIR</v>
      </c>
      <c r="C39" s="75">
        <f>'NOTAS 2DO TRIMESTRE'!F38</f>
        <v>8</v>
      </c>
      <c r="D39" s="75">
        <f t="shared" si="0"/>
        <v>8</v>
      </c>
      <c r="E39" s="75" t="str">
        <f>'NOTAS 2DO TRIMESTRE'!H38</f>
        <v>B+</v>
      </c>
      <c r="F39" s="76">
        <f t="shared" si="1"/>
        <v>3.6</v>
      </c>
      <c r="G39" s="75">
        <f>'NOTAS 2DO TRIMESTRE'!M38</f>
        <v>8</v>
      </c>
      <c r="H39" s="75">
        <f t="shared" si="2"/>
        <v>8</v>
      </c>
      <c r="I39" s="75" t="str">
        <f>'NOTAS 2DO TRIMESTRE'!O38</f>
        <v>B+</v>
      </c>
      <c r="J39" s="76">
        <f t="shared" si="3"/>
        <v>3.6</v>
      </c>
      <c r="K39" s="77">
        <f t="shared" si="4"/>
        <v>7.2</v>
      </c>
      <c r="L39" s="75">
        <f>'NOTAS 2DO TRIMESTRE'!P38</f>
        <v>7.37</v>
      </c>
      <c r="M39" s="76">
        <f t="shared" si="5"/>
        <v>0.36850000000000005</v>
      </c>
      <c r="N39" s="75">
        <f>'NOTAS 2DO TRIMESTRE'!Q38</f>
        <v>3.8</v>
      </c>
      <c r="O39" s="76">
        <f t="shared" si="6"/>
        <v>0.19</v>
      </c>
      <c r="P39" s="77">
        <f t="shared" si="7"/>
        <v>0.5585</v>
      </c>
      <c r="Q39" s="78">
        <f t="shared" si="8"/>
        <v>7.7584999999999997</v>
      </c>
      <c r="R39" s="78">
        <f t="shared" si="9"/>
        <v>8</v>
      </c>
      <c r="S39" s="79" t="str">
        <f t="shared" si="10"/>
        <v>B+</v>
      </c>
      <c r="T39" s="115" t="str">
        <f t="shared" si="11"/>
        <v>APROBADO</v>
      </c>
      <c r="U39" s="68"/>
      <c r="V39" s="68"/>
      <c r="W39" s="68"/>
    </row>
    <row r="40" spans="1:23" ht="17.25" thickTop="1" thickBot="1">
      <c r="A40" s="73">
        <v>25</v>
      </c>
      <c r="B40" s="74" t="str">
        <f>DATOS!B36</f>
        <v>PROAÑO TOAQUIZA FERNANDO JOSUE</v>
      </c>
      <c r="C40" s="75">
        <f>'NOTAS 2DO TRIMESTRE'!F39</f>
        <v>9.75</v>
      </c>
      <c r="D40" s="75">
        <f t="shared" si="0"/>
        <v>10</v>
      </c>
      <c r="E40" s="75" t="str">
        <f>'NOTAS 2DO TRIMESTRE'!H39</f>
        <v>A+</v>
      </c>
      <c r="F40" s="76">
        <f t="shared" si="1"/>
        <v>4.3875000000000002</v>
      </c>
      <c r="G40" s="75">
        <f>'NOTAS 2DO TRIMESTRE'!M39</f>
        <v>10</v>
      </c>
      <c r="H40" s="75">
        <f t="shared" si="2"/>
        <v>10</v>
      </c>
      <c r="I40" s="75" t="str">
        <f>'NOTAS 2DO TRIMESTRE'!O39</f>
        <v>A+</v>
      </c>
      <c r="J40" s="76">
        <f t="shared" si="3"/>
        <v>4.5</v>
      </c>
      <c r="K40" s="77">
        <f t="shared" si="4"/>
        <v>8.8874999999999993</v>
      </c>
      <c r="L40" s="75">
        <f>'NOTAS 2DO TRIMESTRE'!P39</f>
        <v>9.75</v>
      </c>
      <c r="M40" s="76">
        <f t="shared" si="5"/>
        <v>0.48750000000000004</v>
      </c>
      <c r="N40" s="75">
        <f>'NOTAS 2DO TRIMESTRE'!Q39</f>
        <v>9</v>
      </c>
      <c r="O40" s="76">
        <f t="shared" si="6"/>
        <v>0.45</v>
      </c>
      <c r="P40" s="77">
        <f t="shared" si="7"/>
        <v>0.9375</v>
      </c>
      <c r="Q40" s="78">
        <f t="shared" si="8"/>
        <v>9.8249999999999993</v>
      </c>
      <c r="R40" s="78">
        <f t="shared" si="9"/>
        <v>10</v>
      </c>
      <c r="S40" s="79" t="str">
        <f t="shared" si="10"/>
        <v>A+</v>
      </c>
      <c r="T40" s="115" t="str">
        <f t="shared" si="11"/>
        <v>APROBADO</v>
      </c>
      <c r="U40" s="68"/>
      <c r="V40" s="68"/>
      <c r="W40" s="68"/>
    </row>
    <row r="41" spans="1:23" ht="17.25" thickTop="1" thickBot="1">
      <c r="A41" s="73">
        <v>26</v>
      </c>
      <c r="B41" s="74" t="str">
        <f>DATOS!B37</f>
        <v>QUILUMBA TOAPANTA ADRIANA CAROLINA</v>
      </c>
      <c r="C41" s="75">
        <f>'NOTAS 2DO TRIMESTRE'!F40</f>
        <v>8.75</v>
      </c>
      <c r="D41" s="75">
        <f t="shared" si="0"/>
        <v>9</v>
      </c>
      <c r="E41" s="75" t="str">
        <f>'NOTAS 2DO TRIMESTRE'!H40</f>
        <v>A-</v>
      </c>
      <c r="F41" s="76">
        <f t="shared" si="1"/>
        <v>3.9375</v>
      </c>
      <c r="G41" s="75">
        <f>'NOTAS 2DO TRIMESTRE'!M40</f>
        <v>9.25</v>
      </c>
      <c r="H41" s="75">
        <f t="shared" si="2"/>
        <v>9</v>
      </c>
      <c r="I41" s="75" t="str">
        <f>'NOTAS 2DO TRIMESTRE'!O40</f>
        <v>A-</v>
      </c>
      <c r="J41" s="76">
        <f t="shared" si="3"/>
        <v>4.1625000000000005</v>
      </c>
      <c r="K41" s="77">
        <f t="shared" si="4"/>
        <v>8.1000000000000014</v>
      </c>
      <c r="L41" s="75">
        <f>'NOTAS 2DO TRIMESTRE'!P40</f>
        <v>8.1199999999999992</v>
      </c>
      <c r="M41" s="76">
        <f t="shared" si="5"/>
        <v>0.40599999999999997</v>
      </c>
      <c r="N41" s="75">
        <f>'NOTAS 2DO TRIMESTRE'!Q40</f>
        <v>5</v>
      </c>
      <c r="O41" s="76">
        <f t="shared" si="6"/>
        <v>0.25</v>
      </c>
      <c r="P41" s="77">
        <f t="shared" si="7"/>
        <v>0.65599999999999992</v>
      </c>
      <c r="Q41" s="78">
        <f t="shared" si="8"/>
        <v>8.756000000000002</v>
      </c>
      <c r="R41" s="78">
        <f t="shared" si="9"/>
        <v>9</v>
      </c>
      <c r="S41" s="79" t="str">
        <f t="shared" si="10"/>
        <v>A-</v>
      </c>
      <c r="T41" s="115" t="str">
        <f t="shared" si="11"/>
        <v>APROBADO</v>
      </c>
      <c r="U41" s="68"/>
      <c r="V41" s="68"/>
      <c r="W41" s="68"/>
    </row>
    <row r="42" spans="1:23" ht="17.25" thickTop="1" thickBot="1">
      <c r="A42" s="73">
        <v>27</v>
      </c>
      <c r="B42" s="74" t="str">
        <f>DATOS!B38</f>
        <v>RENGIFO COLLANTES DANNY SANTIAGO</v>
      </c>
      <c r="C42" s="75">
        <f>'NOTAS 2DO TRIMESTRE'!F41</f>
        <v>8.3699999999999992</v>
      </c>
      <c r="D42" s="75">
        <f t="shared" si="0"/>
        <v>8</v>
      </c>
      <c r="E42" s="75" t="str">
        <f>'NOTAS 2DO TRIMESTRE'!H41</f>
        <v>B+</v>
      </c>
      <c r="F42" s="76">
        <f t="shared" si="1"/>
        <v>3.7664999999999997</v>
      </c>
      <c r="G42" s="75">
        <f>'NOTAS 2DO TRIMESTRE'!M41</f>
        <v>9</v>
      </c>
      <c r="H42" s="75">
        <f t="shared" si="2"/>
        <v>9</v>
      </c>
      <c r="I42" s="75" t="str">
        <f>'NOTAS 2DO TRIMESTRE'!O41</f>
        <v>A-</v>
      </c>
      <c r="J42" s="76">
        <f t="shared" si="3"/>
        <v>4.05</v>
      </c>
      <c r="K42" s="77">
        <f t="shared" si="4"/>
        <v>7.8164999999999996</v>
      </c>
      <c r="L42" s="75">
        <f>'NOTAS 2DO TRIMESTRE'!P41</f>
        <v>8</v>
      </c>
      <c r="M42" s="76">
        <f t="shared" si="5"/>
        <v>0.4</v>
      </c>
      <c r="N42" s="75">
        <f>'NOTAS 2DO TRIMESTRE'!Q41</f>
        <v>5.4</v>
      </c>
      <c r="O42" s="76">
        <f t="shared" si="6"/>
        <v>0.27</v>
      </c>
      <c r="P42" s="77">
        <f t="shared" si="7"/>
        <v>0.67</v>
      </c>
      <c r="Q42" s="78">
        <f t="shared" si="8"/>
        <v>8.4864999999999995</v>
      </c>
      <c r="R42" s="78">
        <f t="shared" si="9"/>
        <v>8</v>
      </c>
      <c r="S42" s="79" t="str">
        <f t="shared" si="10"/>
        <v>B+</v>
      </c>
      <c r="T42" s="115" t="str">
        <f t="shared" si="11"/>
        <v>APROBADO</v>
      </c>
      <c r="U42" s="68"/>
      <c r="V42" s="68"/>
      <c r="W42" s="68"/>
    </row>
    <row r="43" spans="1:23" ht="17.25" thickTop="1" thickBot="1">
      <c r="A43" s="73">
        <v>28</v>
      </c>
      <c r="B43" s="74" t="str">
        <f>DATOS!B39</f>
        <v xml:space="preserve">SIMBAÑA HERNANDEZ JOAO JAVIER                     </v>
      </c>
      <c r="C43" s="75">
        <f>'NOTAS 2DO TRIMESTRE'!F42</f>
        <v>8.25</v>
      </c>
      <c r="D43" s="75">
        <f t="shared" si="0"/>
        <v>8</v>
      </c>
      <c r="E43" s="75" t="str">
        <f>'NOTAS 2DO TRIMESTRE'!H42</f>
        <v>B+</v>
      </c>
      <c r="F43" s="76">
        <f t="shared" si="1"/>
        <v>3.7124999999999999</v>
      </c>
      <c r="G43" s="75">
        <f>'NOTAS 2DO TRIMESTRE'!M42</f>
        <v>8</v>
      </c>
      <c r="H43" s="75">
        <f t="shared" si="2"/>
        <v>8</v>
      </c>
      <c r="I43" s="75" t="str">
        <f>'NOTAS 2DO TRIMESTRE'!O42</f>
        <v>B+</v>
      </c>
      <c r="J43" s="76">
        <f t="shared" si="3"/>
        <v>3.6</v>
      </c>
      <c r="K43" s="77">
        <f t="shared" si="4"/>
        <v>7.3125</v>
      </c>
      <c r="L43" s="75">
        <f>'NOTAS 2DO TRIMESTRE'!P42</f>
        <v>7.5</v>
      </c>
      <c r="M43" s="76">
        <f t="shared" si="5"/>
        <v>0.375</v>
      </c>
      <c r="N43" s="75">
        <f>'NOTAS 2DO TRIMESTRE'!Q42</f>
        <v>6.5</v>
      </c>
      <c r="O43" s="76">
        <f t="shared" si="6"/>
        <v>0.32500000000000001</v>
      </c>
      <c r="P43" s="77">
        <f t="shared" si="7"/>
        <v>0.7</v>
      </c>
      <c r="Q43" s="78">
        <f t="shared" si="8"/>
        <v>8.0124999999999993</v>
      </c>
      <c r="R43" s="78">
        <f t="shared" si="9"/>
        <v>8</v>
      </c>
      <c r="S43" s="79" t="str">
        <f t="shared" si="10"/>
        <v>B+</v>
      </c>
      <c r="T43" s="115" t="str">
        <f t="shared" si="11"/>
        <v>APROBADO</v>
      </c>
      <c r="U43" s="68"/>
      <c r="V43" s="68"/>
      <c r="W43" s="68"/>
    </row>
    <row r="44" spans="1:23" ht="17.25" thickTop="1" thickBot="1">
      <c r="A44" s="73">
        <v>29</v>
      </c>
      <c r="B44" s="74" t="str">
        <f>DATOS!B40</f>
        <v>TOAPANTA CHICAIZA JENNY ESTEFANIA</v>
      </c>
      <c r="C44" s="75">
        <f>'NOTAS 2DO TRIMESTRE'!F43</f>
        <v>7.12</v>
      </c>
      <c r="D44" s="75">
        <f t="shared" si="0"/>
        <v>7</v>
      </c>
      <c r="E44" s="75" t="str">
        <f>'NOTAS 2DO TRIMESTRE'!H43</f>
        <v>B-</v>
      </c>
      <c r="F44" s="76">
        <f t="shared" si="1"/>
        <v>3.2040000000000002</v>
      </c>
      <c r="G44" s="75">
        <f>'NOTAS 2DO TRIMESTRE'!M43</f>
        <v>7</v>
      </c>
      <c r="H44" s="75">
        <f t="shared" si="2"/>
        <v>7</v>
      </c>
      <c r="I44" s="75" t="str">
        <f>'NOTAS 2DO TRIMESTRE'!O43</f>
        <v>B-</v>
      </c>
      <c r="J44" s="76">
        <f t="shared" si="3"/>
        <v>3.15</v>
      </c>
      <c r="K44" s="77">
        <f t="shared" si="4"/>
        <v>6.3540000000000001</v>
      </c>
      <c r="L44" s="75">
        <f>'NOTAS 2DO TRIMESTRE'!P43</f>
        <v>6.81</v>
      </c>
      <c r="M44" s="76">
        <f t="shared" si="5"/>
        <v>0.34050000000000002</v>
      </c>
      <c r="N44" s="75">
        <f>'NOTAS 2DO TRIMESTRE'!Q43</f>
        <v>6.4</v>
      </c>
      <c r="O44" s="76">
        <f t="shared" si="6"/>
        <v>0.32000000000000006</v>
      </c>
      <c r="P44" s="77">
        <f t="shared" si="7"/>
        <v>0.66050000000000009</v>
      </c>
      <c r="Q44" s="78">
        <f t="shared" si="8"/>
        <v>7.0145</v>
      </c>
      <c r="R44" s="78">
        <f t="shared" si="9"/>
        <v>7</v>
      </c>
      <c r="S44" s="79" t="str">
        <f t="shared" si="10"/>
        <v>B-</v>
      </c>
      <c r="T44" s="115" t="str">
        <f t="shared" si="11"/>
        <v>APROBADO</v>
      </c>
      <c r="U44" s="68"/>
      <c r="V44" s="68"/>
      <c r="W44" s="68"/>
    </row>
    <row r="45" spans="1:23" ht="17.25" thickTop="1" thickBot="1">
      <c r="A45" s="73">
        <v>30</v>
      </c>
      <c r="B45" s="74" t="str">
        <f>DATOS!B41</f>
        <v>TOAQUIZA CATOTA DENNIS ALEXANDER</v>
      </c>
      <c r="C45" s="75">
        <f>'NOTAS 2DO TRIMESTRE'!F44</f>
        <v>7.75</v>
      </c>
      <c r="D45" s="75">
        <f t="shared" si="0"/>
        <v>8</v>
      </c>
      <c r="E45" s="75" t="str">
        <f>'NOTAS 2DO TRIMESTRE'!H44</f>
        <v>B+</v>
      </c>
      <c r="F45" s="76">
        <f t="shared" si="1"/>
        <v>3.4875000000000003</v>
      </c>
      <c r="G45" s="75">
        <f>'NOTAS 2DO TRIMESTRE'!M44</f>
        <v>8.5</v>
      </c>
      <c r="H45" s="75">
        <f t="shared" si="2"/>
        <v>9</v>
      </c>
      <c r="I45" s="75" t="str">
        <f>'NOTAS 2DO TRIMESTRE'!O44</f>
        <v>A-</v>
      </c>
      <c r="J45" s="76">
        <f t="shared" si="3"/>
        <v>3.8250000000000002</v>
      </c>
      <c r="K45" s="77">
        <f t="shared" si="4"/>
        <v>7.3125</v>
      </c>
      <c r="L45" s="75">
        <f>'NOTAS 2DO TRIMESTRE'!P44</f>
        <v>7.59</v>
      </c>
      <c r="M45" s="76">
        <f t="shared" si="5"/>
        <v>0.3795</v>
      </c>
      <c r="N45" s="75">
        <f>'NOTAS 2DO TRIMESTRE'!Q44</f>
        <v>5.8</v>
      </c>
      <c r="O45" s="76">
        <f t="shared" si="6"/>
        <v>0.28999999999999998</v>
      </c>
      <c r="P45" s="77">
        <f t="shared" si="7"/>
        <v>0.66949999999999998</v>
      </c>
      <c r="Q45" s="78">
        <f t="shared" si="8"/>
        <v>7.9820000000000002</v>
      </c>
      <c r="R45" s="78">
        <f t="shared" si="9"/>
        <v>8</v>
      </c>
      <c r="S45" s="79" t="str">
        <f t="shared" si="10"/>
        <v>B+</v>
      </c>
      <c r="T45" s="115" t="str">
        <f t="shared" si="11"/>
        <v>APROBADO</v>
      </c>
      <c r="U45" s="68"/>
      <c r="V45" s="68"/>
      <c r="W45" s="68"/>
    </row>
    <row r="46" spans="1:23" ht="17.25" thickTop="1" thickBot="1">
      <c r="A46" s="73">
        <v>31</v>
      </c>
      <c r="B46" s="74" t="str">
        <f>DATOS!B42</f>
        <v>TOAQUIZA LEMA MELANY ANAHI</v>
      </c>
      <c r="C46" s="75">
        <f>'NOTAS 2DO TRIMESTRE'!F45</f>
        <v>8.75</v>
      </c>
      <c r="D46" s="75">
        <f t="shared" si="0"/>
        <v>9</v>
      </c>
      <c r="E46" s="75" t="str">
        <f>'NOTAS 2DO TRIMESTRE'!H45</f>
        <v>A-</v>
      </c>
      <c r="F46" s="76">
        <f t="shared" si="1"/>
        <v>3.9375</v>
      </c>
      <c r="G46" s="75">
        <f>'NOTAS 2DO TRIMESTRE'!M45</f>
        <v>8.5</v>
      </c>
      <c r="H46" s="75">
        <f t="shared" si="2"/>
        <v>9</v>
      </c>
      <c r="I46" s="75" t="str">
        <f>'NOTAS 2DO TRIMESTRE'!O45</f>
        <v>A-</v>
      </c>
      <c r="J46" s="76">
        <f t="shared" si="3"/>
        <v>3.8250000000000002</v>
      </c>
      <c r="K46" s="77">
        <f t="shared" si="4"/>
        <v>7.7625000000000002</v>
      </c>
      <c r="L46" s="75">
        <f>'NOTAS 2DO TRIMESTRE'!P45</f>
        <v>9.25</v>
      </c>
      <c r="M46" s="76">
        <f t="shared" si="5"/>
        <v>0.46250000000000002</v>
      </c>
      <c r="N46" s="75">
        <f>'NOTAS 2DO TRIMESTRE'!Q45</f>
        <v>7.5</v>
      </c>
      <c r="O46" s="76">
        <f t="shared" si="6"/>
        <v>0.375</v>
      </c>
      <c r="P46" s="77">
        <f t="shared" si="7"/>
        <v>0.83750000000000002</v>
      </c>
      <c r="Q46" s="78">
        <f t="shared" si="8"/>
        <v>8.6</v>
      </c>
      <c r="R46" s="78">
        <f t="shared" si="9"/>
        <v>9</v>
      </c>
      <c r="S46" s="79" t="str">
        <f t="shared" si="10"/>
        <v>A-</v>
      </c>
      <c r="T46" s="115" t="str">
        <f t="shared" si="11"/>
        <v>APROBADO</v>
      </c>
      <c r="U46" s="68"/>
      <c r="V46" s="68"/>
      <c r="W46" s="68"/>
    </row>
    <row r="47" spans="1:23" ht="17.25" thickTop="1" thickBot="1">
      <c r="A47" s="73">
        <v>32</v>
      </c>
      <c r="B47" s="74" t="str">
        <f>DATOS!B43</f>
        <v>TOCTAGUANO TUMBACO MAHOLY GUADALUPE</v>
      </c>
      <c r="C47" s="75">
        <f>'NOTAS 2DO TRIMESTRE'!F46</f>
        <v>8.75</v>
      </c>
      <c r="D47" s="75">
        <f t="shared" si="0"/>
        <v>9</v>
      </c>
      <c r="E47" s="75" t="str">
        <f>'NOTAS 2DO TRIMESTRE'!H46</f>
        <v>A-</v>
      </c>
      <c r="F47" s="76">
        <f t="shared" si="1"/>
        <v>3.9375</v>
      </c>
      <c r="G47" s="75">
        <f>'NOTAS 2DO TRIMESTRE'!M46</f>
        <v>8.5</v>
      </c>
      <c r="H47" s="75">
        <f t="shared" si="2"/>
        <v>9</v>
      </c>
      <c r="I47" s="75" t="str">
        <f>'NOTAS 2DO TRIMESTRE'!O46</f>
        <v>A-</v>
      </c>
      <c r="J47" s="76">
        <f t="shared" si="3"/>
        <v>3.8250000000000002</v>
      </c>
      <c r="K47" s="77">
        <f t="shared" si="4"/>
        <v>7.7625000000000002</v>
      </c>
      <c r="L47" s="75">
        <f>'NOTAS 2DO TRIMESTRE'!P46</f>
        <v>9</v>
      </c>
      <c r="M47" s="76">
        <f t="shared" si="5"/>
        <v>0.45</v>
      </c>
      <c r="N47" s="75">
        <f>'NOTAS 2DO TRIMESTRE'!Q46</f>
        <v>8.4</v>
      </c>
      <c r="O47" s="76">
        <f t="shared" si="6"/>
        <v>0.42000000000000004</v>
      </c>
      <c r="P47" s="77">
        <f t="shared" si="7"/>
        <v>0.87000000000000011</v>
      </c>
      <c r="Q47" s="78">
        <f t="shared" si="8"/>
        <v>8.6325000000000003</v>
      </c>
      <c r="R47" s="78">
        <f t="shared" si="9"/>
        <v>9</v>
      </c>
      <c r="S47" s="79" t="str">
        <f t="shared" si="10"/>
        <v>A-</v>
      </c>
      <c r="T47" s="115" t="str">
        <f t="shared" si="11"/>
        <v>APROBADO</v>
      </c>
      <c r="U47" s="68"/>
      <c r="V47" s="68"/>
      <c r="W47" s="68"/>
    </row>
    <row r="48" spans="1:23" ht="17.25" thickTop="1" thickBot="1">
      <c r="A48" s="73">
        <v>33</v>
      </c>
      <c r="B48" s="74" t="str">
        <f>DATOS!B44</f>
        <v>TONATO YUGCHA STALIN JOEL</v>
      </c>
      <c r="C48" s="75">
        <f>'NOTAS 2DO TRIMESTRE'!F47</f>
        <v>8.5</v>
      </c>
      <c r="D48" s="75">
        <f t="shared" si="0"/>
        <v>9</v>
      </c>
      <c r="E48" s="75" t="str">
        <f>'NOTAS 2DO TRIMESTRE'!H47</f>
        <v>A-</v>
      </c>
      <c r="F48" s="76">
        <f t="shared" si="1"/>
        <v>3.8250000000000002</v>
      </c>
      <c r="G48" s="75">
        <f>'NOTAS 2DO TRIMESTRE'!M47</f>
        <v>8</v>
      </c>
      <c r="H48" s="75">
        <f t="shared" si="2"/>
        <v>8</v>
      </c>
      <c r="I48" s="75" t="str">
        <f>'NOTAS 2DO TRIMESTRE'!O47</f>
        <v>B+</v>
      </c>
      <c r="J48" s="76">
        <f t="shared" si="3"/>
        <v>3.6</v>
      </c>
      <c r="K48" s="77">
        <f t="shared" si="4"/>
        <v>7.4250000000000007</v>
      </c>
      <c r="L48" s="75">
        <f>'NOTAS 2DO TRIMESTRE'!P47</f>
        <v>8</v>
      </c>
      <c r="M48" s="76">
        <f t="shared" si="5"/>
        <v>0.4</v>
      </c>
      <c r="N48" s="75">
        <f>'NOTAS 2DO TRIMESTRE'!Q47</f>
        <v>10</v>
      </c>
      <c r="O48" s="76">
        <f t="shared" si="6"/>
        <v>0.5</v>
      </c>
      <c r="P48" s="77">
        <f t="shared" si="7"/>
        <v>0.9</v>
      </c>
      <c r="Q48" s="78">
        <f t="shared" si="8"/>
        <v>8.3250000000000011</v>
      </c>
      <c r="R48" s="78">
        <f t="shared" si="9"/>
        <v>8</v>
      </c>
      <c r="S48" s="79" t="str">
        <f t="shared" si="10"/>
        <v>B+</v>
      </c>
      <c r="T48" s="115" t="str">
        <f t="shared" si="11"/>
        <v>APROBADO</v>
      </c>
      <c r="U48" s="68"/>
      <c r="V48" s="68"/>
      <c r="W48" s="68"/>
    </row>
    <row r="49" spans="1:23" ht="17.25" thickTop="1" thickBot="1">
      <c r="A49" s="73">
        <v>34</v>
      </c>
      <c r="B49" s="74" t="str">
        <f>DATOS!B45</f>
        <v>VILLACRESES MUÑOZ MARIA LUCRECIA</v>
      </c>
      <c r="C49" s="75">
        <f>'NOTAS 2DO TRIMESTRE'!F48</f>
        <v>9.1199999999999992</v>
      </c>
      <c r="D49" s="75">
        <f t="shared" si="0"/>
        <v>9</v>
      </c>
      <c r="E49" s="75" t="str">
        <f>'NOTAS 2DO TRIMESTRE'!H48</f>
        <v>A-</v>
      </c>
      <c r="F49" s="76">
        <f t="shared" si="1"/>
        <v>4.1040000000000001</v>
      </c>
      <c r="G49" s="75">
        <f>'NOTAS 2DO TRIMESTRE'!M48</f>
        <v>8.75</v>
      </c>
      <c r="H49" s="75">
        <f t="shared" si="2"/>
        <v>9</v>
      </c>
      <c r="I49" s="75" t="str">
        <f>'NOTAS 2DO TRIMESTRE'!O48</f>
        <v>A-</v>
      </c>
      <c r="J49" s="76">
        <f t="shared" si="3"/>
        <v>3.9375</v>
      </c>
      <c r="K49" s="77">
        <f t="shared" si="4"/>
        <v>8.0414999999999992</v>
      </c>
      <c r="L49" s="75">
        <f>'NOTAS 2DO TRIMESTRE'!P48</f>
        <v>7.75</v>
      </c>
      <c r="M49" s="76">
        <f t="shared" si="5"/>
        <v>0.38750000000000001</v>
      </c>
      <c r="N49" s="75">
        <f>'NOTAS 2DO TRIMESTRE'!Q48</f>
        <v>2.2999999999999998</v>
      </c>
      <c r="O49" s="76">
        <f t="shared" si="6"/>
        <v>0.11499999999999999</v>
      </c>
      <c r="P49" s="77">
        <f t="shared" si="7"/>
        <v>0.50249999999999995</v>
      </c>
      <c r="Q49" s="78">
        <f t="shared" si="8"/>
        <v>8.5439999999999987</v>
      </c>
      <c r="R49" s="78">
        <f t="shared" si="9"/>
        <v>9</v>
      </c>
      <c r="S49" s="79" t="str">
        <f t="shared" si="10"/>
        <v>A-</v>
      </c>
      <c r="T49" s="115" t="str">
        <f t="shared" si="11"/>
        <v>APROBADO</v>
      </c>
      <c r="U49" s="68"/>
      <c r="V49" s="68"/>
      <c r="W49" s="68"/>
    </row>
    <row r="50" spans="1:23" ht="17.25" thickTop="1" thickBot="1">
      <c r="A50" s="73">
        <v>35</v>
      </c>
      <c r="B50" s="74" t="str">
        <f>DATOS!B46</f>
        <v>ZAMORA LEAL MAYKEL JOSUE</v>
      </c>
      <c r="C50" s="75">
        <f>'NOTAS 2DO TRIMESTRE'!F49</f>
        <v>6.5</v>
      </c>
      <c r="D50" s="75">
        <f t="shared" si="0"/>
        <v>7</v>
      </c>
      <c r="E50" s="75" t="str">
        <f>'NOTAS 2DO TRIMESTRE'!H49</f>
        <v>B-</v>
      </c>
      <c r="F50" s="76">
        <f t="shared" si="1"/>
        <v>2.9250000000000003</v>
      </c>
      <c r="G50" s="75">
        <f>'NOTAS 2DO TRIMESTRE'!M49</f>
        <v>7.75</v>
      </c>
      <c r="H50" s="75">
        <f t="shared" si="2"/>
        <v>8</v>
      </c>
      <c r="I50" s="75" t="str">
        <f>'NOTAS 2DO TRIMESTRE'!O49</f>
        <v>B+</v>
      </c>
      <c r="J50" s="76">
        <f t="shared" si="3"/>
        <v>3.4875000000000003</v>
      </c>
      <c r="K50" s="77">
        <f t="shared" si="4"/>
        <v>6.4125000000000005</v>
      </c>
      <c r="L50" s="75">
        <f>'NOTAS 2DO TRIMESTRE'!P49</f>
        <v>6.81</v>
      </c>
      <c r="M50" s="76">
        <f t="shared" si="5"/>
        <v>0.34050000000000002</v>
      </c>
      <c r="N50" s="75">
        <f>'NOTAS 2DO TRIMESTRE'!Q49</f>
        <v>6.5</v>
      </c>
      <c r="O50" s="76">
        <f t="shared" si="6"/>
        <v>0.32500000000000001</v>
      </c>
      <c r="P50" s="77">
        <f t="shared" si="7"/>
        <v>0.66549999999999998</v>
      </c>
      <c r="Q50" s="78">
        <f t="shared" si="8"/>
        <v>7.0780000000000003</v>
      </c>
      <c r="R50" s="78">
        <f t="shared" si="9"/>
        <v>7</v>
      </c>
      <c r="S50" s="79" t="str">
        <f t="shared" si="10"/>
        <v>B-</v>
      </c>
      <c r="T50" s="115" t="str">
        <f t="shared" si="11"/>
        <v>APROBADO</v>
      </c>
      <c r="U50" s="68"/>
      <c r="V50" s="68"/>
      <c r="W50" s="68"/>
    </row>
    <row r="51" spans="1:23" ht="17.25" thickTop="1" thickBot="1">
      <c r="A51" s="73">
        <v>36</v>
      </c>
      <c r="B51" s="74">
        <f>DATOS!B47</f>
        <v>0</v>
      </c>
      <c r="C51" s="75" t="e">
        <f>'NOTAS 2DO TRIMESTRE'!F50</f>
        <v>#DIV/0!</v>
      </c>
      <c r="D51" s="75" t="e">
        <f t="shared" si="0"/>
        <v>#DIV/0!</v>
      </c>
      <c r="E51" s="75" t="e">
        <f>'NOTAS 2DO TRIMESTRE'!H50</f>
        <v>#DIV/0!</v>
      </c>
      <c r="F51" s="76" t="e">
        <f t="shared" si="1"/>
        <v>#DIV/0!</v>
      </c>
      <c r="G51" s="75" t="e">
        <f>'NOTAS 2DO TRIMESTRE'!M50</f>
        <v>#DIV/0!</v>
      </c>
      <c r="H51" s="75" t="e">
        <f t="shared" si="2"/>
        <v>#DIV/0!</v>
      </c>
      <c r="I51" s="75" t="e">
        <f>'NOTAS 2DO TRIMESTRE'!O50</f>
        <v>#DIV/0!</v>
      </c>
      <c r="J51" s="76" t="e">
        <f t="shared" si="3"/>
        <v>#DIV/0!</v>
      </c>
      <c r="K51" s="77" t="e">
        <f t="shared" si="4"/>
        <v>#DIV/0!</v>
      </c>
      <c r="L51" s="75">
        <f>'NOTAS 2DO TRIMESTRE'!P50</f>
        <v>0</v>
      </c>
      <c r="M51" s="76">
        <f t="shared" si="5"/>
        <v>0</v>
      </c>
      <c r="N51" s="75">
        <f>'NOTAS 2DO TRIMESTRE'!Q50</f>
        <v>0</v>
      </c>
      <c r="O51" s="76">
        <f t="shared" si="6"/>
        <v>0</v>
      </c>
      <c r="P51" s="77">
        <f t="shared" si="7"/>
        <v>0</v>
      </c>
      <c r="Q51" s="78" t="e">
        <f t="shared" si="8"/>
        <v>#DIV/0!</v>
      </c>
      <c r="R51" s="78" t="e">
        <f t="shared" si="9"/>
        <v>#DIV/0!</v>
      </c>
      <c r="S51" s="79" t="e">
        <f t="shared" si="10"/>
        <v>#DIV/0!</v>
      </c>
      <c r="T51" s="115" t="e">
        <f t="shared" si="11"/>
        <v>#DIV/0!</v>
      </c>
      <c r="U51" s="68"/>
      <c r="V51" s="68"/>
      <c r="W51" s="68"/>
    </row>
    <row r="52" spans="1:23" ht="17.25" thickTop="1" thickBot="1">
      <c r="A52" s="73">
        <v>37</v>
      </c>
      <c r="B52" s="74">
        <f>DATOS!B48</f>
        <v>0</v>
      </c>
      <c r="C52" s="75" t="e">
        <f>'NOTAS 2DO TRIMESTRE'!F51</f>
        <v>#DIV/0!</v>
      </c>
      <c r="D52" s="75" t="e">
        <f t="shared" si="0"/>
        <v>#DIV/0!</v>
      </c>
      <c r="E52" s="75" t="e">
        <f>'NOTAS 2DO TRIMESTRE'!H51</f>
        <v>#DIV/0!</v>
      </c>
      <c r="F52" s="76" t="e">
        <f t="shared" si="1"/>
        <v>#DIV/0!</v>
      </c>
      <c r="G52" s="75" t="e">
        <f>'NOTAS 2DO TRIMESTRE'!M51</f>
        <v>#DIV/0!</v>
      </c>
      <c r="H52" s="75" t="e">
        <f t="shared" si="2"/>
        <v>#DIV/0!</v>
      </c>
      <c r="I52" s="75" t="e">
        <f>'NOTAS 2DO TRIMESTRE'!O51</f>
        <v>#DIV/0!</v>
      </c>
      <c r="J52" s="76" t="e">
        <f t="shared" si="3"/>
        <v>#DIV/0!</v>
      </c>
      <c r="K52" s="77" t="e">
        <f t="shared" si="4"/>
        <v>#DIV/0!</v>
      </c>
      <c r="L52" s="75">
        <f>'NOTAS 2DO TRIMESTRE'!P51</f>
        <v>0</v>
      </c>
      <c r="M52" s="76">
        <f t="shared" si="5"/>
        <v>0</v>
      </c>
      <c r="N52" s="75">
        <f>'NOTAS 2DO TRIMESTRE'!Q51</f>
        <v>0</v>
      </c>
      <c r="O52" s="76">
        <f t="shared" si="6"/>
        <v>0</v>
      </c>
      <c r="P52" s="77">
        <f t="shared" si="7"/>
        <v>0</v>
      </c>
      <c r="Q52" s="78" t="e">
        <f t="shared" si="8"/>
        <v>#DIV/0!</v>
      </c>
      <c r="R52" s="78" t="e">
        <f t="shared" si="9"/>
        <v>#DIV/0!</v>
      </c>
      <c r="S52" s="79" t="e">
        <f t="shared" si="10"/>
        <v>#DIV/0!</v>
      </c>
      <c r="T52" s="115" t="e">
        <f t="shared" si="11"/>
        <v>#DIV/0!</v>
      </c>
      <c r="U52" s="68"/>
      <c r="V52" s="68"/>
      <c r="W52" s="68"/>
    </row>
    <row r="53" spans="1:23" ht="17.25" thickTop="1" thickBot="1">
      <c r="A53" s="73">
        <v>38</v>
      </c>
      <c r="B53" s="74">
        <f>DATOS!B49</f>
        <v>0</v>
      </c>
      <c r="C53" s="75" t="e">
        <f>'NOTAS 2DO TRIMESTRE'!F52</f>
        <v>#DIV/0!</v>
      </c>
      <c r="D53" s="75" t="e">
        <f t="shared" si="0"/>
        <v>#DIV/0!</v>
      </c>
      <c r="E53" s="75" t="e">
        <f>'NOTAS 2DO TRIMESTRE'!H52</f>
        <v>#DIV/0!</v>
      </c>
      <c r="F53" s="76" t="e">
        <f t="shared" si="1"/>
        <v>#DIV/0!</v>
      </c>
      <c r="G53" s="75" t="e">
        <f>'NOTAS 2DO TRIMESTRE'!M52</f>
        <v>#DIV/0!</v>
      </c>
      <c r="H53" s="75" t="e">
        <f t="shared" si="2"/>
        <v>#DIV/0!</v>
      </c>
      <c r="I53" s="75" t="e">
        <f>'NOTAS 2DO TRIMESTRE'!O52</f>
        <v>#DIV/0!</v>
      </c>
      <c r="J53" s="76" t="e">
        <f t="shared" si="3"/>
        <v>#DIV/0!</v>
      </c>
      <c r="K53" s="77" t="e">
        <f t="shared" si="4"/>
        <v>#DIV/0!</v>
      </c>
      <c r="L53" s="75">
        <f>'NOTAS 2DO TRIMESTRE'!P52</f>
        <v>0</v>
      </c>
      <c r="M53" s="76">
        <f t="shared" si="5"/>
        <v>0</v>
      </c>
      <c r="N53" s="75">
        <f>'NOTAS 2DO TRIMESTRE'!Q52</f>
        <v>0</v>
      </c>
      <c r="O53" s="76">
        <f t="shared" si="6"/>
        <v>0</v>
      </c>
      <c r="P53" s="77">
        <f t="shared" si="7"/>
        <v>0</v>
      </c>
      <c r="Q53" s="78" t="e">
        <f t="shared" si="8"/>
        <v>#DIV/0!</v>
      </c>
      <c r="R53" s="78" t="e">
        <f t="shared" si="9"/>
        <v>#DIV/0!</v>
      </c>
      <c r="S53" s="79" t="e">
        <f t="shared" si="10"/>
        <v>#DIV/0!</v>
      </c>
      <c r="T53" s="115" t="e">
        <f t="shared" si="11"/>
        <v>#DIV/0!</v>
      </c>
      <c r="U53" s="68"/>
      <c r="V53" s="68"/>
      <c r="W53" s="68"/>
    </row>
    <row r="54" spans="1:23" ht="17.25" thickTop="1" thickBot="1">
      <c r="A54" s="73">
        <v>39</v>
      </c>
      <c r="B54" s="74">
        <f>DATOS!B50</f>
        <v>0</v>
      </c>
      <c r="C54" s="75" t="e">
        <f>'NOTAS 2DO TRIMESTRE'!F53</f>
        <v>#DIV/0!</v>
      </c>
      <c r="D54" s="75" t="e">
        <f t="shared" si="0"/>
        <v>#DIV/0!</v>
      </c>
      <c r="E54" s="75" t="e">
        <f>'NOTAS 2DO TRIMESTRE'!H53</f>
        <v>#DIV/0!</v>
      </c>
      <c r="F54" s="76" t="e">
        <f t="shared" si="1"/>
        <v>#DIV/0!</v>
      </c>
      <c r="G54" s="75" t="e">
        <f>'NOTAS 2DO TRIMESTRE'!M53</f>
        <v>#DIV/0!</v>
      </c>
      <c r="H54" s="75" t="e">
        <f t="shared" si="2"/>
        <v>#DIV/0!</v>
      </c>
      <c r="I54" s="75" t="e">
        <f>'NOTAS 2DO TRIMESTRE'!O53</f>
        <v>#DIV/0!</v>
      </c>
      <c r="J54" s="76" t="e">
        <f t="shared" si="3"/>
        <v>#DIV/0!</v>
      </c>
      <c r="K54" s="77" t="e">
        <f t="shared" si="4"/>
        <v>#DIV/0!</v>
      </c>
      <c r="L54" s="75">
        <f>'NOTAS 2DO TRIMESTRE'!P53</f>
        <v>0</v>
      </c>
      <c r="M54" s="76">
        <f t="shared" si="5"/>
        <v>0</v>
      </c>
      <c r="N54" s="75">
        <f>'NOTAS 2DO TRIMESTRE'!Q53</f>
        <v>0</v>
      </c>
      <c r="O54" s="76">
        <f t="shared" si="6"/>
        <v>0</v>
      </c>
      <c r="P54" s="77">
        <f t="shared" si="7"/>
        <v>0</v>
      </c>
      <c r="Q54" s="78" t="e">
        <f t="shared" si="8"/>
        <v>#DIV/0!</v>
      </c>
      <c r="R54" s="78" t="e">
        <f t="shared" si="9"/>
        <v>#DIV/0!</v>
      </c>
      <c r="S54" s="79" t="e">
        <f t="shared" si="10"/>
        <v>#DIV/0!</v>
      </c>
      <c r="T54" s="115" t="e">
        <f t="shared" si="11"/>
        <v>#DIV/0!</v>
      </c>
      <c r="U54" s="68"/>
      <c r="V54" s="68"/>
      <c r="W54" s="68"/>
    </row>
    <row r="55" spans="1:23" ht="17.25" thickTop="1" thickBot="1">
      <c r="A55" s="73">
        <v>40</v>
      </c>
      <c r="B55" s="74">
        <f>DATOS!B51</f>
        <v>0</v>
      </c>
      <c r="C55" s="75" t="e">
        <f>'NOTAS 2DO TRIMESTRE'!F54</f>
        <v>#DIV/0!</v>
      </c>
      <c r="D55" s="75" t="e">
        <f t="shared" si="0"/>
        <v>#DIV/0!</v>
      </c>
      <c r="E55" s="75" t="e">
        <f>'NOTAS 2DO TRIMESTRE'!H54</f>
        <v>#DIV/0!</v>
      </c>
      <c r="F55" s="76" t="e">
        <f t="shared" si="1"/>
        <v>#DIV/0!</v>
      </c>
      <c r="G55" s="75" t="e">
        <f>'NOTAS 2DO TRIMESTRE'!M54</f>
        <v>#DIV/0!</v>
      </c>
      <c r="H55" s="75" t="e">
        <f t="shared" si="2"/>
        <v>#DIV/0!</v>
      </c>
      <c r="I55" s="75" t="e">
        <f>'NOTAS 2DO TRIMESTRE'!O54</f>
        <v>#DIV/0!</v>
      </c>
      <c r="J55" s="76" t="e">
        <f t="shared" si="3"/>
        <v>#DIV/0!</v>
      </c>
      <c r="K55" s="77" t="e">
        <f t="shared" si="4"/>
        <v>#DIV/0!</v>
      </c>
      <c r="L55" s="75">
        <f>'NOTAS 2DO TRIMESTRE'!P54</f>
        <v>0</v>
      </c>
      <c r="M55" s="76">
        <f t="shared" si="5"/>
        <v>0</v>
      </c>
      <c r="N55" s="75">
        <f>'NOTAS 2DO TRIMESTRE'!Q54</f>
        <v>0</v>
      </c>
      <c r="O55" s="76">
        <f t="shared" si="6"/>
        <v>0</v>
      </c>
      <c r="P55" s="77">
        <f t="shared" si="7"/>
        <v>0</v>
      </c>
      <c r="Q55" s="78" t="e">
        <f t="shared" si="8"/>
        <v>#DIV/0!</v>
      </c>
      <c r="R55" s="78" t="e">
        <f t="shared" si="9"/>
        <v>#DIV/0!</v>
      </c>
      <c r="S55" s="79" t="e">
        <f t="shared" si="10"/>
        <v>#DIV/0!</v>
      </c>
      <c r="T55" s="115" t="e">
        <f t="shared" si="11"/>
        <v>#DIV/0!</v>
      </c>
      <c r="U55" s="68"/>
      <c r="V55" s="68"/>
      <c r="W55" s="68"/>
    </row>
    <row r="56" spans="1:23" ht="17.25" thickTop="1" thickBot="1">
      <c r="A56" s="73">
        <v>41</v>
      </c>
      <c r="B56" s="74">
        <f>DATOS!B52</f>
        <v>0</v>
      </c>
      <c r="C56" s="75" t="e">
        <f>'NOTAS 2DO TRIMESTRE'!F55</f>
        <v>#DIV/0!</v>
      </c>
      <c r="D56" s="75" t="e">
        <f t="shared" si="0"/>
        <v>#DIV/0!</v>
      </c>
      <c r="E56" s="75" t="e">
        <f>'NOTAS 2DO TRIMESTRE'!H55</f>
        <v>#DIV/0!</v>
      </c>
      <c r="F56" s="76" t="e">
        <f t="shared" si="1"/>
        <v>#DIV/0!</v>
      </c>
      <c r="G56" s="75" t="e">
        <f>'NOTAS 2DO TRIMESTRE'!M55</f>
        <v>#DIV/0!</v>
      </c>
      <c r="H56" s="75" t="e">
        <f t="shared" si="2"/>
        <v>#DIV/0!</v>
      </c>
      <c r="I56" s="75" t="e">
        <f>'NOTAS 2DO TRIMESTRE'!O55</f>
        <v>#DIV/0!</v>
      </c>
      <c r="J56" s="76" t="e">
        <f t="shared" si="3"/>
        <v>#DIV/0!</v>
      </c>
      <c r="K56" s="77" t="e">
        <f t="shared" si="4"/>
        <v>#DIV/0!</v>
      </c>
      <c r="L56" s="75">
        <f>'NOTAS 2DO TRIMESTRE'!P55</f>
        <v>0</v>
      </c>
      <c r="M56" s="76">
        <f t="shared" si="5"/>
        <v>0</v>
      </c>
      <c r="N56" s="75">
        <f>'NOTAS 2DO TRIMESTRE'!Q55</f>
        <v>0</v>
      </c>
      <c r="O56" s="76">
        <f t="shared" si="6"/>
        <v>0</v>
      </c>
      <c r="P56" s="77">
        <f t="shared" si="7"/>
        <v>0</v>
      </c>
      <c r="Q56" s="78" t="e">
        <f t="shared" si="8"/>
        <v>#DIV/0!</v>
      </c>
      <c r="R56" s="78" t="e">
        <f t="shared" si="9"/>
        <v>#DIV/0!</v>
      </c>
      <c r="S56" s="79" t="e">
        <f t="shared" si="10"/>
        <v>#DIV/0!</v>
      </c>
      <c r="T56" s="115" t="e">
        <f t="shared" si="11"/>
        <v>#DIV/0!</v>
      </c>
      <c r="U56" s="68"/>
      <c r="V56" s="68"/>
      <c r="W56" s="68"/>
    </row>
    <row r="57" spans="1:23" ht="17.25" thickTop="1" thickBot="1">
      <c r="A57" s="73">
        <v>42</v>
      </c>
      <c r="B57" s="74">
        <f>DATOS!B53</f>
        <v>0</v>
      </c>
      <c r="C57" s="75" t="e">
        <f>'NOTAS 2DO TRIMESTRE'!F56</f>
        <v>#DIV/0!</v>
      </c>
      <c r="D57" s="75" t="e">
        <f t="shared" si="0"/>
        <v>#DIV/0!</v>
      </c>
      <c r="E57" s="75" t="e">
        <f>'NOTAS 2DO TRIMESTRE'!H56</f>
        <v>#DIV/0!</v>
      </c>
      <c r="F57" s="76" t="e">
        <f t="shared" si="1"/>
        <v>#DIV/0!</v>
      </c>
      <c r="G57" s="75" t="e">
        <f>'NOTAS 2DO TRIMESTRE'!M56</f>
        <v>#DIV/0!</v>
      </c>
      <c r="H57" s="75" t="e">
        <f t="shared" si="2"/>
        <v>#DIV/0!</v>
      </c>
      <c r="I57" s="75" t="e">
        <f>'NOTAS 2DO TRIMESTRE'!O56</f>
        <v>#DIV/0!</v>
      </c>
      <c r="J57" s="76" t="e">
        <f t="shared" si="3"/>
        <v>#DIV/0!</v>
      </c>
      <c r="K57" s="77" t="e">
        <f t="shared" si="4"/>
        <v>#DIV/0!</v>
      </c>
      <c r="L57" s="75">
        <f>'NOTAS 2DO TRIMESTRE'!P56</f>
        <v>0</v>
      </c>
      <c r="M57" s="76">
        <f t="shared" si="5"/>
        <v>0</v>
      </c>
      <c r="N57" s="75">
        <f>'NOTAS 2DO TRIMESTRE'!Q56</f>
        <v>0</v>
      </c>
      <c r="O57" s="76">
        <f t="shared" si="6"/>
        <v>0</v>
      </c>
      <c r="P57" s="77">
        <f t="shared" si="7"/>
        <v>0</v>
      </c>
      <c r="Q57" s="78" t="e">
        <f t="shared" si="8"/>
        <v>#DIV/0!</v>
      </c>
      <c r="R57" s="78" t="e">
        <f t="shared" si="9"/>
        <v>#DIV/0!</v>
      </c>
      <c r="S57" s="79" t="e">
        <f t="shared" si="10"/>
        <v>#DIV/0!</v>
      </c>
      <c r="T57" s="115" t="e">
        <f t="shared" si="11"/>
        <v>#DIV/0!</v>
      </c>
      <c r="U57" s="68"/>
      <c r="V57" s="68"/>
      <c r="W57" s="68"/>
    </row>
    <row r="58" spans="1:23" ht="17.25" thickTop="1" thickBot="1">
      <c r="A58" s="73">
        <v>43</v>
      </c>
      <c r="B58" s="74">
        <f>DATOS!B54</f>
        <v>0</v>
      </c>
      <c r="C58" s="75" t="e">
        <f>'NOTAS 2DO TRIMESTRE'!F57</f>
        <v>#DIV/0!</v>
      </c>
      <c r="D58" s="75" t="e">
        <f t="shared" si="0"/>
        <v>#DIV/0!</v>
      </c>
      <c r="E58" s="75" t="e">
        <f>'NOTAS 2DO TRIMESTRE'!H57</f>
        <v>#DIV/0!</v>
      </c>
      <c r="F58" s="76" t="e">
        <f t="shared" si="1"/>
        <v>#DIV/0!</v>
      </c>
      <c r="G58" s="75" t="e">
        <f>'NOTAS 2DO TRIMESTRE'!M57</f>
        <v>#DIV/0!</v>
      </c>
      <c r="H58" s="75" t="e">
        <f t="shared" si="2"/>
        <v>#DIV/0!</v>
      </c>
      <c r="I58" s="75" t="e">
        <f>'NOTAS 2DO TRIMESTRE'!O57</f>
        <v>#DIV/0!</v>
      </c>
      <c r="J58" s="76" t="e">
        <f t="shared" si="3"/>
        <v>#DIV/0!</v>
      </c>
      <c r="K58" s="77" t="e">
        <f t="shared" si="4"/>
        <v>#DIV/0!</v>
      </c>
      <c r="L58" s="75">
        <f>'NOTAS 2DO TRIMESTRE'!P57</f>
        <v>0</v>
      </c>
      <c r="M58" s="76">
        <f t="shared" si="5"/>
        <v>0</v>
      </c>
      <c r="N58" s="75">
        <f>'NOTAS 2DO TRIMESTRE'!Q57</f>
        <v>0</v>
      </c>
      <c r="O58" s="76">
        <f t="shared" si="6"/>
        <v>0</v>
      </c>
      <c r="P58" s="77">
        <f t="shared" si="7"/>
        <v>0</v>
      </c>
      <c r="Q58" s="78" t="e">
        <f t="shared" si="8"/>
        <v>#DIV/0!</v>
      </c>
      <c r="R58" s="78" t="e">
        <f t="shared" si="9"/>
        <v>#DIV/0!</v>
      </c>
      <c r="S58" s="79" t="e">
        <f t="shared" si="10"/>
        <v>#DIV/0!</v>
      </c>
      <c r="T58" s="115" t="e">
        <f t="shared" si="11"/>
        <v>#DIV/0!</v>
      </c>
      <c r="U58" s="68"/>
      <c r="V58" s="68"/>
      <c r="W58" s="68"/>
    </row>
    <row r="59" spans="1:23" ht="17.25" thickTop="1" thickBot="1">
      <c r="A59" s="73">
        <v>44</v>
      </c>
      <c r="B59" s="74">
        <f>DATOS!B55</f>
        <v>0</v>
      </c>
      <c r="C59" s="75" t="e">
        <f>'NOTAS 2DO TRIMESTRE'!F58</f>
        <v>#DIV/0!</v>
      </c>
      <c r="D59" s="75" t="e">
        <f t="shared" si="0"/>
        <v>#DIV/0!</v>
      </c>
      <c r="E59" s="75" t="e">
        <f>'NOTAS 2DO TRIMESTRE'!H58</f>
        <v>#DIV/0!</v>
      </c>
      <c r="F59" s="76" t="e">
        <f t="shared" si="1"/>
        <v>#DIV/0!</v>
      </c>
      <c r="G59" s="75" t="e">
        <f>'NOTAS 2DO TRIMESTRE'!M58</f>
        <v>#DIV/0!</v>
      </c>
      <c r="H59" s="75" t="e">
        <f t="shared" si="2"/>
        <v>#DIV/0!</v>
      </c>
      <c r="I59" s="75" t="e">
        <f>'NOTAS 2DO TRIMESTRE'!O58</f>
        <v>#DIV/0!</v>
      </c>
      <c r="J59" s="76" t="e">
        <f t="shared" si="3"/>
        <v>#DIV/0!</v>
      </c>
      <c r="K59" s="77" t="e">
        <f t="shared" si="4"/>
        <v>#DIV/0!</v>
      </c>
      <c r="L59" s="75">
        <f>'NOTAS 2DO TRIMESTRE'!P58</f>
        <v>0</v>
      </c>
      <c r="M59" s="76">
        <f t="shared" si="5"/>
        <v>0</v>
      </c>
      <c r="N59" s="75">
        <f>'NOTAS 2DO TRIMESTRE'!Q58</f>
        <v>0</v>
      </c>
      <c r="O59" s="76">
        <f t="shared" si="6"/>
        <v>0</v>
      </c>
      <c r="P59" s="77">
        <f t="shared" si="7"/>
        <v>0</v>
      </c>
      <c r="Q59" s="78" t="e">
        <f t="shared" si="8"/>
        <v>#DIV/0!</v>
      </c>
      <c r="R59" s="78" t="e">
        <f t="shared" si="9"/>
        <v>#DIV/0!</v>
      </c>
      <c r="S59" s="79" t="e">
        <f t="shared" si="10"/>
        <v>#DIV/0!</v>
      </c>
      <c r="T59" s="115" t="e">
        <f t="shared" si="11"/>
        <v>#DIV/0!</v>
      </c>
      <c r="U59" s="68"/>
      <c r="V59" s="68"/>
      <c r="W59" s="68"/>
    </row>
    <row r="60" spans="1:23" ht="17.25" thickTop="1" thickBot="1">
      <c r="A60" s="73">
        <v>45</v>
      </c>
      <c r="B60" s="74">
        <f>DATOS!B56</f>
        <v>0</v>
      </c>
      <c r="C60" s="75" t="e">
        <f>'NOTAS 2DO TRIMESTRE'!F59</f>
        <v>#DIV/0!</v>
      </c>
      <c r="D60" s="75" t="e">
        <f t="shared" si="0"/>
        <v>#DIV/0!</v>
      </c>
      <c r="E60" s="75" t="e">
        <f>'NOTAS 2DO TRIMESTRE'!H59</f>
        <v>#DIV/0!</v>
      </c>
      <c r="F60" s="76" t="e">
        <f t="shared" si="1"/>
        <v>#DIV/0!</v>
      </c>
      <c r="G60" s="75" t="e">
        <f>'NOTAS 2DO TRIMESTRE'!M59</f>
        <v>#DIV/0!</v>
      </c>
      <c r="H60" s="75" t="e">
        <f t="shared" si="2"/>
        <v>#DIV/0!</v>
      </c>
      <c r="I60" s="75" t="e">
        <f>'NOTAS 2DO TRIMESTRE'!O59</f>
        <v>#DIV/0!</v>
      </c>
      <c r="J60" s="76" t="e">
        <f t="shared" si="3"/>
        <v>#DIV/0!</v>
      </c>
      <c r="K60" s="77" t="e">
        <f t="shared" si="4"/>
        <v>#DIV/0!</v>
      </c>
      <c r="L60" s="75">
        <f>'NOTAS 2DO TRIMESTRE'!P59</f>
        <v>0</v>
      </c>
      <c r="M60" s="76">
        <f t="shared" si="5"/>
        <v>0</v>
      </c>
      <c r="N60" s="75">
        <f>'NOTAS 2DO TRIMESTRE'!Q59</f>
        <v>0</v>
      </c>
      <c r="O60" s="76">
        <f t="shared" si="6"/>
        <v>0</v>
      </c>
      <c r="P60" s="77">
        <f t="shared" si="7"/>
        <v>0</v>
      </c>
      <c r="Q60" s="78" t="e">
        <f t="shared" si="8"/>
        <v>#DIV/0!</v>
      </c>
      <c r="R60" s="78" t="e">
        <f t="shared" si="9"/>
        <v>#DIV/0!</v>
      </c>
      <c r="S60" s="79" t="e">
        <f t="shared" si="10"/>
        <v>#DIV/0!</v>
      </c>
      <c r="T60" s="115" t="e">
        <f t="shared" si="11"/>
        <v>#DIV/0!</v>
      </c>
      <c r="U60" s="68"/>
      <c r="V60" s="68"/>
      <c r="W60" s="68"/>
    </row>
    <row r="61" spans="1:23" ht="17.25" thickTop="1" thickBot="1">
      <c r="A61" s="136" t="s">
        <v>82</v>
      </c>
      <c r="B61" s="134"/>
      <c r="C61" s="134"/>
      <c r="D61" s="134"/>
      <c r="E61" s="134"/>
      <c r="F61" s="134"/>
      <c r="G61" s="134"/>
      <c r="H61" s="134"/>
      <c r="I61" s="134"/>
      <c r="J61" s="134"/>
      <c r="K61" s="277" t="s">
        <v>116</v>
      </c>
      <c r="L61" s="277"/>
      <c r="M61" s="277"/>
      <c r="N61" s="277"/>
      <c r="O61" s="277"/>
      <c r="P61" s="278"/>
      <c r="Q61" s="69">
        <f>AVERAGEIF(Q16:Q60,"&gt;0",Q16:Q60)</f>
        <v>8.1148285714285695</v>
      </c>
      <c r="R61" s="439">
        <f t="shared" si="9"/>
        <v>8</v>
      </c>
      <c r="S61" s="135" t="str">
        <f>IF(ROUND(Q61,0)=10,"A+",IF(ROUND(Q61,0)=9,"A-",IF(ROUND(Q61,0)=8,"B+",IF(ROUND(Q61,0)=7,"B-",IF(ROUND(Q61,0)=6,"C+",IF(ROUND(Q61,0)=5,"C-",IF(ROUND(17,0)=4,"D+",IF(ROUND(Q61,0)=3,"D-",IF(ROUND(Q61,0)=2,"E+",IF(ROUND(Q61,0)=1,"E-"))))))))))</f>
        <v>B+</v>
      </c>
      <c r="T61" s="132"/>
      <c r="U61" s="132"/>
      <c r="V61" s="132"/>
      <c r="W61" s="132"/>
    </row>
    <row r="62" spans="1:23" ht="15.75" thickTop="1"/>
    <row r="63" spans="1:23">
      <c r="B63" s="320" t="s">
        <v>68</v>
      </c>
      <c r="C63" s="321" t="s">
        <v>72</v>
      </c>
      <c r="D63" s="321"/>
      <c r="E63" s="321"/>
      <c r="F63" s="320" t="s">
        <v>73</v>
      </c>
      <c r="G63" s="322" t="s">
        <v>81</v>
      </c>
      <c r="H63" s="322"/>
      <c r="I63" s="322"/>
    </row>
    <row r="64" spans="1:23">
      <c r="B64" s="320"/>
      <c r="C64" s="321"/>
      <c r="D64" s="321"/>
      <c r="E64" s="321"/>
      <c r="F64" s="320"/>
      <c r="G64" s="322"/>
      <c r="H64" s="322"/>
      <c r="I64" s="322"/>
    </row>
    <row r="65" spans="2:9">
      <c r="B65" s="319" t="s">
        <v>69</v>
      </c>
      <c r="C65" s="319" t="s">
        <v>74</v>
      </c>
      <c r="D65" s="319"/>
      <c r="E65" s="319"/>
      <c r="F65" s="70" t="s">
        <v>70</v>
      </c>
      <c r="G65" s="323">
        <f>COUNTIF(S16:S60,"A+")</f>
        <v>2</v>
      </c>
      <c r="H65" s="323"/>
      <c r="I65" s="323"/>
    </row>
    <row r="66" spans="2:9">
      <c r="B66" s="319"/>
      <c r="C66" s="319"/>
      <c r="D66" s="319"/>
      <c r="E66" s="319"/>
      <c r="F66" s="70" t="s">
        <v>71</v>
      </c>
      <c r="G66" s="323">
        <f>COUNTIF(S16:S60,"A-")</f>
        <v>10</v>
      </c>
      <c r="H66" s="323"/>
      <c r="I66" s="323"/>
    </row>
    <row r="67" spans="2:9">
      <c r="B67" s="319" t="s">
        <v>78</v>
      </c>
      <c r="C67" s="319" t="s">
        <v>75</v>
      </c>
      <c r="D67" s="319"/>
      <c r="E67" s="319"/>
      <c r="F67" s="70" t="s">
        <v>83</v>
      </c>
      <c r="G67" s="323">
        <f>COUNTIF(S16:S60,"B+")</f>
        <v>12</v>
      </c>
      <c r="H67" s="323"/>
      <c r="I67" s="323"/>
    </row>
    <row r="68" spans="2:9">
      <c r="B68" s="319"/>
      <c r="C68" s="319"/>
      <c r="D68" s="319"/>
      <c r="E68" s="319"/>
      <c r="F68" s="70" t="s">
        <v>84</v>
      </c>
      <c r="G68" s="323">
        <f>COUNTIF(S16:S60,"B-")</f>
        <v>11</v>
      </c>
      <c r="H68" s="323"/>
      <c r="I68" s="323"/>
    </row>
    <row r="69" spans="2:9">
      <c r="B69" s="319" t="s">
        <v>79</v>
      </c>
      <c r="C69" s="319" t="s">
        <v>76</v>
      </c>
      <c r="D69" s="319"/>
      <c r="E69" s="319"/>
      <c r="F69" s="70" t="s">
        <v>85</v>
      </c>
      <c r="G69" s="323">
        <f>COUNTIF(S16:S60,"C+")</f>
        <v>0</v>
      </c>
      <c r="H69" s="323"/>
      <c r="I69" s="323"/>
    </row>
    <row r="70" spans="2:9">
      <c r="B70" s="319"/>
      <c r="C70" s="319"/>
      <c r="D70" s="319"/>
      <c r="E70" s="319"/>
      <c r="F70" s="70" t="s">
        <v>86</v>
      </c>
      <c r="G70" s="323">
        <f>COUNTIF(S16:S60,"C-")</f>
        <v>0</v>
      </c>
      <c r="H70" s="323"/>
      <c r="I70" s="323"/>
    </row>
    <row r="71" spans="2:9">
      <c r="B71" s="319" t="s">
        <v>80</v>
      </c>
      <c r="C71" s="326" t="s">
        <v>77</v>
      </c>
      <c r="D71" s="326"/>
      <c r="E71" s="326"/>
      <c r="F71" s="70" t="s">
        <v>87</v>
      </c>
      <c r="G71" s="323">
        <f>COUNTIF(S16:S60,"D+")</f>
        <v>0</v>
      </c>
      <c r="H71" s="323"/>
      <c r="I71" s="323"/>
    </row>
    <row r="72" spans="2:9">
      <c r="B72" s="319"/>
      <c r="C72" s="326"/>
      <c r="D72" s="326"/>
      <c r="E72" s="326"/>
      <c r="F72" s="70" t="s">
        <v>88</v>
      </c>
      <c r="G72" s="323">
        <f>COUNTIF(S16:S60,"D-")</f>
        <v>0</v>
      </c>
      <c r="H72" s="323"/>
      <c r="I72" s="323"/>
    </row>
    <row r="73" spans="2:9">
      <c r="B73" s="319"/>
      <c r="C73" s="326"/>
      <c r="D73" s="326"/>
      <c r="E73" s="326"/>
      <c r="F73" s="70" t="s">
        <v>89</v>
      </c>
      <c r="G73" s="323">
        <f>COUNTIF(S16:S60,"E+")</f>
        <v>0</v>
      </c>
      <c r="H73" s="323"/>
      <c r="I73" s="323"/>
    </row>
    <row r="74" spans="2:9">
      <c r="B74" s="319"/>
      <c r="C74" s="326"/>
      <c r="D74" s="326"/>
      <c r="E74" s="326"/>
      <c r="F74" s="70" t="s">
        <v>90</v>
      </c>
      <c r="G74" s="323">
        <f>COUNTIF(S16:S60,"E-")</f>
        <v>0</v>
      </c>
      <c r="H74" s="323"/>
      <c r="I74" s="323"/>
    </row>
    <row r="82" spans="2:11">
      <c r="B82" s="71" t="str">
        <f>DATOS!B7</f>
        <v>Ing. Margarita Ronquillo</v>
      </c>
      <c r="F82" s="324" t="str">
        <f>DATOS!B4</f>
        <v>Msc. Myrian Zurita</v>
      </c>
      <c r="G82" s="324"/>
      <c r="H82" s="324"/>
      <c r="I82" s="324"/>
      <c r="J82" s="324"/>
      <c r="K82" s="324"/>
    </row>
    <row r="83" spans="2:11">
      <c r="B83" s="72" t="str">
        <f>DATOS!A7</f>
        <v>Vicerrector/a:</v>
      </c>
      <c r="F83" s="325" t="str">
        <f>DATOS!A4</f>
        <v>Docente:</v>
      </c>
      <c r="G83" s="325"/>
      <c r="H83" s="325"/>
      <c r="I83" s="325"/>
      <c r="J83" s="325"/>
      <c r="K83" s="325"/>
    </row>
  </sheetData>
  <mergeCells count="66">
    <mergeCell ref="H14:H15"/>
    <mergeCell ref="R12:R15"/>
    <mergeCell ref="F82:K82"/>
    <mergeCell ref="F83:K83"/>
    <mergeCell ref="B69:B70"/>
    <mergeCell ref="C69:E70"/>
    <mergeCell ref="G69:I69"/>
    <mergeCell ref="G70:I70"/>
    <mergeCell ref="B71:B74"/>
    <mergeCell ref="C71:E74"/>
    <mergeCell ref="G71:I71"/>
    <mergeCell ref="G72:I72"/>
    <mergeCell ref="G73:I73"/>
    <mergeCell ref="G74:I74"/>
    <mergeCell ref="K61:P61"/>
    <mergeCell ref="O14:O15"/>
    <mergeCell ref="B67:B68"/>
    <mergeCell ref="C67:E68"/>
    <mergeCell ref="G67:I67"/>
    <mergeCell ref="G68:I68"/>
    <mergeCell ref="B65:B66"/>
    <mergeCell ref="C65:E66"/>
    <mergeCell ref="G65:I65"/>
    <mergeCell ref="G66:I66"/>
    <mergeCell ref="B63:B64"/>
    <mergeCell ref="C63:E64"/>
    <mergeCell ref="F63:F64"/>
    <mergeCell ref="G63:I64"/>
    <mergeCell ref="I14:I15"/>
    <mergeCell ref="D14:D15"/>
    <mergeCell ref="V6:W6"/>
    <mergeCell ref="A1:W2"/>
    <mergeCell ref="C5:I5"/>
    <mergeCell ref="K5:N5"/>
    <mergeCell ref="O5:S5"/>
    <mergeCell ref="V5:W5"/>
    <mergeCell ref="C6:I6"/>
    <mergeCell ref="K6:N6"/>
    <mergeCell ref="O6:S6"/>
    <mergeCell ref="T12:T15"/>
    <mergeCell ref="J14:J15"/>
    <mergeCell ref="L14:L15"/>
    <mergeCell ref="M14:M15"/>
    <mergeCell ref="N14:N15"/>
    <mergeCell ref="C7:I7"/>
    <mergeCell ref="K7:N7"/>
    <mergeCell ref="O7:S7"/>
    <mergeCell ref="C8:I8"/>
    <mergeCell ref="K8:N8"/>
    <mergeCell ref="O8:S8"/>
    <mergeCell ref="C9:I9"/>
    <mergeCell ref="A11:W11"/>
    <mergeCell ref="A12:A15"/>
    <mergeCell ref="B12:B15"/>
    <mergeCell ref="P12:P15"/>
    <mergeCell ref="C12:F13"/>
    <mergeCell ref="G12:J13"/>
    <mergeCell ref="K12:K15"/>
    <mergeCell ref="L12:O13"/>
    <mergeCell ref="U12:W14"/>
    <mergeCell ref="S12:S15"/>
    <mergeCell ref="C14:C15"/>
    <mergeCell ref="E14:E15"/>
    <mergeCell ref="F14:F15"/>
    <mergeCell ref="G14:G15"/>
    <mergeCell ref="Q12:Q15"/>
  </mergeCells>
  <conditionalFormatting sqref="Q16:Q60">
    <cfRule type="cellIs" dxfId="21" priority="6" operator="lessThan">
      <formula>7</formula>
    </cfRule>
    <cfRule type="cellIs" dxfId="20" priority="7" operator="lessThan">
      <formula>7</formula>
    </cfRule>
  </conditionalFormatting>
  <conditionalFormatting sqref="T16:T60">
    <cfRule type="cellIs" dxfId="19" priority="4" operator="lessThan">
      <formula>6.99</formula>
    </cfRule>
    <cfRule type="cellIs" dxfId="18" priority="5" operator="lessThan">
      <formula>7</formula>
    </cfRule>
  </conditionalFormatting>
  <conditionalFormatting sqref="T16:T60">
    <cfRule type="cellIs" dxfId="17" priority="3" operator="equal">
      <formula>"RECUPERACIÓN PEDAGOGICA"</formula>
    </cfRule>
  </conditionalFormatting>
  <conditionalFormatting sqref="R16:R61">
    <cfRule type="cellIs" dxfId="16" priority="1" operator="lessThan">
      <formula>7</formula>
    </cfRule>
    <cfRule type="cellIs" dxfId="15" priority="2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B37" zoomScale="93" zoomScaleNormal="93" workbookViewId="0">
      <selection activeCell="P15" sqref="P15:Q59"/>
    </sheetView>
  </sheetViews>
  <sheetFormatPr baseColWidth="10" defaultRowHeight="15"/>
  <cols>
    <col min="1" max="1" width="6.28515625" style="31" customWidth="1"/>
    <col min="2" max="2" width="49.85546875" style="31" customWidth="1"/>
    <col min="3" max="8" width="8.7109375" style="31" customWidth="1"/>
    <col min="9" max="9" width="1.7109375" style="31" customWidth="1"/>
    <col min="10" max="15" width="8.7109375" style="31" customWidth="1"/>
    <col min="16" max="16384" width="11.42578125" style="31"/>
  </cols>
  <sheetData>
    <row r="1" spans="1:19" ht="18">
      <c r="A1" s="264" t="s">
        <v>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171"/>
      <c r="O1" s="29"/>
      <c r="P1" s="30"/>
      <c r="Q1" s="30"/>
      <c r="R1" s="30"/>
      <c r="S1" s="30"/>
    </row>
    <row r="2" spans="1:19" ht="15.75" thickBo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8.75" thickTop="1" thickBot="1">
      <c r="A3" s="30"/>
      <c r="B3" s="50" t="s">
        <v>28</v>
      </c>
      <c r="C3" s="273" t="str">
        <f>DATOS!B5</f>
        <v>Décimo EGB A</v>
      </c>
      <c r="D3" s="273"/>
      <c r="E3" s="273"/>
      <c r="F3" s="273"/>
      <c r="G3" s="273"/>
      <c r="H3" s="273"/>
      <c r="I3" s="265" t="s">
        <v>29</v>
      </c>
      <c r="J3" s="265"/>
      <c r="K3" s="265"/>
      <c r="L3" s="265"/>
      <c r="M3" s="265"/>
      <c r="N3" s="175"/>
      <c r="O3" s="32"/>
      <c r="P3" s="30"/>
      <c r="Q3" s="30"/>
      <c r="R3" s="30"/>
      <c r="S3" s="30"/>
    </row>
    <row r="4" spans="1:19" ht="18.75" thickTop="1" thickBot="1">
      <c r="A4" s="30"/>
      <c r="B4" s="50" t="s">
        <v>30</v>
      </c>
      <c r="C4" s="273" t="str">
        <f>DATOS!B4</f>
        <v>Msc. Myrian Zurita</v>
      </c>
      <c r="D4" s="273"/>
      <c r="E4" s="273"/>
      <c r="F4" s="273"/>
      <c r="G4" s="273"/>
      <c r="H4" s="273"/>
      <c r="I4" s="327" t="s">
        <v>163</v>
      </c>
      <c r="J4" s="267"/>
      <c r="K4" s="267"/>
      <c r="L4" s="267"/>
      <c r="M4" s="267"/>
      <c r="N4" s="176"/>
      <c r="O4" s="33"/>
      <c r="P4" s="30"/>
      <c r="Q4" s="30"/>
      <c r="R4" s="30"/>
      <c r="S4" s="30"/>
    </row>
    <row r="5" spans="1:19" ht="18.75" thickTop="1" thickBot="1">
      <c r="A5" s="30"/>
      <c r="B5" s="50" t="s">
        <v>32</v>
      </c>
      <c r="C5" s="273" t="str">
        <f>DATOS!B3</f>
        <v>Educación Cultural y Artitica</v>
      </c>
      <c r="D5" s="273"/>
      <c r="E5" s="273"/>
      <c r="F5" s="273"/>
      <c r="G5" s="273"/>
      <c r="H5" s="273"/>
      <c r="I5" s="268"/>
      <c r="J5" s="268"/>
      <c r="K5" s="268"/>
      <c r="L5" s="268"/>
      <c r="M5" s="268"/>
      <c r="N5" s="177"/>
      <c r="O5" s="34"/>
      <c r="P5" s="30"/>
      <c r="Q5" s="30"/>
      <c r="R5" s="30"/>
      <c r="S5" s="30"/>
    </row>
    <row r="6" spans="1:19" ht="15.75" thickTop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</row>
    <row r="8" spans="1:19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spans="1:19" ht="15.75" thickBo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</row>
    <row r="10" spans="1:19" ht="16.5" customHeight="1" thickBot="1">
      <c r="A10" s="269" t="s">
        <v>33</v>
      </c>
      <c r="B10" s="271" t="s">
        <v>34</v>
      </c>
      <c r="C10" s="274" t="s">
        <v>35</v>
      </c>
      <c r="D10" s="275"/>
      <c r="E10" s="275"/>
      <c r="F10" s="275"/>
      <c r="G10" s="275"/>
      <c r="H10" s="276"/>
      <c r="I10" s="37"/>
      <c r="J10" s="260" t="s">
        <v>36</v>
      </c>
      <c r="K10" s="261"/>
      <c r="L10" s="261"/>
      <c r="M10" s="261"/>
      <c r="N10" s="261"/>
      <c r="O10" s="262"/>
      <c r="P10" s="241" t="s">
        <v>37</v>
      </c>
      <c r="Q10" s="242"/>
      <c r="R10" s="35"/>
      <c r="S10" s="35"/>
    </row>
    <row r="11" spans="1:19" ht="15.75" customHeight="1" thickBot="1">
      <c r="A11" s="270"/>
      <c r="B11" s="272"/>
      <c r="C11" s="245">
        <v>0.45</v>
      </c>
      <c r="D11" s="246"/>
      <c r="E11" s="246"/>
      <c r="F11" s="348" t="s">
        <v>44</v>
      </c>
      <c r="G11" s="346" t="s">
        <v>168</v>
      </c>
      <c r="H11" s="346" t="s">
        <v>43</v>
      </c>
      <c r="I11" s="38"/>
      <c r="J11" s="245">
        <v>0.45</v>
      </c>
      <c r="K11" s="251"/>
      <c r="L11" s="251"/>
      <c r="M11" s="348" t="s">
        <v>44</v>
      </c>
      <c r="N11" s="346" t="s">
        <v>168</v>
      </c>
      <c r="O11" s="346" t="s">
        <v>43</v>
      </c>
      <c r="P11" s="243"/>
      <c r="Q11" s="244"/>
      <c r="R11" s="35"/>
      <c r="S11" s="35"/>
    </row>
    <row r="12" spans="1:19">
      <c r="A12" s="270"/>
      <c r="B12" s="272"/>
      <c r="C12" s="247"/>
      <c r="D12" s="248"/>
      <c r="E12" s="248"/>
      <c r="F12" s="349"/>
      <c r="G12" s="347"/>
      <c r="H12" s="347"/>
      <c r="I12" s="39"/>
      <c r="J12" s="247"/>
      <c r="K12" s="248"/>
      <c r="L12" s="248"/>
      <c r="M12" s="349"/>
      <c r="N12" s="347"/>
      <c r="O12" s="347"/>
      <c r="P12" s="254" t="s">
        <v>38</v>
      </c>
      <c r="Q12" s="256" t="s">
        <v>39</v>
      </c>
      <c r="R12" s="35"/>
      <c r="S12" s="35"/>
    </row>
    <row r="13" spans="1:19" ht="15.75" thickBot="1">
      <c r="A13" s="270"/>
      <c r="B13" s="272"/>
      <c r="C13" s="247"/>
      <c r="D13" s="248"/>
      <c r="E13" s="248"/>
      <c r="F13" s="349"/>
      <c r="G13" s="347"/>
      <c r="H13" s="347"/>
      <c r="I13" s="39"/>
      <c r="J13" s="252"/>
      <c r="K13" s="253"/>
      <c r="L13" s="253"/>
      <c r="M13" s="349"/>
      <c r="N13" s="347"/>
      <c r="O13" s="347"/>
      <c r="P13" s="255"/>
      <c r="Q13" s="257"/>
      <c r="R13" s="35"/>
      <c r="S13" s="35"/>
    </row>
    <row r="14" spans="1:19" ht="27" customHeight="1" thickBot="1">
      <c r="A14" s="270"/>
      <c r="B14" s="272"/>
      <c r="C14" s="40" t="s">
        <v>40</v>
      </c>
      <c r="D14" s="41" t="s">
        <v>41</v>
      </c>
      <c r="E14" s="42" t="s">
        <v>42</v>
      </c>
      <c r="F14" s="349"/>
      <c r="G14" s="347"/>
      <c r="H14" s="347"/>
      <c r="I14" s="43"/>
      <c r="J14" s="42" t="s">
        <v>40</v>
      </c>
      <c r="K14" s="41" t="s">
        <v>41</v>
      </c>
      <c r="L14" s="44" t="s">
        <v>42</v>
      </c>
      <c r="M14" s="349"/>
      <c r="N14" s="347"/>
      <c r="O14" s="347"/>
      <c r="P14" s="255"/>
      <c r="Q14" s="257"/>
      <c r="R14" s="35"/>
      <c r="S14" s="35"/>
    </row>
    <row r="15" spans="1:19" ht="16.5" thickTop="1" thickBot="1">
      <c r="A15" s="45">
        <f>IF(B15="","",1)</f>
        <v>1</v>
      </c>
      <c r="B15" s="51" t="str">
        <f>DATOS!B12</f>
        <v>AIMACAÑA LEMA JOSELYN MARISOL</v>
      </c>
      <c r="C15" s="144">
        <v>9</v>
      </c>
      <c r="D15" s="145">
        <v>6</v>
      </c>
      <c r="E15" s="145"/>
      <c r="F15" s="54">
        <f>TRUNC(AVERAGE(C15:E15),2)</f>
        <v>7.5</v>
      </c>
      <c r="G15" s="179">
        <f>ROUND(F15,0)</f>
        <v>8</v>
      </c>
      <c r="H15" s="180" t="str">
        <f>IF(ROUND(F15,0)=10,"A+",IF(ROUND(F15,0)=9,"A-",IF(ROUND(F15,0)=8,"B+",IF(ROUND(F15,0)=7,"B-",IF(ROUND(F15,0)=6,"C+",IF(ROUND(F15,0)=5,"C-",IF(ROUND(F15,0)=4,"D+",IF(ROUND(F15,0)=3,"D-",IF(ROUND(F15,0)=2,"E+",IF(ROUND(F15,0)=1,"E-"))))))))))</f>
        <v>B+</v>
      </c>
      <c r="I15" s="46"/>
      <c r="J15" s="144">
        <v>9</v>
      </c>
      <c r="K15" s="145">
        <v>6</v>
      </c>
      <c r="L15" s="57"/>
      <c r="M15" s="54">
        <f>TRUNC(AVERAGE(J15:L15),2)</f>
        <v>7.5</v>
      </c>
      <c r="N15" s="179">
        <f>ROUND(M15,0)</f>
        <v>8</v>
      </c>
      <c r="O15" s="180" t="str">
        <f>IF(ROUND(M15,0)=10,"A+",IF(ROUND(M15,0)=9,"A-",IF(ROUND(M15,0)=8,"B+",IF(ROUND(M15,0)=7,"B-",IF(ROUND(M15,0)=6,"C+",IF(ROUND(M15,0)=5,"C-",IF(ROUND(M15,0)=4,"D+",IF(ROUND(M15,0)=3,"D-",IF(ROUND(M15,0)=2,"E+",IF(ROUND(M15,0)=1,"E-"))))))))))</f>
        <v>B+</v>
      </c>
      <c r="P15" s="144">
        <v>9</v>
      </c>
      <c r="Q15" s="145">
        <v>6</v>
      </c>
      <c r="R15" s="35"/>
      <c r="S15" s="35"/>
    </row>
    <row r="16" spans="1:19" ht="16.5" thickTop="1" thickBot="1">
      <c r="A16" s="47">
        <f>IF(B16="","",2)</f>
        <v>2</v>
      </c>
      <c r="B16" s="52" t="str">
        <f>DATOS!B13</f>
        <v>ALMACHI YUGCHA AYAN MIGUEL</v>
      </c>
      <c r="C16" s="144">
        <v>7</v>
      </c>
      <c r="D16" s="145">
        <v>7</v>
      </c>
      <c r="E16" s="145"/>
      <c r="F16" s="54">
        <f t="shared" ref="F16:F59" si="0">TRUNC(AVERAGE(C16:E16),2)</f>
        <v>7</v>
      </c>
      <c r="G16" s="179">
        <f t="shared" ref="G16:G59" si="1">ROUND(F16,0)</f>
        <v>7</v>
      </c>
      <c r="H16" s="180" t="str">
        <f>IF(ROUND(F16,0)=10,"A+",IF(ROUND(F16,0)=9,"A-",IF(ROUND(F16,0)=8,"B+",IF(ROUND(F16,0)=7,"B-",IF(ROUND(F16,0)=6,"C+",IF(ROUND(F16,0)=5,"C-",IF(ROUND(F16,0)=4,"D+",IF(ROUND(F16,0)=3,"D-",IF(ROUND(F16,0)=2,"E+",IF(ROUND(F16,0)=1,"E-"))))))))))</f>
        <v>B-</v>
      </c>
      <c r="I16" s="46"/>
      <c r="J16" s="144">
        <v>7</v>
      </c>
      <c r="K16" s="145">
        <v>7</v>
      </c>
      <c r="L16" s="57"/>
      <c r="M16" s="54">
        <f t="shared" ref="M16:M59" si="2">TRUNC(AVERAGE(J16:L16),2)</f>
        <v>7</v>
      </c>
      <c r="N16" s="179">
        <f t="shared" ref="N16:N59" si="3">ROUND(M16,0)</f>
        <v>7</v>
      </c>
      <c r="O16" s="180" t="str">
        <f t="shared" ref="O16:O59" si="4">IF(ROUND(M16,0)=10,"A+",IF(ROUND(M16,0)=9,"A-",IF(ROUND(M16,0)=8,"B+",IF(ROUND(M16,0)=7,"B-",IF(ROUND(M16,0)=6,"C+",IF(ROUND(M16,0)=5,"C-",IF(ROUND(M16,0)=4,"D+",IF(ROUND(M16,0)=3,"D-",IF(ROUND(M16,0)=2,"E+",IF(ROUND(M16,0)=1,"E-"))))))))))</f>
        <v>B-</v>
      </c>
      <c r="P16" s="144">
        <v>7</v>
      </c>
      <c r="Q16" s="145">
        <v>7</v>
      </c>
      <c r="R16" s="35"/>
      <c r="S16" s="35"/>
    </row>
    <row r="17" spans="1:19" ht="16.5" thickTop="1" thickBot="1">
      <c r="A17" s="47">
        <f>IF(B17="","",3)</f>
        <v>3</v>
      </c>
      <c r="B17" s="52" t="str">
        <f>DATOS!B14</f>
        <v>ANCHUNDIA PLUAS KEYSI BETSABED</v>
      </c>
      <c r="C17" s="144">
        <v>10</v>
      </c>
      <c r="D17" s="145">
        <v>10</v>
      </c>
      <c r="E17" s="146"/>
      <c r="F17" s="54">
        <f t="shared" si="0"/>
        <v>10</v>
      </c>
      <c r="G17" s="179">
        <f t="shared" si="1"/>
        <v>10</v>
      </c>
      <c r="H17" s="180" t="str">
        <f t="shared" ref="H17:H59" si="5">IF(ROUND(F17,0)=10,"A+",IF(ROUND(F17,0)=9,"A-",IF(ROUND(F17,0)=8,"B+",IF(ROUND(F17,0)=7,"B-",IF(ROUND(F17,0)=6,"C+",IF(ROUND(F17,0)=5,"C-",IF(ROUND(F17,0)=4,"D+",IF(ROUND(F17,0)=3,"D-",IF(ROUND(F17,0)=2,"E+",IF(ROUND(F17,0)=1,"E-"))))))))))</f>
        <v>A+</v>
      </c>
      <c r="I17" s="46"/>
      <c r="J17" s="144">
        <v>10</v>
      </c>
      <c r="K17" s="145">
        <v>10</v>
      </c>
      <c r="L17" s="57"/>
      <c r="M17" s="54">
        <f t="shared" si="2"/>
        <v>10</v>
      </c>
      <c r="N17" s="179">
        <f t="shared" si="3"/>
        <v>10</v>
      </c>
      <c r="O17" s="180" t="str">
        <f t="shared" si="4"/>
        <v>A+</v>
      </c>
      <c r="P17" s="144">
        <v>10</v>
      </c>
      <c r="Q17" s="145">
        <v>10</v>
      </c>
      <c r="R17" s="35"/>
      <c r="S17" s="35"/>
    </row>
    <row r="18" spans="1:19" ht="16.5" thickTop="1" thickBot="1">
      <c r="A18" s="47">
        <f>IF(B18="","",4)</f>
        <v>4</v>
      </c>
      <c r="B18" s="52" t="str">
        <f>DATOS!B15</f>
        <v>ANCHUNDIA SUAREZ MAILY VALENTINA</v>
      </c>
      <c r="C18" s="144">
        <v>6</v>
      </c>
      <c r="D18" s="145">
        <v>10</v>
      </c>
      <c r="E18" s="147"/>
      <c r="F18" s="54">
        <f t="shared" si="0"/>
        <v>8</v>
      </c>
      <c r="G18" s="179">
        <f t="shared" si="1"/>
        <v>8</v>
      </c>
      <c r="H18" s="180" t="str">
        <f t="shared" si="5"/>
        <v>B+</v>
      </c>
      <c r="I18" s="46"/>
      <c r="J18" s="144">
        <v>6</v>
      </c>
      <c r="K18" s="145">
        <v>10</v>
      </c>
      <c r="L18" s="57"/>
      <c r="M18" s="54">
        <f t="shared" si="2"/>
        <v>8</v>
      </c>
      <c r="N18" s="179">
        <f t="shared" si="3"/>
        <v>8</v>
      </c>
      <c r="O18" s="180" t="str">
        <f t="shared" si="4"/>
        <v>B+</v>
      </c>
      <c r="P18" s="144">
        <v>6</v>
      </c>
      <c r="Q18" s="145">
        <v>10</v>
      </c>
      <c r="R18" s="35"/>
      <c r="S18" s="35"/>
    </row>
    <row r="19" spans="1:19" ht="16.5" thickTop="1" thickBot="1">
      <c r="A19" s="47">
        <f>IF(B19="","",5)</f>
        <v>5</v>
      </c>
      <c r="B19" s="52" t="str">
        <f>DATOS!B16</f>
        <v>CAIZA CHICAIZA BRYAN JOEL</v>
      </c>
      <c r="C19" s="144">
        <v>7</v>
      </c>
      <c r="D19" s="145">
        <v>7</v>
      </c>
      <c r="E19" s="145"/>
      <c r="F19" s="54">
        <f t="shared" si="0"/>
        <v>7</v>
      </c>
      <c r="G19" s="179">
        <f t="shared" si="1"/>
        <v>7</v>
      </c>
      <c r="H19" s="180" t="str">
        <f t="shared" si="5"/>
        <v>B-</v>
      </c>
      <c r="I19" s="46"/>
      <c r="J19" s="144">
        <v>7</v>
      </c>
      <c r="K19" s="145">
        <v>7</v>
      </c>
      <c r="L19" s="57"/>
      <c r="M19" s="54">
        <f t="shared" si="2"/>
        <v>7</v>
      </c>
      <c r="N19" s="179">
        <f t="shared" si="3"/>
        <v>7</v>
      </c>
      <c r="O19" s="180" t="str">
        <f t="shared" si="4"/>
        <v>B-</v>
      </c>
      <c r="P19" s="144">
        <v>7</v>
      </c>
      <c r="Q19" s="145">
        <v>7</v>
      </c>
      <c r="R19" s="35"/>
      <c r="S19" s="35"/>
    </row>
    <row r="20" spans="1:19" ht="16.5" thickTop="1" thickBot="1">
      <c r="A20" s="47">
        <f>IF(B20="","",6)</f>
        <v>6</v>
      </c>
      <c r="B20" s="52" t="str">
        <f>DATOS!B17</f>
        <v>CASA CASA JOSUE DAVID</v>
      </c>
      <c r="C20" s="144">
        <v>8</v>
      </c>
      <c r="D20" s="145">
        <v>10</v>
      </c>
      <c r="E20" s="145"/>
      <c r="F20" s="54">
        <f t="shared" si="0"/>
        <v>9</v>
      </c>
      <c r="G20" s="179">
        <f t="shared" si="1"/>
        <v>9</v>
      </c>
      <c r="H20" s="180" t="str">
        <f t="shared" si="5"/>
        <v>A-</v>
      </c>
      <c r="I20" s="46"/>
      <c r="J20" s="144">
        <v>8</v>
      </c>
      <c r="K20" s="145">
        <v>10</v>
      </c>
      <c r="L20" s="57"/>
      <c r="M20" s="54">
        <f t="shared" si="2"/>
        <v>9</v>
      </c>
      <c r="N20" s="179">
        <f t="shared" si="3"/>
        <v>9</v>
      </c>
      <c r="O20" s="180" t="str">
        <f t="shared" si="4"/>
        <v>A-</v>
      </c>
      <c r="P20" s="144">
        <v>8</v>
      </c>
      <c r="Q20" s="145">
        <v>10</v>
      </c>
      <c r="R20" s="35"/>
      <c r="S20" s="35"/>
    </row>
    <row r="21" spans="1:19" ht="16.5" thickTop="1" thickBot="1">
      <c r="A21" s="47">
        <f>IF(B21="","",7)</f>
        <v>7</v>
      </c>
      <c r="B21" s="52" t="str">
        <f>DATOS!B18</f>
        <v>CASA TASINCHANA MARIA MERCEDES</v>
      </c>
      <c r="C21" s="144">
        <v>7</v>
      </c>
      <c r="D21" s="145">
        <v>7.5</v>
      </c>
      <c r="E21" s="145"/>
      <c r="F21" s="54">
        <f t="shared" si="0"/>
        <v>7.25</v>
      </c>
      <c r="G21" s="179">
        <f t="shared" si="1"/>
        <v>7</v>
      </c>
      <c r="H21" s="180" t="str">
        <f t="shared" si="5"/>
        <v>B-</v>
      </c>
      <c r="I21" s="46"/>
      <c r="J21" s="144">
        <v>7</v>
      </c>
      <c r="K21" s="145">
        <v>7.5</v>
      </c>
      <c r="L21" s="57"/>
      <c r="M21" s="54">
        <f t="shared" si="2"/>
        <v>7.25</v>
      </c>
      <c r="N21" s="179">
        <f t="shared" si="3"/>
        <v>7</v>
      </c>
      <c r="O21" s="180" t="str">
        <f t="shared" si="4"/>
        <v>B-</v>
      </c>
      <c r="P21" s="144">
        <v>7</v>
      </c>
      <c r="Q21" s="145">
        <v>7.5</v>
      </c>
      <c r="R21" s="35"/>
      <c r="S21" s="35"/>
    </row>
    <row r="22" spans="1:19" ht="16.5" thickTop="1" thickBot="1">
      <c r="A22" s="47">
        <f>IF(B22="","",8)</f>
        <v>8</v>
      </c>
      <c r="B22" s="52" t="str">
        <f>DATOS!B19</f>
        <v>CASA TUSO KATTY LISETH</v>
      </c>
      <c r="C22" s="144">
        <v>5</v>
      </c>
      <c r="D22" s="145">
        <v>8</v>
      </c>
      <c r="E22" s="145"/>
      <c r="F22" s="54">
        <f t="shared" si="0"/>
        <v>6.5</v>
      </c>
      <c r="G22" s="179">
        <f t="shared" si="1"/>
        <v>7</v>
      </c>
      <c r="H22" s="180" t="str">
        <f t="shared" si="5"/>
        <v>B-</v>
      </c>
      <c r="I22" s="46"/>
      <c r="J22" s="144">
        <v>5</v>
      </c>
      <c r="K22" s="145">
        <v>8</v>
      </c>
      <c r="L22" s="57"/>
      <c r="M22" s="54">
        <f t="shared" si="2"/>
        <v>6.5</v>
      </c>
      <c r="N22" s="179">
        <f t="shared" si="3"/>
        <v>7</v>
      </c>
      <c r="O22" s="180" t="str">
        <f t="shared" si="4"/>
        <v>B-</v>
      </c>
      <c r="P22" s="144">
        <v>5</v>
      </c>
      <c r="Q22" s="145">
        <v>8</v>
      </c>
      <c r="R22" s="35"/>
      <c r="S22" s="35"/>
    </row>
    <row r="23" spans="1:19" ht="16.5" thickTop="1" thickBot="1">
      <c r="A23" s="47">
        <f>IF(B23="","",9)</f>
        <v>9</v>
      </c>
      <c r="B23" s="52" t="str">
        <f>DATOS!B20</f>
        <v>CENTENO GUISÑAN ALISON PAMELA</v>
      </c>
      <c r="C23" s="144">
        <v>9</v>
      </c>
      <c r="D23" s="145">
        <v>9.5</v>
      </c>
      <c r="E23" s="145"/>
      <c r="F23" s="54">
        <f t="shared" si="0"/>
        <v>9.25</v>
      </c>
      <c r="G23" s="179">
        <f t="shared" si="1"/>
        <v>9</v>
      </c>
      <c r="H23" s="180" t="str">
        <f t="shared" si="5"/>
        <v>A-</v>
      </c>
      <c r="I23" s="46"/>
      <c r="J23" s="144">
        <v>9</v>
      </c>
      <c r="K23" s="145">
        <v>9.5</v>
      </c>
      <c r="L23" s="57"/>
      <c r="M23" s="54">
        <f t="shared" si="2"/>
        <v>9.25</v>
      </c>
      <c r="N23" s="179">
        <f t="shared" si="3"/>
        <v>9</v>
      </c>
      <c r="O23" s="180" t="str">
        <f t="shared" si="4"/>
        <v>A-</v>
      </c>
      <c r="P23" s="144">
        <v>9</v>
      </c>
      <c r="Q23" s="145">
        <v>9.5</v>
      </c>
      <c r="R23" s="35"/>
      <c r="S23" s="35"/>
    </row>
    <row r="24" spans="1:19" ht="16.5" thickTop="1" thickBot="1">
      <c r="A24" s="47">
        <f>IF(B24="","",10)</f>
        <v>10</v>
      </c>
      <c r="B24" s="52" t="str">
        <f>DATOS!B21</f>
        <v>CHANCUSIG CHILIQUINGA NORMA NICOLE</v>
      </c>
      <c r="C24" s="144">
        <v>8</v>
      </c>
      <c r="D24" s="145">
        <v>9</v>
      </c>
      <c r="E24" s="145"/>
      <c r="F24" s="54">
        <f t="shared" si="0"/>
        <v>8.5</v>
      </c>
      <c r="G24" s="179">
        <f t="shared" si="1"/>
        <v>9</v>
      </c>
      <c r="H24" s="180" t="str">
        <f t="shared" si="5"/>
        <v>A-</v>
      </c>
      <c r="I24" s="46"/>
      <c r="J24" s="144">
        <v>8</v>
      </c>
      <c r="K24" s="145">
        <v>9</v>
      </c>
      <c r="L24" s="57"/>
      <c r="M24" s="54">
        <f t="shared" si="2"/>
        <v>8.5</v>
      </c>
      <c r="N24" s="179">
        <f t="shared" si="3"/>
        <v>9</v>
      </c>
      <c r="O24" s="180" t="str">
        <f t="shared" si="4"/>
        <v>A-</v>
      </c>
      <c r="P24" s="144">
        <v>8</v>
      </c>
      <c r="Q24" s="145">
        <v>9</v>
      </c>
      <c r="R24" s="35"/>
      <c r="S24" s="35"/>
    </row>
    <row r="25" spans="1:19" ht="16.5" thickTop="1" thickBot="1">
      <c r="A25" s="47">
        <f>IF(B25="","",11)</f>
        <v>11</v>
      </c>
      <c r="B25" s="52" t="str">
        <f>DATOS!B22</f>
        <v>CHASI CHANCUSIG JORGE LUIS</v>
      </c>
      <c r="C25" s="144">
        <v>7.25</v>
      </c>
      <c r="D25" s="145">
        <v>7</v>
      </c>
      <c r="E25" s="145"/>
      <c r="F25" s="54">
        <f t="shared" si="0"/>
        <v>7.12</v>
      </c>
      <c r="G25" s="179">
        <f t="shared" si="1"/>
        <v>7</v>
      </c>
      <c r="H25" s="180" t="str">
        <f t="shared" si="5"/>
        <v>B-</v>
      </c>
      <c r="I25" s="46"/>
      <c r="J25" s="144">
        <v>7.25</v>
      </c>
      <c r="K25" s="145">
        <v>7</v>
      </c>
      <c r="L25" s="57"/>
      <c r="M25" s="54">
        <f t="shared" si="2"/>
        <v>7.12</v>
      </c>
      <c r="N25" s="179">
        <f t="shared" si="3"/>
        <v>7</v>
      </c>
      <c r="O25" s="180" t="str">
        <f t="shared" si="4"/>
        <v>B-</v>
      </c>
      <c r="P25" s="144">
        <v>7.25</v>
      </c>
      <c r="Q25" s="145">
        <v>7</v>
      </c>
      <c r="R25" s="35"/>
      <c r="S25" s="35"/>
    </row>
    <row r="26" spans="1:19" ht="16.5" thickTop="1" thickBot="1">
      <c r="A26" s="47">
        <f>IF(B26="","",12)</f>
        <v>12</v>
      </c>
      <c r="B26" s="52" t="str">
        <f>DATOS!B23</f>
        <v>CHUQUI PASSO BRITHANY SOLANGE</v>
      </c>
      <c r="C26" s="144">
        <v>9</v>
      </c>
      <c r="D26" s="145">
        <v>10</v>
      </c>
      <c r="E26" s="145"/>
      <c r="F26" s="54">
        <f t="shared" si="0"/>
        <v>9.5</v>
      </c>
      <c r="G26" s="179">
        <f t="shared" si="1"/>
        <v>10</v>
      </c>
      <c r="H26" s="180" t="str">
        <f t="shared" si="5"/>
        <v>A+</v>
      </c>
      <c r="I26" s="46"/>
      <c r="J26" s="144">
        <v>9</v>
      </c>
      <c r="K26" s="145">
        <v>10</v>
      </c>
      <c r="L26" s="57"/>
      <c r="M26" s="54">
        <f t="shared" si="2"/>
        <v>9.5</v>
      </c>
      <c r="N26" s="179">
        <f t="shared" si="3"/>
        <v>10</v>
      </c>
      <c r="O26" s="180" t="str">
        <f t="shared" si="4"/>
        <v>A+</v>
      </c>
      <c r="P26" s="144">
        <v>9</v>
      </c>
      <c r="Q26" s="145">
        <v>10</v>
      </c>
      <c r="R26" s="35"/>
      <c r="S26" s="35"/>
    </row>
    <row r="27" spans="1:19" ht="16.5" thickTop="1" thickBot="1">
      <c r="A27" s="47">
        <f>IF(B27="","",13)</f>
        <v>13</v>
      </c>
      <c r="B27" s="52" t="str">
        <f>DATOS!B24</f>
        <v>CUCHIPARTE CASA KARLA CAROLINA</v>
      </c>
      <c r="C27" s="144">
        <v>8.5</v>
      </c>
      <c r="D27" s="145">
        <v>9</v>
      </c>
      <c r="E27" s="145"/>
      <c r="F27" s="54">
        <f t="shared" si="0"/>
        <v>8.75</v>
      </c>
      <c r="G27" s="179">
        <f t="shared" si="1"/>
        <v>9</v>
      </c>
      <c r="H27" s="180" t="str">
        <f t="shared" si="5"/>
        <v>A-</v>
      </c>
      <c r="I27" s="46"/>
      <c r="J27" s="144">
        <v>8.5</v>
      </c>
      <c r="K27" s="145">
        <v>9</v>
      </c>
      <c r="L27" s="57"/>
      <c r="M27" s="54">
        <f t="shared" si="2"/>
        <v>8.75</v>
      </c>
      <c r="N27" s="179">
        <f t="shared" si="3"/>
        <v>9</v>
      </c>
      <c r="O27" s="180" t="str">
        <f t="shared" si="4"/>
        <v>A-</v>
      </c>
      <c r="P27" s="144">
        <v>8.5</v>
      </c>
      <c r="Q27" s="145">
        <v>9</v>
      </c>
      <c r="R27" s="35"/>
      <c r="S27" s="35"/>
    </row>
    <row r="28" spans="1:19" ht="16.5" thickTop="1" thickBot="1">
      <c r="A28" s="47">
        <f>IF(B28="","",14)</f>
        <v>14</v>
      </c>
      <c r="B28" s="52" t="str">
        <f>DATOS!B25</f>
        <v>GUAÑA CHINGO EDGAR ISMAEL</v>
      </c>
      <c r="C28" s="144">
        <v>6</v>
      </c>
      <c r="D28" s="145">
        <v>8</v>
      </c>
      <c r="E28" s="145"/>
      <c r="F28" s="54">
        <f t="shared" si="0"/>
        <v>7</v>
      </c>
      <c r="G28" s="179">
        <f t="shared" si="1"/>
        <v>7</v>
      </c>
      <c r="H28" s="180" t="str">
        <f t="shared" si="5"/>
        <v>B-</v>
      </c>
      <c r="I28" s="46"/>
      <c r="J28" s="144">
        <v>6</v>
      </c>
      <c r="K28" s="145">
        <v>8</v>
      </c>
      <c r="L28" s="57"/>
      <c r="M28" s="54">
        <f t="shared" si="2"/>
        <v>7</v>
      </c>
      <c r="N28" s="179">
        <f t="shared" si="3"/>
        <v>7</v>
      </c>
      <c r="O28" s="180" t="str">
        <f t="shared" si="4"/>
        <v>B-</v>
      </c>
      <c r="P28" s="144">
        <v>6</v>
      </c>
      <c r="Q28" s="145">
        <v>8</v>
      </c>
      <c r="R28" s="35"/>
      <c r="S28" s="35"/>
    </row>
    <row r="29" spans="1:19" ht="16.5" thickTop="1" thickBot="1">
      <c r="A29" s="47">
        <f>IF(B29="","",15)</f>
        <v>15</v>
      </c>
      <c r="B29" s="52" t="str">
        <f>DATOS!B26</f>
        <v>IZA CASA ANGEL DAVID</v>
      </c>
      <c r="C29" s="144">
        <v>7</v>
      </c>
      <c r="D29" s="145">
        <v>7</v>
      </c>
      <c r="E29" s="145"/>
      <c r="F29" s="54">
        <f t="shared" si="0"/>
        <v>7</v>
      </c>
      <c r="G29" s="179">
        <f t="shared" si="1"/>
        <v>7</v>
      </c>
      <c r="H29" s="180" t="str">
        <f t="shared" si="5"/>
        <v>B-</v>
      </c>
      <c r="I29" s="46"/>
      <c r="J29" s="144">
        <v>7</v>
      </c>
      <c r="K29" s="145">
        <v>7</v>
      </c>
      <c r="L29" s="57"/>
      <c r="M29" s="54">
        <f t="shared" si="2"/>
        <v>7</v>
      </c>
      <c r="N29" s="179">
        <f t="shared" si="3"/>
        <v>7</v>
      </c>
      <c r="O29" s="180" t="str">
        <f t="shared" si="4"/>
        <v>B-</v>
      </c>
      <c r="P29" s="144">
        <v>7</v>
      </c>
      <c r="Q29" s="145">
        <v>7</v>
      </c>
      <c r="R29" s="35"/>
      <c r="S29" s="35"/>
    </row>
    <row r="30" spans="1:19" ht="16.5" thickTop="1" thickBot="1">
      <c r="A30" s="47">
        <f>IF(B30="","",16)</f>
        <v>16</v>
      </c>
      <c r="B30" s="52" t="str">
        <f>DATOS!B27</f>
        <v>IZA PEREZ ERICK ISMAEL</v>
      </c>
      <c r="C30" s="144">
        <v>7.5</v>
      </c>
      <c r="D30" s="145">
        <v>7</v>
      </c>
      <c r="E30" s="145"/>
      <c r="F30" s="54">
        <f t="shared" si="0"/>
        <v>7.25</v>
      </c>
      <c r="G30" s="179">
        <f t="shared" si="1"/>
        <v>7</v>
      </c>
      <c r="H30" s="180" t="str">
        <f t="shared" si="5"/>
        <v>B-</v>
      </c>
      <c r="I30" s="46"/>
      <c r="J30" s="144">
        <v>7.5</v>
      </c>
      <c r="K30" s="145">
        <v>7</v>
      </c>
      <c r="L30" s="57"/>
      <c r="M30" s="54">
        <f t="shared" si="2"/>
        <v>7.25</v>
      </c>
      <c r="N30" s="179">
        <f t="shared" si="3"/>
        <v>7</v>
      </c>
      <c r="O30" s="180" t="str">
        <f t="shared" si="4"/>
        <v>B-</v>
      </c>
      <c r="P30" s="144">
        <v>7.5</v>
      </c>
      <c r="Q30" s="145">
        <v>7</v>
      </c>
      <c r="R30" s="35"/>
      <c r="S30" s="35"/>
    </row>
    <row r="31" spans="1:19" ht="16.5" thickTop="1" thickBot="1">
      <c r="A31" s="47">
        <f>IF(B31="","",17)</f>
        <v>17</v>
      </c>
      <c r="B31" s="52" t="str">
        <f>DATOS!B28</f>
        <v>IZA QUINATOA JOSTIN JOSE</v>
      </c>
      <c r="C31" s="144">
        <v>9</v>
      </c>
      <c r="D31" s="145">
        <v>10</v>
      </c>
      <c r="E31" s="145"/>
      <c r="F31" s="54">
        <f t="shared" si="0"/>
        <v>9.5</v>
      </c>
      <c r="G31" s="179">
        <f t="shared" si="1"/>
        <v>10</v>
      </c>
      <c r="H31" s="180" t="str">
        <f t="shared" si="5"/>
        <v>A+</v>
      </c>
      <c r="I31" s="46"/>
      <c r="J31" s="144">
        <v>9</v>
      </c>
      <c r="K31" s="145">
        <v>10</v>
      </c>
      <c r="L31" s="57"/>
      <c r="M31" s="54">
        <f t="shared" si="2"/>
        <v>9.5</v>
      </c>
      <c r="N31" s="179">
        <f t="shared" si="3"/>
        <v>10</v>
      </c>
      <c r="O31" s="180" t="str">
        <f t="shared" si="4"/>
        <v>A+</v>
      </c>
      <c r="P31" s="144">
        <v>9</v>
      </c>
      <c r="Q31" s="145">
        <v>10</v>
      </c>
      <c r="R31" s="35"/>
      <c r="S31" s="35"/>
    </row>
    <row r="32" spans="1:19" ht="16.5" thickTop="1" thickBot="1">
      <c r="A32" s="47">
        <f>IF(B32="","",18)</f>
        <v>18</v>
      </c>
      <c r="B32" s="52" t="str">
        <f>DATOS!B29</f>
        <v xml:space="preserve">JAMI JAMI ANTHONI JOEL                            </v>
      </c>
      <c r="C32" s="144">
        <v>8</v>
      </c>
      <c r="D32" s="145">
        <v>8</v>
      </c>
      <c r="E32" s="145"/>
      <c r="F32" s="54">
        <f t="shared" si="0"/>
        <v>8</v>
      </c>
      <c r="G32" s="179">
        <f t="shared" si="1"/>
        <v>8</v>
      </c>
      <c r="H32" s="180" t="str">
        <f t="shared" si="5"/>
        <v>B+</v>
      </c>
      <c r="I32" s="46"/>
      <c r="J32" s="144">
        <v>8</v>
      </c>
      <c r="K32" s="145">
        <v>8</v>
      </c>
      <c r="L32" s="57"/>
      <c r="M32" s="54">
        <f t="shared" si="2"/>
        <v>8</v>
      </c>
      <c r="N32" s="179">
        <f t="shared" si="3"/>
        <v>8</v>
      </c>
      <c r="O32" s="180" t="str">
        <f t="shared" si="4"/>
        <v>B+</v>
      </c>
      <c r="P32" s="144">
        <v>8</v>
      </c>
      <c r="Q32" s="145">
        <v>8</v>
      </c>
      <c r="R32" s="35"/>
      <c r="S32" s="35"/>
    </row>
    <row r="33" spans="1:19" ht="16.5" thickTop="1" thickBot="1">
      <c r="A33" s="47">
        <f>IF(B33="","",19)</f>
        <v>19</v>
      </c>
      <c r="B33" s="52" t="str">
        <f>DATOS!B30</f>
        <v>LOOR LOPEZ ALEXANDER JEAMPIERRE</v>
      </c>
      <c r="C33" s="144">
        <v>9</v>
      </c>
      <c r="D33" s="145">
        <v>10</v>
      </c>
      <c r="E33" s="145"/>
      <c r="F33" s="54">
        <f t="shared" si="0"/>
        <v>9.5</v>
      </c>
      <c r="G33" s="179">
        <f t="shared" si="1"/>
        <v>10</v>
      </c>
      <c r="H33" s="180" t="str">
        <f t="shared" si="5"/>
        <v>A+</v>
      </c>
      <c r="I33" s="46"/>
      <c r="J33" s="144">
        <v>9</v>
      </c>
      <c r="K33" s="145">
        <v>10</v>
      </c>
      <c r="L33" s="57"/>
      <c r="M33" s="54">
        <f t="shared" si="2"/>
        <v>9.5</v>
      </c>
      <c r="N33" s="179">
        <f t="shared" si="3"/>
        <v>10</v>
      </c>
      <c r="O33" s="180" t="str">
        <f t="shared" si="4"/>
        <v>A+</v>
      </c>
      <c r="P33" s="144">
        <v>9</v>
      </c>
      <c r="Q33" s="145">
        <v>10</v>
      </c>
      <c r="R33" s="35"/>
      <c r="S33" s="35"/>
    </row>
    <row r="34" spans="1:19" ht="16.5" thickTop="1" thickBot="1">
      <c r="A34" s="47">
        <f>IF(B34="","",20)</f>
        <v>20</v>
      </c>
      <c r="B34" s="52" t="str">
        <f>DATOS!B31</f>
        <v>LOPEZ CARRASCO LIA ALEJANDRA</v>
      </c>
      <c r="C34" s="144">
        <v>9</v>
      </c>
      <c r="D34" s="145">
        <v>10</v>
      </c>
      <c r="E34" s="145"/>
      <c r="F34" s="54">
        <f t="shared" si="0"/>
        <v>9.5</v>
      </c>
      <c r="G34" s="179">
        <f t="shared" si="1"/>
        <v>10</v>
      </c>
      <c r="H34" s="180" t="str">
        <f t="shared" si="5"/>
        <v>A+</v>
      </c>
      <c r="I34" s="46"/>
      <c r="J34" s="144">
        <v>9</v>
      </c>
      <c r="K34" s="145">
        <v>10</v>
      </c>
      <c r="L34" s="57"/>
      <c r="M34" s="54">
        <f t="shared" si="2"/>
        <v>9.5</v>
      </c>
      <c r="N34" s="179">
        <f t="shared" si="3"/>
        <v>10</v>
      </c>
      <c r="O34" s="180" t="str">
        <f t="shared" si="4"/>
        <v>A+</v>
      </c>
      <c r="P34" s="144">
        <v>9</v>
      </c>
      <c r="Q34" s="145">
        <v>10</v>
      </c>
      <c r="R34" s="35"/>
      <c r="S34" s="35"/>
    </row>
    <row r="35" spans="1:19" ht="16.5" thickTop="1" thickBot="1">
      <c r="A35" s="47">
        <f>IF(B35="","",21)</f>
        <v>21</v>
      </c>
      <c r="B35" s="52" t="str">
        <f>DATOS!B32</f>
        <v>MASAPANTA CASA JUAN MIGUEL</v>
      </c>
      <c r="C35" s="144">
        <v>7</v>
      </c>
      <c r="D35" s="145">
        <v>7</v>
      </c>
      <c r="E35" s="58"/>
      <c r="F35" s="54">
        <f t="shared" si="0"/>
        <v>7</v>
      </c>
      <c r="G35" s="179">
        <f t="shared" si="1"/>
        <v>7</v>
      </c>
      <c r="H35" s="180" t="str">
        <f t="shared" si="5"/>
        <v>B-</v>
      </c>
      <c r="I35" s="46"/>
      <c r="J35" s="144">
        <v>7</v>
      </c>
      <c r="K35" s="145">
        <v>7</v>
      </c>
      <c r="L35" s="57"/>
      <c r="M35" s="54">
        <f t="shared" si="2"/>
        <v>7</v>
      </c>
      <c r="N35" s="179">
        <f t="shared" si="3"/>
        <v>7</v>
      </c>
      <c r="O35" s="180" t="str">
        <f t="shared" si="4"/>
        <v>B-</v>
      </c>
      <c r="P35" s="144">
        <v>7</v>
      </c>
      <c r="Q35" s="145">
        <v>7</v>
      </c>
      <c r="R35" s="35"/>
      <c r="S35" s="35"/>
    </row>
    <row r="36" spans="1:19" ht="16.5" thickTop="1" thickBot="1">
      <c r="A36" s="47">
        <f>IF(B36="","",22)</f>
        <v>22</v>
      </c>
      <c r="B36" s="52" t="str">
        <f>DATOS!B33</f>
        <v>MENDOZA TOAPANTA VERONICA MARISOL</v>
      </c>
      <c r="C36" s="144">
        <v>9</v>
      </c>
      <c r="D36" s="145">
        <v>10</v>
      </c>
      <c r="E36" s="57"/>
      <c r="F36" s="54">
        <f t="shared" si="0"/>
        <v>9.5</v>
      </c>
      <c r="G36" s="179">
        <f t="shared" si="1"/>
        <v>10</v>
      </c>
      <c r="H36" s="180" t="str">
        <f t="shared" si="5"/>
        <v>A+</v>
      </c>
      <c r="I36" s="46"/>
      <c r="J36" s="144">
        <v>9</v>
      </c>
      <c r="K36" s="145">
        <v>10</v>
      </c>
      <c r="L36" s="57"/>
      <c r="M36" s="54">
        <f t="shared" si="2"/>
        <v>9.5</v>
      </c>
      <c r="N36" s="179">
        <f t="shared" si="3"/>
        <v>10</v>
      </c>
      <c r="O36" s="180" t="str">
        <f t="shared" si="4"/>
        <v>A+</v>
      </c>
      <c r="P36" s="144">
        <v>9</v>
      </c>
      <c r="Q36" s="145">
        <v>10</v>
      </c>
      <c r="R36" s="35"/>
      <c r="S36" s="35"/>
    </row>
    <row r="37" spans="1:19" ht="16.5" thickTop="1" thickBot="1">
      <c r="A37" s="47">
        <f>IF(B37="","",23)</f>
        <v>23</v>
      </c>
      <c r="B37" s="52" t="str">
        <f>DATOS!B34</f>
        <v>MONTA CHICAIZA JOSSELYN MICAELA</v>
      </c>
      <c r="C37" s="144">
        <v>8</v>
      </c>
      <c r="D37" s="145">
        <v>8</v>
      </c>
      <c r="E37" s="57"/>
      <c r="F37" s="54">
        <f t="shared" si="0"/>
        <v>8</v>
      </c>
      <c r="G37" s="179">
        <f t="shared" si="1"/>
        <v>8</v>
      </c>
      <c r="H37" s="180" t="str">
        <f t="shared" si="5"/>
        <v>B+</v>
      </c>
      <c r="I37" s="46"/>
      <c r="J37" s="144">
        <v>8</v>
      </c>
      <c r="K37" s="145">
        <v>8</v>
      </c>
      <c r="L37" s="57"/>
      <c r="M37" s="54">
        <f t="shared" si="2"/>
        <v>8</v>
      </c>
      <c r="N37" s="179">
        <f t="shared" si="3"/>
        <v>8</v>
      </c>
      <c r="O37" s="180" t="str">
        <f t="shared" si="4"/>
        <v>B+</v>
      </c>
      <c r="P37" s="144">
        <v>8</v>
      </c>
      <c r="Q37" s="145">
        <v>8</v>
      </c>
      <c r="R37" s="35"/>
      <c r="S37" s="35"/>
    </row>
    <row r="38" spans="1:19" ht="16.5" thickTop="1" thickBot="1">
      <c r="A38" s="47">
        <f>IF(B38="","",24)</f>
        <v>24</v>
      </c>
      <c r="B38" s="52" t="str">
        <f>DATOS!B35</f>
        <v>OTO ABRIL ERICK JAHIR</v>
      </c>
      <c r="C38" s="144">
        <v>8</v>
      </c>
      <c r="D38" s="145">
        <v>8</v>
      </c>
      <c r="E38" s="57"/>
      <c r="F38" s="54">
        <f t="shared" si="0"/>
        <v>8</v>
      </c>
      <c r="G38" s="179">
        <f t="shared" si="1"/>
        <v>8</v>
      </c>
      <c r="H38" s="180" t="str">
        <f t="shared" si="5"/>
        <v>B+</v>
      </c>
      <c r="I38" s="46"/>
      <c r="J38" s="144">
        <v>8</v>
      </c>
      <c r="K38" s="145">
        <v>8</v>
      </c>
      <c r="L38" s="57"/>
      <c r="M38" s="54">
        <f t="shared" si="2"/>
        <v>8</v>
      </c>
      <c r="N38" s="179">
        <f t="shared" si="3"/>
        <v>8</v>
      </c>
      <c r="O38" s="180" t="str">
        <f t="shared" si="4"/>
        <v>B+</v>
      </c>
      <c r="P38" s="144">
        <v>8</v>
      </c>
      <c r="Q38" s="145">
        <v>8</v>
      </c>
      <c r="R38" s="35"/>
      <c r="S38" s="35"/>
    </row>
    <row r="39" spans="1:19" ht="16.5" thickTop="1" thickBot="1">
      <c r="A39" s="47">
        <f>IF(B39="","",25)</f>
        <v>25</v>
      </c>
      <c r="B39" s="52" t="str">
        <f>DATOS!B36</f>
        <v>PROAÑO TOAQUIZA FERNANDO JOSUE</v>
      </c>
      <c r="C39" s="144">
        <v>10</v>
      </c>
      <c r="D39" s="145">
        <v>10</v>
      </c>
      <c r="E39" s="57"/>
      <c r="F39" s="54">
        <f t="shared" si="0"/>
        <v>10</v>
      </c>
      <c r="G39" s="179">
        <f t="shared" si="1"/>
        <v>10</v>
      </c>
      <c r="H39" s="180" t="str">
        <f t="shared" si="5"/>
        <v>A+</v>
      </c>
      <c r="I39" s="46"/>
      <c r="J39" s="144">
        <v>10</v>
      </c>
      <c r="K39" s="145">
        <v>10</v>
      </c>
      <c r="L39" s="57"/>
      <c r="M39" s="54">
        <f t="shared" si="2"/>
        <v>10</v>
      </c>
      <c r="N39" s="179">
        <f t="shared" si="3"/>
        <v>10</v>
      </c>
      <c r="O39" s="180" t="str">
        <f t="shared" si="4"/>
        <v>A+</v>
      </c>
      <c r="P39" s="144">
        <v>10</v>
      </c>
      <c r="Q39" s="145">
        <v>10</v>
      </c>
      <c r="R39" s="35"/>
      <c r="S39" s="35"/>
    </row>
    <row r="40" spans="1:19" ht="16.5" thickTop="1" thickBot="1">
      <c r="A40" s="47">
        <f>IF(B40="","",26)</f>
        <v>26</v>
      </c>
      <c r="B40" s="52" t="str">
        <f>DATOS!B37</f>
        <v>QUILUMBA TOAPANTA ADRIANA CAROLINA</v>
      </c>
      <c r="C40" s="144">
        <v>9</v>
      </c>
      <c r="D40" s="145">
        <v>9.5</v>
      </c>
      <c r="E40" s="58"/>
      <c r="F40" s="54">
        <f t="shared" si="0"/>
        <v>9.25</v>
      </c>
      <c r="G40" s="179">
        <f t="shared" si="1"/>
        <v>9</v>
      </c>
      <c r="H40" s="180" t="str">
        <f t="shared" si="5"/>
        <v>A-</v>
      </c>
      <c r="I40" s="46"/>
      <c r="J40" s="144">
        <v>9</v>
      </c>
      <c r="K40" s="145">
        <v>9.5</v>
      </c>
      <c r="L40" s="57"/>
      <c r="M40" s="54">
        <f t="shared" si="2"/>
        <v>9.25</v>
      </c>
      <c r="N40" s="179">
        <f t="shared" si="3"/>
        <v>9</v>
      </c>
      <c r="O40" s="180" t="str">
        <f t="shared" si="4"/>
        <v>A-</v>
      </c>
      <c r="P40" s="144">
        <v>9</v>
      </c>
      <c r="Q40" s="145">
        <v>9.5</v>
      </c>
      <c r="R40" s="35"/>
      <c r="S40" s="35"/>
    </row>
    <row r="41" spans="1:19" ht="16.5" thickTop="1" thickBot="1">
      <c r="A41" s="47">
        <f>IF(B41="","",27)</f>
        <v>27</v>
      </c>
      <c r="B41" s="52" t="str">
        <f>DATOS!B38</f>
        <v>RENGIFO COLLANTES DANNY SANTIAGO</v>
      </c>
      <c r="C41" s="144">
        <v>8</v>
      </c>
      <c r="D41" s="145">
        <v>10</v>
      </c>
      <c r="E41" s="58"/>
      <c r="F41" s="54">
        <f t="shared" si="0"/>
        <v>9</v>
      </c>
      <c r="G41" s="179">
        <f t="shared" si="1"/>
        <v>9</v>
      </c>
      <c r="H41" s="180" t="str">
        <f t="shared" si="5"/>
        <v>A-</v>
      </c>
      <c r="I41" s="46"/>
      <c r="J41" s="144">
        <v>8</v>
      </c>
      <c r="K41" s="145">
        <v>10</v>
      </c>
      <c r="L41" s="57"/>
      <c r="M41" s="54">
        <f t="shared" si="2"/>
        <v>9</v>
      </c>
      <c r="N41" s="179">
        <f t="shared" si="3"/>
        <v>9</v>
      </c>
      <c r="O41" s="180" t="str">
        <f t="shared" si="4"/>
        <v>A-</v>
      </c>
      <c r="P41" s="144">
        <v>8</v>
      </c>
      <c r="Q41" s="145">
        <v>10</v>
      </c>
      <c r="R41" s="35"/>
      <c r="S41" s="35"/>
    </row>
    <row r="42" spans="1:19" ht="16.5" thickTop="1" thickBot="1">
      <c r="A42" s="47">
        <f>IF(B42="","",28)</f>
        <v>28</v>
      </c>
      <c r="B42" s="52" t="str">
        <f>DATOS!B39</f>
        <v xml:space="preserve">SIMBAÑA HERNANDEZ JOAO JAVIER                     </v>
      </c>
      <c r="C42" s="144">
        <v>6</v>
      </c>
      <c r="D42" s="145">
        <v>10</v>
      </c>
      <c r="E42" s="58"/>
      <c r="F42" s="54">
        <f t="shared" si="0"/>
        <v>8</v>
      </c>
      <c r="G42" s="179">
        <f t="shared" si="1"/>
        <v>8</v>
      </c>
      <c r="H42" s="180" t="str">
        <f t="shared" si="5"/>
        <v>B+</v>
      </c>
      <c r="I42" s="46"/>
      <c r="J42" s="144">
        <v>6</v>
      </c>
      <c r="K42" s="145">
        <v>10</v>
      </c>
      <c r="L42" s="57"/>
      <c r="M42" s="54">
        <f t="shared" si="2"/>
        <v>8</v>
      </c>
      <c r="N42" s="179">
        <f t="shared" si="3"/>
        <v>8</v>
      </c>
      <c r="O42" s="180" t="str">
        <f t="shared" si="4"/>
        <v>B+</v>
      </c>
      <c r="P42" s="144">
        <v>6</v>
      </c>
      <c r="Q42" s="145">
        <v>10</v>
      </c>
      <c r="R42" s="35"/>
      <c r="S42" s="35"/>
    </row>
    <row r="43" spans="1:19" ht="16.5" thickTop="1" thickBot="1">
      <c r="A43" s="47">
        <f>IF(B43="","",29)</f>
        <v>29</v>
      </c>
      <c r="B43" s="52" t="str">
        <f>DATOS!B40</f>
        <v>TOAPANTA CHICAIZA JENNY ESTEFANIA</v>
      </c>
      <c r="C43" s="144">
        <v>7</v>
      </c>
      <c r="D43" s="145">
        <v>7</v>
      </c>
      <c r="E43" s="58"/>
      <c r="F43" s="54">
        <f t="shared" si="0"/>
        <v>7</v>
      </c>
      <c r="G43" s="179">
        <f t="shared" si="1"/>
        <v>7</v>
      </c>
      <c r="H43" s="180" t="str">
        <f t="shared" si="5"/>
        <v>B-</v>
      </c>
      <c r="I43" s="46"/>
      <c r="J43" s="144">
        <v>7</v>
      </c>
      <c r="K43" s="145">
        <v>7</v>
      </c>
      <c r="L43" s="57"/>
      <c r="M43" s="54">
        <f t="shared" si="2"/>
        <v>7</v>
      </c>
      <c r="N43" s="179">
        <f t="shared" si="3"/>
        <v>7</v>
      </c>
      <c r="O43" s="180" t="str">
        <f t="shared" si="4"/>
        <v>B-</v>
      </c>
      <c r="P43" s="144">
        <v>7</v>
      </c>
      <c r="Q43" s="145">
        <v>7</v>
      </c>
      <c r="R43" s="35"/>
      <c r="S43" s="35"/>
    </row>
    <row r="44" spans="1:19" ht="16.5" thickTop="1" thickBot="1">
      <c r="A44" s="47">
        <f>IF(B44="","",30)</f>
        <v>30</v>
      </c>
      <c r="B44" s="52" t="str">
        <f>DATOS!B41</f>
        <v>TOAQUIZA CATOTA DENNIS ALEXANDER</v>
      </c>
      <c r="C44" s="144">
        <v>7</v>
      </c>
      <c r="D44" s="145">
        <v>10</v>
      </c>
      <c r="E44" s="58"/>
      <c r="F44" s="54">
        <f t="shared" si="0"/>
        <v>8.5</v>
      </c>
      <c r="G44" s="179">
        <f t="shared" si="1"/>
        <v>9</v>
      </c>
      <c r="H44" s="180" t="str">
        <f t="shared" si="5"/>
        <v>A-</v>
      </c>
      <c r="I44" s="46"/>
      <c r="J44" s="144">
        <v>7</v>
      </c>
      <c r="K44" s="145">
        <v>10</v>
      </c>
      <c r="L44" s="57"/>
      <c r="M44" s="54">
        <f t="shared" si="2"/>
        <v>8.5</v>
      </c>
      <c r="N44" s="179">
        <f t="shared" si="3"/>
        <v>9</v>
      </c>
      <c r="O44" s="180" t="str">
        <f t="shared" si="4"/>
        <v>A-</v>
      </c>
      <c r="P44" s="144">
        <v>7</v>
      </c>
      <c r="Q44" s="145">
        <v>10</v>
      </c>
      <c r="R44" s="35"/>
      <c r="S44" s="35"/>
    </row>
    <row r="45" spans="1:19" ht="16.5" thickTop="1" thickBot="1">
      <c r="A45" s="47">
        <v>31</v>
      </c>
      <c r="B45" s="52" t="str">
        <f>DATOS!B42</f>
        <v>TOAQUIZA LEMA MELANY ANAHI</v>
      </c>
      <c r="C45" s="144">
        <v>9</v>
      </c>
      <c r="D45" s="145">
        <v>8</v>
      </c>
      <c r="E45" s="58"/>
      <c r="F45" s="54">
        <f t="shared" si="0"/>
        <v>8.5</v>
      </c>
      <c r="G45" s="179">
        <f t="shared" si="1"/>
        <v>9</v>
      </c>
      <c r="H45" s="180" t="str">
        <f t="shared" si="5"/>
        <v>A-</v>
      </c>
      <c r="I45" s="46"/>
      <c r="J45" s="144">
        <v>9</v>
      </c>
      <c r="K45" s="145">
        <v>8</v>
      </c>
      <c r="L45" s="57"/>
      <c r="M45" s="54">
        <f t="shared" si="2"/>
        <v>8.5</v>
      </c>
      <c r="N45" s="179">
        <f t="shared" si="3"/>
        <v>9</v>
      </c>
      <c r="O45" s="180" t="str">
        <f t="shared" si="4"/>
        <v>A-</v>
      </c>
      <c r="P45" s="144">
        <v>9</v>
      </c>
      <c r="Q45" s="145">
        <v>8</v>
      </c>
      <c r="R45" s="35"/>
      <c r="S45" s="35"/>
    </row>
    <row r="46" spans="1:19" ht="16.5" thickTop="1" thickBot="1">
      <c r="A46" s="47">
        <v>32</v>
      </c>
      <c r="B46" s="52" t="str">
        <f>DATOS!B43</f>
        <v>TOCTAGUANO TUMBACO MAHOLY GUADALUPE</v>
      </c>
      <c r="C46" s="144">
        <v>9</v>
      </c>
      <c r="D46" s="145">
        <v>8</v>
      </c>
      <c r="E46" s="58"/>
      <c r="F46" s="54">
        <f t="shared" si="0"/>
        <v>8.5</v>
      </c>
      <c r="G46" s="179">
        <f t="shared" si="1"/>
        <v>9</v>
      </c>
      <c r="H46" s="180" t="str">
        <f t="shared" si="5"/>
        <v>A-</v>
      </c>
      <c r="I46" s="46"/>
      <c r="J46" s="144">
        <v>9</v>
      </c>
      <c r="K46" s="145">
        <v>8</v>
      </c>
      <c r="L46" s="57"/>
      <c r="M46" s="54">
        <f t="shared" si="2"/>
        <v>8.5</v>
      </c>
      <c r="N46" s="179">
        <f t="shared" si="3"/>
        <v>9</v>
      </c>
      <c r="O46" s="180" t="str">
        <f t="shared" si="4"/>
        <v>A-</v>
      </c>
      <c r="P46" s="144">
        <v>9</v>
      </c>
      <c r="Q46" s="145">
        <v>8</v>
      </c>
      <c r="R46" s="35"/>
      <c r="S46" s="35"/>
    </row>
    <row r="47" spans="1:19" ht="16.5" thickTop="1" thickBot="1">
      <c r="A47" s="47">
        <v>33</v>
      </c>
      <c r="B47" s="52" t="str">
        <f>DATOS!B44</f>
        <v>TONATO YUGCHA STALIN JOEL</v>
      </c>
      <c r="C47" s="144">
        <v>8</v>
      </c>
      <c r="D47" s="145">
        <v>8</v>
      </c>
      <c r="E47" s="58"/>
      <c r="F47" s="54">
        <f t="shared" si="0"/>
        <v>8</v>
      </c>
      <c r="G47" s="179">
        <f t="shared" si="1"/>
        <v>8</v>
      </c>
      <c r="H47" s="180" t="str">
        <f t="shared" si="5"/>
        <v>B+</v>
      </c>
      <c r="I47" s="46"/>
      <c r="J47" s="144">
        <v>8</v>
      </c>
      <c r="K47" s="145">
        <v>8</v>
      </c>
      <c r="L47" s="57"/>
      <c r="M47" s="54">
        <f t="shared" si="2"/>
        <v>8</v>
      </c>
      <c r="N47" s="179">
        <f t="shared" si="3"/>
        <v>8</v>
      </c>
      <c r="O47" s="180" t="str">
        <f t="shared" si="4"/>
        <v>B+</v>
      </c>
      <c r="P47" s="144">
        <v>8</v>
      </c>
      <c r="Q47" s="145">
        <v>8</v>
      </c>
      <c r="R47" s="35"/>
      <c r="S47" s="35"/>
    </row>
    <row r="48" spans="1:19" ht="16.5" thickTop="1" thickBot="1">
      <c r="A48" s="47">
        <v>34</v>
      </c>
      <c r="B48" s="52" t="str">
        <f>DATOS!B45</f>
        <v>VILLACRESES MUÑOZ MARIA LUCRECIA</v>
      </c>
      <c r="C48" s="144">
        <v>7.5</v>
      </c>
      <c r="D48" s="145">
        <v>10</v>
      </c>
      <c r="E48" s="58"/>
      <c r="F48" s="54">
        <f t="shared" si="0"/>
        <v>8.75</v>
      </c>
      <c r="G48" s="179">
        <f t="shared" si="1"/>
        <v>9</v>
      </c>
      <c r="H48" s="180" t="str">
        <f t="shared" si="5"/>
        <v>A-</v>
      </c>
      <c r="I48" s="46"/>
      <c r="J48" s="144">
        <v>7.5</v>
      </c>
      <c r="K48" s="145">
        <v>10</v>
      </c>
      <c r="L48" s="57"/>
      <c r="M48" s="54">
        <f t="shared" si="2"/>
        <v>8.75</v>
      </c>
      <c r="N48" s="179">
        <f t="shared" si="3"/>
        <v>9</v>
      </c>
      <c r="O48" s="180" t="str">
        <f t="shared" si="4"/>
        <v>A-</v>
      </c>
      <c r="P48" s="144">
        <v>7.5</v>
      </c>
      <c r="Q48" s="145">
        <v>10</v>
      </c>
      <c r="R48" s="35"/>
      <c r="S48" s="35"/>
    </row>
    <row r="49" spans="1:19" ht="16.5" thickTop="1" thickBot="1">
      <c r="A49" s="47">
        <v>35</v>
      </c>
      <c r="B49" s="52" t="str">
        <f>DATOS!B46</f>
        <v>ZAMORA LEAL MAYKEL JOSUE</v>
      </c>
      <c r="C49" s="144">
        <v>5.5</v>
      </c>
      <c r="D49" s="145">
        <v>10</v>
      </c>
      <c r="E49" s="58"/>
      <c r="F49" s="54">
        <f t="shared" si="0"/>
        <v>7.75</v>
      </c>
      <c r="G49" s="179">
        <f t="shared" si="1"/>
        <v>8</v>
      </c>
      <c r="H49" s="180" t="str">
        <f t="shared" si="5"/>
        <v>B+</v>
      </c>
      <c r="I49" s="46"/>
      <c r="J49" s="144">
        <v>5.5</v>
      </c>
      <c r="K49" s="145">
        <v>10</v>
      </c>
      <c r="L49" s="57"/>
      <c r="M49" s="54">
        <f t="shared" si="2"/>
        <v>7.75</v>
      </c>
      <c r="N49" s="179">
        <f t="shared" si="3"/>
        <v>8</v>
      </c>
      <c r="O49" s="180" t="str">
        <f t="shared" si="4"/>
        <v>B+</v>
      </c>
      <c r="P49" s="144">
        <v>5.5</v>
      </c>
      <c r="Q49" s="145">
        <v>10</v>
      </c>
      <c r="R49" s="35"/>
      <c r="S49" s="35"/>
    </row>
    <row r="50" spans="1:19" ht="16.5" thickTop="1" thickBot="1">
      <c r="A50" s="47">
        <v>36</v>
      </c>
      <c r="B50" s="52">
        <f>DATOS!B47</f>
        <v>0</v>
      </c>
      <c r="C50" s="144"/>
      <c r="D50" s="145"/>
      <c r="E50" s="58"/>
      <c r="F50" s="54" t="e">
        <f t="shared" si="0"/>
        <v>#DIV/0!</v>
      </c>
      <c r="G50" s="179" t="e">
        <f t="shared" si="1"/>
        <v>#DIV/0!</v>
      </c>
      <c r="H50" s="180" t="e">
        <f t="shared" si="5"/>
        <v>#DIV/0!</v>
      </c>
      <c r="I50" s="46"/>
      <c r="J50" s="144"/>
      <c r="K50" s="145"/>
      <c r="L50" s="57"/>
      <c r="M50" s="54" t="e">
        <f t="shared" si="2"/>
        <v>#DIV/0!</v>
      </c>
      <c r="N50" s="179" t="e">
        <f t="shared" si="3"/>
        <v>#DIV/0!</v>
      </c>
      <c r="O50" s="180" t="e">
        <f t="shared" si="4"/>
        <v>#DIV/0!</v>
      </c>
      <c r="P50" s="144"/>
      <c r="Q50" s="145"/>
      <c r="R50" s="35"/>
      <c r="S50" s="35"/>
    </row>
    <row r="51" spans="1:19" ht="16.5" thickTop="1" thickBot="1">
      <c r="A51" s="47">
        <v>37</v>
      </c>
      <c r="B51" s="52">
        <f>DATOS!B48</f>
        <v>0</v>
      </c>
      <c r="C51" s="57"/>
      <c r="D51" s="57"/>
      <c r="E51" s="58"/>
      <c r="F51" s="54" t="e">
        <f t="shared" si="0"/>
        <v>#DIV/0!</v>
      </c>
      <c r="G51" s="179" t="e">
        <f t="shared" si="1"/>
        <v>#DIV/0!</v>
      </c>
      <c r="H51" s="180" t="e">
        <f t="shared" si="5"/>
        <v>#DIV/0!</v>
      </c>
      <c r="I51" s="46"/>
      <c r="J51" s="57"/>
      <c r="K51" s="57"/>
      <c r="L51" s="57"/>
      <c r="M51" s="54" t="e">
        <f t="shared" si="2"/>
        <v>#DIV/0!</v>
      </c>
      <c r="N51" s="179" t="e">
        <f t="shared" si="3"/>
        <v>#DIV/0!</v>
      </c>
      <c r="O51" s="180" t="e">
        <f t="shared" si="4"/>
        <v>#DIV/0!</v>
      </c>
      <c r="P51" s="57"/>
      <c r="Q51" s="57"/>
      <c r="R51" s="35"/>
      <c r="S51" s="35"/>
    </row>
    <row r="52" spans="1:19" ht="16.5" thickTop="1" thickBot="1">
      <c r="A52" s="47">
        <v>38</v>
      </c>
      <c r="B52" s="52">
        <f>DATOS!B49</f>
        <v>0</v>
      </c>
      <c r="C52" s="57"/>
      <c r="D52" s="57"/>
      <c r="E52" s="58"/>
      <c r="F52" s="54" t="e">
        <f t="shared" si="0"/>
        <v>#DIV/0!</v>
      </c>
      <c r="G52" s="179" t="e">
        <f t="shared" si="1"/>
        <v>#DIV/0!</v>
      </c>
      <c r="H52" s="180" t="e">
        <f t="shared" si="5"/>
        <v>#DIV/0!</v>
      </c>
      <c r="I52" s="46"/>
      <c r="J52" s="57"/>
      <c r="K52" s="57"/>
      <c r="L52" s="57"/>
      <c r="M52" s="54" t="e">
        <f t="shared" si="2"/>
        <v>#DIV/0!</v>
      </c>
      <c r="N52" s="179" t="e">
        <f t="shared" si="3"/>
        <v>#DIV/0!</v>
      </c>
      <c r="O52" s="180" t="e">
        <f t="shared" si="4"/>
        <v>#DIV/0!</v>
      </c>
      <c r="P52" s="57"/>
      <c r="Q52" s="57"/>
      <c r="R52" s="35"/>
      <c r="S52" s="35"/>
    </row>
    <row r="53" spans="1:19" ht="16.5" thickTop="1" thickBot="1">
      <c r="A53" s="47">
        <v>39</v>
      </c>
      <c r="B53" s="52">
        <f>DATOS!B50</f>
        <v>0</v>
      </c>
      <c r="C53" s="57"/>
      <c r="D53" s="57"/>
      <c r="E53" s="58"/>
      <c r="F53" s="54" t="e">
        <f t="shared" si="0"/>
        <v>#DIV/0!</v>
      </c>
      <c r="G53" s="179" t="e">
        <f t="shared" si="1"/>
        <v>#DIV/0!</v>
      </c>
      <c r="H53" s="180" t="e">
        <f t="shared" si="5"/>
        <v>#DIV/0!</v>
      </c>
      <c r="I53" s="46"/>
      <c r="J53" s="57"/>
      <c r="K53" s="57"/>
      <c r="L53" s="57"/>
      <c r="M53" s="54" t="e">
        <f t="shared" si="2"/>
        <v>#DIV/0!</v>
      </c>
      <c r="N53" s="179" t="e">
        <f t="shared" si="3"/>
        <v>#DIV/0!</v>
      </c>
      <c r="O53" s="180" t="e">
        <f t="shared" si="4"/>
        <v>#DIV/0!</v>
      </c>
      <c r="P53" s="57"/>
      <c r="Q53" s="57"/>
      <c r="R53" s="35"/>
      <c r="S53" s="35"/>
    </row>
    <row r="54" spans="1:19" ht="16.5" thickTop="1" thickBot="1">
      <c r="A54" s="47">
        <v>40</v>
      </c>
      <c r="B54" s="52">
        <f>DATOS!B51</f>
        <v>0</v>
      </c>
      <c r="C54" s="57"/>
      <c r="D54" s="57"/>
      <c r="E54" s="58"/>
      <c r="F54" s="54" t="e">
        <f t="shared" si="0"/>
        <v>#DIV/0!</v>
      </c>
      <c r="G54" s="179" t="e">
        <f t="shared" si="1"/>
        <v>#DIV/0!</v>
      </c>
      <c r="H54" s="180" t="e">
        <f t="shared" si="5"/>
        <v>#DIV/0!</v>
      </c>
      <c r="I54" s="46"/>
      <c r="J54" s="57"/>
      <c r="K54" s="57"/>
      <c r="L54" s="57"/>
      <c r="M54" s="54" t="e">
        <f t="shared" si="2"/>
        <v>#DIV/0!</v>
      </c>
      <c r="N54" s="179" t="e">
        <f t="shared" si="3"/>
        <v>#DIV/0!</v>
      </c>
      <c r="O54" s="180" t="e">
        <f t="shared" si="4"/>
        <v>#DIV/0!</v>
      </c>
      <c r="P54" s="57"/>
      <c r="Q54" s="57"/>
      <c r="R54" s="35"/>
      <c r="S54" s="35"/>
    </row>
    <row r="55" spans="1:19" ht="16.5" thickTop="1" thickBot="1">
      <c r="A55" s="47">
        <v>41</v>
      </c>
      <c r="B55" s="52">
        <f>DATOS!B52</f>
        <v>0</v>
      </c>
      <c r="C55" s="57"/>
      <c r="D55" s="57"/>
      <c r="E55" s="58"/>
      <c r="F55" s="54" t="e">
        <f t="shared" si="0"/>
        <v>#DIV/0!</v>
      </c>
      <c r="G55" s="179" t="e">
        <f t="shared" si="1"/>
        <v>#DIV/0!</v>
      </c>
      <c r="H55" s="180" t="e">
        <f t="shared" si="5"/>
        <v>#DIV/0!</v>
      </c>
      <c r="I55" s="46"/>
      <c r="J55" s="57"/>
      <c r="K55" s="57"/>
      <c r="L55" s="57"/>
      <c r="M55" s="54" t="e">
        <f t="shared" si="2"/>
        <v>#DIV/0!</v>
      </c>
      <c r="N55" s="179" t="e">
        <f t="shared" si="3"/>
        <v>#DIV/0!</v>
      </c>
      <c r="O55" s="180" t="e">
        <f t="shared" si="4"/>
        <v>#DIV/0!</v>
      </c>
      <c r="P55" s="57"/>
      <c r="Q55" s="57"/>
      <c r="R55" s="35"/>
      <c r="S55" s="35"/>
    </row>
    <row r="56" spans="1:19" ht="16.5" thickTop="1" thickBot="1">
      <c r="A56" s="47">
        <v>42</v>
      </c>
      <c r="B56" s="52">
        <f>DATOS!B53</f>
        <v>0</v>
      </c>
      <c r="C56" s="57"/>
      <c r="D56" s="57"/>
      <c r="E56" s="58"/>
      <c r="F56" s="54" t="e">
        <f t="shared" si="0"/>
        <v>#DIV/0!</v>
      </c>
      <c r="G56" s="179" t="e">
        <f t="shared" si="1"/>
        <v>#DIV/0!</v>
      </c>
      <c r="H56" s="180" t="e">
        <f t="shared" si="5"/>
        <v>#DIV/0!</v>
      </c>
      <c r="I56" s="46"/>
      <c r="J56" s="57"/>
      <c r="K56" s="57"/>
      <c r="L56" s="57"/>
      <c r="M56" s="54" t="e">
        <f t="shared" si="2"/>
        <v>#DIV/0!</v>
      </c>
      <c r="N56" s="179" t="e">
        <f t="shared" si="3"/>
        <v>#DIV/0!</v>
      </c>
      <c r="O56" s="180" t="e">
        <f t="shared" si="4"/>
        <v>#DIV/0!</v>
      </c>
      <c r="P56" s="57"/>
      <c r="Q56" s="57"/>
      <c r="R56" s="35"/>
      <c r="S56" s="35"/>
    </row>
    <row r="57" spans="1:19" ht="16.5" thickTop="1" thickBot="1">
      <c r="A57" s="47">
        <v>43</v>
      </c>
      <c r="B57" s="52">
        <f>DATOS!B54</f>
        <v>0</v>
      </c>
      <c r="C57" s="57"/>
      <c r="D57" s="57"/>
      <c r="E57" s="57"/>
      <c r="F57" s="54" t="e">
        <f t="shared" si="0"/>
        <v>#DIV/0!</v>
      </c>
      <c r="G57" s="179" t="e">
        <f t="shared" si="1"/>
        <v>#DIV/0!</v>
      </c>
      <c r="H57" s="180" t="e">
        <f t="shared" si="5"/>
        <v>#DIV/0!</v>
      </c>
      <c r="I57" s="46"/>
      <c r="J57" s="57"/>
      <c r="K57" s="57"/>
      <c r="L57" s="57"/>
      <c r="M57" s="54" t="e">
        <f t="shared" si="2"/>
        <v>#DIV/0!</v>
      </c>
      <c r="N57" s="179" t="e">
        <f t="shared" si="3"/>
        <v>#DIV/0!</v>
      </c>
      <c r="O57" s="180" t="e">
        <f t="shared" si="4"/>
        <v>#DIV/0!</v>
      </c>
      <c r="P57" s="57"/>
      <c r="Q57" s="57"/>
      <c r="R57" s="35"/>
      <c r="S57" s="35"/>
    </row>
    <row r="58" spans="1:19" ht="16.5" thickTop="1" thickBot="1">
      <c r="A58" s="47">
        <v>44</v>
      </c>
      <c r="B58" s="52">
        <f>DATOS!B55</f>
        <v>0</v>
      </c>
      <c r="C58" s="57"/>
      <c r="D58" s="57"/>
      <c r="E58" s="57"/>
      <c r="F58" s="54" t="e">
        <f t="shared" si="0"/>
        <v>#DIV/0!</v>
      </c>
      <c r="G58" s="179" t="e">
        <f t="shared" si="1"/>
        <v>#DIV/0!</v>
      </c>
      <c r="H58" s="180" t="e">
        <f t="shared" si="5"/>
        <v>#DIV/0!</v>
      </c>
      <c r="I58" s="46"/>
      <c r="J58" s="57"/>
      <c r="K58" s="57"/>
      <c r="L58" s="57"/>
      <c r="M58" s="54" t="e">
        <f t="shared" si="2"/>
        <v>#DIV/0!</v>
      </c>
      <c r="N58" s="179" t="e">
        <f t="shared" si="3"/>
        <v>#DIV/0!</v>
      </c>
      <c r="O58" s="180" t="e">
        <f t="shared" si="4"/>
        <v>#DIV/0!</v>
      </c>
      <c r="P58" s="57"/>
      <c r="Q58" s="57"/>
      <c r="R58" s="35"/>
      <c r="S58" s="35"/>
    </row>
    <row r="59" spans="1:19" ht="16.5" thickTop="1" thickBot="1">
      <c r="A59" s="48">
        <v>45</v>
      </c>
      <c r="B59" s="53">
        <f>DATOS!B56</f>
        <v>0</v>
      </c>
      <c r="C59" s="57"/>
      <c r="D59" s="57"/>
      <c r="E59" s="57"/>
      <c r="F59" s="54" t="e">
        <f t="shared" si="0"/>
        <v>#DIV/0!</v>
      </c>
      <c r="G59" s="179" t="e">
        <f t="shared" si="1"/>
        <v>#DIV/0!</v>
      </c>
      <c r="H59" s="180" t="e">
        <f t="shared" si="5"/>
        <v>#DIV/0!</v>
      </c>
      <c r="I59" s="49"/>
      <c r="J59" s="57"/>
      <c r="K59" s="57"/>
      <c r="L59" s="57"/>
      <c r="M59" s="54" t="e">
        <f t="shared" si="2"/>
        <v>#DIV/0!</v>
      </c>
      <c r="N59" s="179" t="e">
        <f t="shared" si="3"/>
        <v>#DIV/0!</v>
      </c>
      <c r="O59" s="180" t="e">
        <f t="shared" si="4"/>
        <v>#DIV/0!</v>
      </c>
      <c r="P59" s="57"/>
      <c r="Q59" s="57"/>
      <c r="R59" s="35"/>
      <c r="S59" s="35"/>
    </row>
    <row r="60" spans="1:19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</sheetData>
  <mergeCells count="21">
    <mergeCell ref="O11:O14"/>
    <mergeCell ref="P12:P14"/>
    <mergeCell ref="Q12:Q14"/>
    <mergeCell ref="A10:A14"/>
    <mergeCell ref="B10:B14"/>
    <mergeCell ref="J10:O10"/>
    <mergeCell ref="P10:Q11"/>
    <mergeCell ref="C11:E13"/>
    <mergeCell ref="F11:F14"/>
    <mergeCell ref="H11:H14"/>
    <mergeCell ref="J11:L13"/>
    <mergeCell ref="M11:M14"/>
    <mergeCell ref="G11:G14"/>
    <mergeCell ref="C10:H10"/>
    <mergeCell ref="N11:N14"/>
    <mergeCell ref="A1:M1"/>
    <mergeCell ref="C3:H3"/>
    <mergeCell ref="I3:M3"/>
    <mergeCell ref="C4:H4"/>
    <mergeCell ref="I4:M5"/>
    <mergeCell ref="C5:H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C13" workbookViewId="0">
      <selection activeCell="Q25" sqref="Q25"/>
    </sheetView>
  </sheetViews>
  <sheetFormatPr baseColWidth="10" defaultRowHeight="15"/>
  <cols>
    <col min="1" max="1" width="8.7109375" style="31" customWidth="1"/>
    <col min="2" max="2" width="45.42578125" style="31" customWidth="1"/>
    <col min="3" max="19" width="7.7109375" style="31" customWidth="1"/>
    <col min="20" max="20" width="23.7109375" style="31" bestFit="1" customWidth="1"/>
    <col min="21" max="23" width="7.7109375" style="31" customWidth="1"/>
    <col min="24" max="16384" width="11.42578125" style="31"/>
  </cols>
  <sheetData>
    <row r="1" spans="1:23">
      <c r="A1" s="306" t="s">
        <v>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</row>
    <row r="2" spans="1:23" ht="55.5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</row>
    <row r="3" spans="1:2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.75" thickBo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20.25" thickTop="1" thickBot="1">
      <c r="A5" s="59"/>
      <c r="B5" s="60" t="s">
        <v>28</v>
      </c>
      <c r="C5" s="307" t="str">
        <f>DATOS!B5</f>
        <v>Décimo EGB A</v>
      </c>
      <c r="D5" s="308"/>
      <c r="E5" s="308"/>
      <c r="F5" s="308"/>
      <c r="G5" s="308"/>
      <c r="H5" s="308"/>
      <c r="I5" s="309"/>
      <c r="J5" s="61"/>
      <c r="K5" s="316" t="s">
        <v>45</v>
      </c>
      <c r="L5" s="316"/>
      <c r="M5" s="316"/>
      <c r="N5" s="316"/>
      <c r="O5" s="313"/>
      <c r="P5" s="314"/>
      <c r="Q5" s="314"/>
      <c r="R5" s="314"/>
      <c r="S5" s="315"/>
      <c r="T5" s="30"/>
      <c r="U5" s="30"/>
      <c r="V5" s="317"/>
      <c r="W5" s="317"/>
    </row>
    <row r="6" spans="1:23" ht="20.25" thickTop="1" thickBot="1">
      <c r="A6" s="59"/>
      <c r="B6" s="60" t="s">
        <v>30</v>
      </c>
      <c r="C6" s="307" t="str">
        <f>DATOS!B4</f>
        <v>Msc. Myrian Zurita</v>
      </c>
      <c r="D6" s="308"/>
      <c r="E6" s="308"/>
      <c r="F6" s="308"/>
      <c r="G6" s="308"/>
      <c r="H6" s="308"/>
      <c r="I6" s="309"/>
      <c r="J6" s="61"/>
      <c r="K6" s="316" t="s">
        <v>46</v>
      </c>
      <c r="L6" s="316"/>
      <c r="M6" s="316"/>
      <c r="N6" s="316"/>
      <c r="O6" s="313"/>
      <c r="P6" s="314"/>
      <c r="Q6" s="314"/>
      <c r="R6" s="314"/>
      <c r="S6" s="315"/>
      <c r="T6" s="30"/>
      <c r="U6" s="30"/>
      <c r="V6" s="317"/>
      <c r="W6" s="317"/>
    </row>
    <row r="7" spans="1:23" ht="20.25" thickTop="1" thickBot="1">
      <c r="A7" s="59"/>
      <c r="B7" s="60" t="s">
        <v>32</v>
      </c>
      <c r="C7" s="307" t="str">
        <f>DATOS!B3</f>
        <v>Educación Cultural y Artitica</v>
      </c>
      <c r="D7" s="308"/>
      <c r="E7" s="308"/>
      <c r="F7" s="308"/>
      <c r="G7" s="308"/>
      <c r="H7" s="308"/>
      <c r="I7" s="309"/>
      <c r="J7" s="61"/>
      <c r="K7" s="316" t="s">
        <v>48</v>
      </c>
      <c r="L7" s="316"/>
      <c r="M7" s="316"/>
      <c r="N7" s="316"/>
      <c r="O7" s="307" t="str">
        <f>DATOS!B6</f>
        <v>Lic. Gabriela Banda</v>
      </c>
      <c r="P7" s="308"/>
      <c r="Q7" s="308"/>
      <c r="R7" s="308"/>
      <c r="S7" s="309"/>
      <c r="T7" s="30"/>
      <c r="U7" s="30"/>
      <c r="V7" s="30"/>
      <c r="W7" s="30"/>
    </row>
    <row r="8" spans="1:23" ht="20.25" thickTop="1" thickBot="1">
      <c r="A8" s="30"/>
      <c r="B8" s="62" t="s">
        <v>66</v>
      </c>
      <c r="C8" s="310" t="str">
        <f>DATOS!B2</f>
        <v>2023 - 2024</v>
      </c>
      <c r="D8" s="311"/>
      <c r="E8" s="311"/>
      <c r="F8" s="311"/>
      <c r="G8" s="311"/>
      <c r="H8" s="311"/>
      <c r="I8" s="312"/>
      <c r="J8" s="30"/>
      <c r="K8" s="318" t="s">
        <v>47</v>
      </c>
      <c r="L8" s="318"/>
      <c r="M8" s="318"/>
      <c r="N8" s="318"/>
      <c r="O8" s="310" t="s">
        <v>59</v>
      </c>
      <c r="P8" s="311"/>
      <c r="Q8" s="311"/>
      <c r="R8" s="311"/>
      <c r="S8" s="312"/>
      <c r="T8" s="30"/>
      <c r="U8" s="30"/>
      <c r="V8" s="30"/>
      <c r="W8" s="30"/>
    </row>
    <row r="9" spans="1:23" ht="20.25" thickTop="1" thickBot="1">
      <c r="B9" s="60" t="s">
        <v>29</v>
      </c>
      <c r="C9" s="285" t="s">
        <v>93</v>
      </c>
      <c r="D9" s="286"/>
      <c r="E9" s="286"/>
      <c r="F9" s="286"/>
      <c r="G9" s="286"/>
      <c r="H9" s="286"/>
      <c r="I9" s="287"/>
    </row>
    <row r="10" spans="1:23" ht="15.75" thickTop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4"/>
    </row>
    <row r="11" spans="1:23" ht="29.25" customHeight="1" thickBot="1">
      <c r="A11" s="279" t="s">
        <v>49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80"/>
    </row>
    <row r="12" spans="1:23" ht="16.5" customHeight="1" thickTop="1" thickBot="1">
      <c r="A12" s="330" t="s">
        <v>33</v>
      </c>
      <c r="B12" s="330" t="s">
        <v>34</v>
      </c>
      <c r="C12" s="333" t="s">
        <v>61</v>
      </c>
      <c r="D12" s="333"/>
      <c r="E12" s="333"/>
      <c r="F12" s="333"/>
      <c r="G12" s="334" t="s">
        <v>52</v>
      </c>
      <c r="H12" s="334"/>
      <c r="I12" s="334"/>
      <c r="J12" s="334"/>
      <c r="K12" s="335" t="s">
        <v>53</v>
      </c>
      <c r="L12" s="336" t="s">
        <v>37</v>
      </c>
      <c r="M12" s="336"/>
      <c r="N12" s="336"/>
      <c r="O12" s="336"/>
      <c r="P12" s="331" t="s">
        <v>50</v>
      </c>
      <c r="Q12" s="340" t="s">
        <v>65</v>
      </c>
      <c r="R12" s="340" t="s">
        <v>65</v>
      </c>
      <c r="S12" s="300" t="s">
        <v>51</v>
      </c>
      <c r="T12" s="295" t="s">
        <v>115</v>
      </c>
      <c r="U12" s="288" t="s">
        <v>54</v>
      </c>
      <c r="V12" s="288"/>
      <c r="W12" s="288"/>
    </row>
    <row r="13" spans="1:23" ht="16.5" customHeight="1" thickTop="1" thickBot="1">
      <c r="A13" s="330"/>
      <c r="B13" s="330"/>
      <c r="C13" s="333"/>
      <c r="D13" s="333"/>
      <c r="E13" s="333"/>
      <c r="F13" s="333"/>
      <c r="G13" s="334"/>
      <c r="H13" s="334"/>
      <c r="I13" s="334"/>
      <c r="J13" s="334"/>
      <c r="K13" s="335"/>
      <c r="L13" s="336"/>
      <c r="M13" s="336"/>
      <c r="N13" s="336"/>
      <c r="O13" s="336"/>
      <c r="P13" s="332"/>
      <c r="Q13" s="341"/>
      <c r="R13" s="341"/>
      <c r="S13" s="301"/>
      <c r="T13" s="296"/>
      <c r="U13" s="288"/>
      <c r="V13" s="288"/>
      <c r="W13" s="288"/>
    </row>
    <row r="14" spans="1:23" ht="16.5" thickTop="1" thickBot="1">
      <c r="A14" s="330"/>
      <c r="B14" s="330"/>
      <c r="C14" s="337" t="s">
        <v>60</v>
      </c>
      <c r="D14" s="337" t="s">
        <v>62</v>
      </c>
      <c r="E14" s="337" t="s">
        <v>62</v>
      </c>
      <c r="F14" s="338">
        <v>0.45</v>
      </c>
      <c r="G14" s="337" t="s">
        <v>60</v>
      </c>
      <c r="H14" s="337" t="s">
        <v>62</v>
      </c>
      <c r="I14" s="337" t="s">
        <v>62</v>
      </c>
      <c r="J14" s="338">
        <v>0.45</v>
      </c>
      <c r="K14" s="335"/>
      <c r="L14" s="342" t="s">
        <v>63</v>
      </c>
      <c r="M14" s="344">
        <v>0.05</v>
      </c>
      <c r="N14" s="342" t="s">
        <v>64</v>
      </c>
      <c r="O14" s="344">
        <v>0.05</v>
      </c>
      <c r="P14" s="332"/>
      <c r="Q14" s="341"/>
      <c r="R14" s="341"/>
      <c r="S14" s="301"/>
      <c r="T14" s="296"/>
      <c r="U14" s="288"/>
      <c r="V14" s="288"/>
      <c r="W14" s="288"/>
    </row>
    <row r="15" spans="1:23" ht="72.75" thickTop="1" thickBot="1">
      <c r="A15" s="330"/>
      <c r="B15" s="330"/>
      <c r="C15" s="337"/>
      <c r="D15" s="337"/>
      <c r="E15" s="337"/>
      <c r="F15" s="339"/>
      <c r="G15" s="337"/>
      <c r="H15" s="337"/>
      <c r="I15" s="337"/>
      <c r="J15" s="339" t="s">
        <v>55</v>
      </c>
      <c r="K15" s="335"/>
      <c r="L15" s="343"/>
      <c r="M15" s="345"/>
      <c r="N15" s="343"/>
      <c r="O15" s="345"/>
      <c r="P15" s="332"/>
      <c r="Q15" s="341"/>
      <c r="R15" s="341"/>
      <c r="S15" s="301"/>
      <c r="T15" s="297"/>
      <c r="U15" s="65" t="s">
        <v>56</v>
      </c>
      <c r="V15" s="65" t="s">
        <v>57</v>
      </c>
      <c r="W15" s="66" t="s">
        <v>58</v>
      </c>
    </row>
    <row r="16" spans="1:23" ht="17.25" thickTop="1" thickBot="1">
      <c r="A16" s="73">
        <v>1</v>
      </c>
      <c r="B16" s="74" t="str">
        <f>DATOS!B12</f>
        <v>AIMACAÑA LEMA JOSELYN MARISOL</v>
      </c>
      <c r="C16" s="75">
        <f>'NOTAS 3 ER TRIMESTRE'!F15</f>
        <v>7.5</v>
      </c>
      <c r="D16" s="75">
        <f>ROUND(C16,0)</f>
        <v>8</v>
      </c>
      <c r="E16" s="75" t="str">
        <f>'NOTAS 3 ER TRIMESTRE'!H15</f>
        <v>B+</v>
      </c>
      <c r="F16" s="76">
        <f>C16*0.45</f>
        <v>3.375</v>
      </c>
      <c r="G16" s="75">
        <f>'NOTAS 3 ER TRIMESTRE'!M15</f>
        <v>7.5</v>
      </c>
      <c r="H16" s="75">
        <f>ROUND(G16,0)</f>
        <v>8</v>
      </c>
      <c r="I16" s="75" t="str">
        <f>'NOTAS 3 ER TRIMESTRE'!O15</f>
        <v>B+</v>
      </c>
      <c r="J16" s="76">
        <f>G16*0.45</f>
        <v>3.375</v>
      </c>
      <c r="K16" s="77">
        <f>F16+J16</f>
        <v>6.75</v>
      </c>
      <c r="L16" s="75">
        <f>'NOTAS 3 ER TRIMESTRE'!P15</f>
        <v>9</v>
      </c>
      <c r="M16" s="76">
        <f>L16*0.05</f>
        <v>0.45</v>
      </c>
      <c r="N16" s="75">
        <f>'NOTAS 3 ER TRIMESTRE'!Q15</f>
        <v>6</v>
      </c>
      <c r="O16" s="76">
        <f>N16*0.05</f>
        <v>0.30000000000000004</v>
      </c>
      <c r="P16" s="77">
        <f>M16+O16</f>
        <v>0.75</v>
      </c>
      <c r="Q16" s="78">
        <f>K16+P16</f>
        <v>7.5</v>
      </c>
      <c r="R16" s="78">
        <f>ROUND(Q16,0)</f>
        <v>8</v>
      </c>
      <c r="S16" s="79" t="str">
        <f>IF(ROUND(Q16,0)=10,"A+",IF(ROUND(Q16,0)=9,"A-",IF(ROUND(Q16,0)=8,"B+",IF(ROUND(Q16,0)=7,"B-",IF(ROUND(Q16,0)=6,"C+",IF(ROUND(Q16,0)=5,"C-",IF(ROUND(17,0)=4,"D+",IF(ROUND(Q16,0)=3,"D-",IF(ROUND(Q16,0)=2,"E+",IF(ROUND(Q16,0)=1,"E-"))))))))))</f>
        <v>B+</v>
      </c>
      <c r="T16" s="115" t="str">
        <f>IF(Q16="","",IF(AND(Q16&gt;=7,Q16&lt;=10),"APROBADO",IF(AND(Q16&gt;=0,Q16&lt;7),"RECUPERACIÓN PEDAGOGICA")))</f>
        <v>APROBADO</v>
      </c>
      <c r="U16" s="68"/>
      <c r="V16" s="68"/>
      <c r="W16" s="68"/>
    </row>
    <row r="17" spans="1:23" ht="17.25" thickTop="1" thickBot="1">
      <c r="A17" s="73">
        <v>2</v>
      </c>
      <c r="B17" s="74" t="str">
        <f>DATOS!B13</f>
        <v>ALMACHI YUGCHA AYAN MIGUEL</v>
      </c>
      <c r="C17" s="75">
        <f>'NOTAS 3 ER TRIMESTRE'!F16</f>
        <v>7</v>
      </c>
      <c r="D17" s="75">
        <f t="shared" ref="D17:D60" si="0">ROUND(C17,0)</f>
        <v>7</v>
      </c>
      <c r="E17" s="75" t="str">
        <f>'NOTAS 3 ER TRIMESTRE'!H16</f>
        <v>B-</v>
      </c>
      <c r="F17" s="76">
        <f t="shared" ref="F17:F60" si="1">C17*0.45</f>
        <v>3.15</v>
      </c>
      <c r="G17" s="75">
        <f>'NOTAS 3 ER TRIMESTRE'!M16</f>
        <v>7</v>
      </c>
      <c r="H17" s="75">
        <f t="shared" ref="H17:H60" si="2">ROUND(G17,0)</f>
        <v>7</v>
      </c>
      <c r="I17" s="75" t="str">
        <f>'NOTAS 3 ER TRIMESTRE'!O16</f>
        <v>B-</v>
      </c>
      <c r="J17" s="76">
        <f t="shared" ref="J17:J60" si="3">G17*0.45</f>
        <v>3.15</v>
      </c>
      <c r="K17" s="77">
        <f t="shared" ref="K17:K60" si="4">F17+J17</f>
        <v>6.3</v>
      </c>
      <c r="L17" s="75">
        <f>'NOTAS 3 ER TRIMESTRE'!P16</f>
        <v>7</v>
      </c>
      <c r="M17" s="76">
        <f t="shared" ref="M17:M60" si="5">L17*0.05</f>
        <v>0.35000000000000003</v>
      </c>
      <c r="N17" s="75">
        <f>'NOTAS 3 ER TRIMESTRE'!Q16</f>
        <v>7</v>
      </c>
      <c r="O17" s="76">
        <f t="shared" ref="O17:O60" si="6">N17*0.05</f>
        <v>0.35000000000000003</v>
      </c>
      <c r="P17" s="77">
        <f t="shared" ref="P17:P60" si="7">M17+O17</f>
        <v>0.70000000000000007</v>
      </c>
      <c r="Q17" s="78">
        <f t="shared" ref="Q17:Q60" si="8">K17+P17</f>
        <v>7</v>
      </c>
      <c r="R17" s="78">
        <f t="shared" ref="R17:R61" si="9">ROUND(Q17,0)</f>
        <v>7</v>
      </c>
      <c r="S17" s="79" t="str">
        <f t="shared" ref="S17:S60" si="10">IF(ROUND(Q17,0)=10,"A+",IF(ROUND(Q17,0)=9,"A-",IF(ROUND(Q17,0)=8,"B+",IF(ROUND(Q17,0)=7,"B-",IF(ROUND(Q17,0)=6,"C+",IF(ROUND(Q17,0)=5,"C-",IF(ROUND(17,0)=4,"D+",IF(ROUND(Q17,0)=3,"D-",IF(ROUND(Q17,0)=2,"E+",IF(ROUND(Q17,0)=1,"E-"))))))))))</f>
        <v>B-</v>
      </c>
      <c r="T17" s="115" t="str">
        <f t="shared" ref="T17:T60" si="11">IF(Q17="","",IF(AND(Q17&gt;=7,Q17&lt;=10),"APROBADO",IF(AND(Q17&gt;=0,Q17&lt;7),"RECUPERACIÓN PEDAGOGICA")))</f>
        <v>APROBADO</v>
      </c>
      <c r="U17" s="68"/>
      <c r="V17" s="68"/>
      <c r="W17" s="68"/>
    </row>
    <row r="18" spans="1:23" ht="17.25" thickTop="1" thickBot="1">
      <c r="A18" s="73">
        <v>3</v>
      </c>
      <c r="B18" s="74" t="str">
        <f>DATOS!B14</f>
        <v>ANCHUNDIA PLUAS KEYSI BETSABED</v>
      </c>
      <c r="C18" s="75">
        <f>'NOTAS 3 ER TRIMESTRE'!F17</f>
        <v>10</v>
      </c>
      <c r="D18" s="75">
        <f t="shared" si="0"/>
        <v>10</v>
      </c>
      <c r="E18" s="75" t="str">
        <f>'NOTAS 3 ER TRIMESTRE'!H17</f>
        <v>A+</v>
      </c>
      <c r="F18" s="76">
        <f t="shared" si="1"/>
        <v>4.5</v>
      </c>
      <c r="G18" s="75">
        <f>'NOTAS 3 ER TRIMESTRE'!M17</f>
        <v>10</v>
      </c>
      <c r="H18" s="75">
        <f t="shared" si="2"/>
        <v>10</v>
      </c>
      <c r="I18" s="75" t="str">
        <f>'NOTAS 3 ER TRIMESTRE'!O17</f>
        <v>A+</v>
      </c>
      <c r="J18" s="76">
        <f t="shared" si="3"/>
        <v>4.5</v>
      </c>
      <c r="K18" s="77">
        <f t="shared" si="4"/>
        <v>9</v>
      </c>
      <c r="L18" s="75">
        <f>'NOTAS 3 ER TRIMESTRE'!P17</f>
        <v>10</v>
      </c>
      <c r="M18" s="76">
        <f t="shared" si="5"/>
        <v>0.5</v>
      </c>
      <c r="N18" s="75">
        <f>'NOTAS 3 ER TRIMESTRE'!Q17</f>
        <v>10</v>
      </c>
      <c r="O18" s="76">
        <f t="shared" si="6"/>
        <v>0.5</v>
      </c>
      <c r="P18" s="77">
        <f t="shared" si="7"/>
        <v>1</v>
      </c>
      <c r="Q18" s="78">
        <f t="shared" si="8"/>
        <v>10</v>
      </c>
      <c r="R18" s="78">
        <f t="shared" si="9"/>
        <v>10</v>
      </c>
      <c r="S18" s="79" t="str">
        <f t="shared" si="10"/>
        <v>A+</v>
      </c>
      <c r="T18" s="115" t="str">
        <f t="shared" si="11"/>
        <v>APROBADO</v>
      </c>
      <c r="U18" s="68"/>
      <c r="V18" s="68"/>
      <c r="W18" s="68"/>
    </row>
    <row r="19" spans="1:23" ht="17.25" thickTop="1" thickBot="1">
      <c r="A19" s="73">
        <v>4</v>
      </c>
      <c r="B19" s="74" t="str">
        <f>DATOS!B15</f>
        <v>ANCHUNDIA SUAREZ MAILY VALENTINA</v>
      </c>
      <c r="C19" s="75">
        <f>'NOTAS 3 ER TRIMESTRE'!F18</f>
        <v>8</v>
      </c>
      <c r="D19" s="75">
        <f t="shared" si="0"/>
        <v>8</v>
      </c>
      <c r="E19" s="75" t="str">
        <f>'NOTAS 3 ER TRIMESTRE'!H18</f>
        <v>B+</v>
      </c>
      <c r="F19" s="76">
        <f t="shared" si="1"/>
        <v>3.6</v>
      </c>
      <c r="G19" s="75">
        <f>'NOTAS 3 ER TRIMESTRE'!M18</f>
        <v>8</v>
      </c>
      <c r="H19" s="75">
        <f t="shared" si="2"/>
        <v>8</v>
      </c>
      <c r="I19" s="75" t="str">
        <f>'NOTAS 3 ER TRIMESTRE'!O18</f>
        <v>B+</v>
      </c>
      <c r="J19" s="76">
        <f t="shared" si="3"/>
        <v>3.6</v>
      </c>
      <c r="K19" s="77">
        <f t="shared" si="4"/>
        <v>7.2</v>
      </c>
      <c r="L19" s="75">
        <f>'NOTAS 3 ER TRIMESTRE'!P18</f>
        <v>6</v>
      </c>
      <c r="M19" s="76">
        <f t="shared" si="5"/>
        <v>0.30000000000000004</v>
      </c>
      <c r="N19" s="75">
        <f>'NOTAS 3 ER TRIMESTRE'!Q18</f>
        <v>10</v>
      </c>
      <c r="O19" s="76">
        <f t="shared" si="6"/>
        <v>0.5</v>
      </c>
      <c r="P19" s="77">
        <f t="shared" si="7"/>
        <v>0.8</v>
      </c>
      <c r="Q19" s="78">
        <f t="shared" si="8"/>
        <v>8</v>
      </c>
      <c r="R19" s="78">
        <f t="shared" si="9"/>
        <v>8</v>
      </c>
      <c r="S19" s="79" t="str">
        <f t="shared" si="10"/>
        <v>B+</v>
      </c>
      <c r="T19" s="115" t="str">
        <f t="shared" si="11"/>
        <v>APROBADO</v>
      </c>
      <c r="U19" s="68"/>
      <c r="V19" s="68"/>
      <c r="W19" s="68"/>
    </row>
    <row r="20" spans="1:23" ht="17.25" thickTop="1" thickBot="1">
      <c r="A20" s="73">
        <v>5</v>
      </c>
      <c r="B20" s="74" t="str">
        <f>DATOS!B16</f>
        <v>CAIZA CHICAIZA BRYAN JOEL</v>
      </c>
      <c r="C20" s="75">
        <f>'NOTAS 3 ER TRIMESTRE'!F19</f>
        <v>7</v>
      </c>
      <c r="D20" s="75">
        <f t="shared" si="0"/>
        <v>7</v>
      </c>
      <c r="E20" s="75" t="str">
        <f>'NOTAS 3 ER TRIMESTRE'!H19</f>
        <v>B-</v>
      </c>
      <c r="F20" s="76">
        <f t="shared" si="1"/>
        <v>3.15</v>
      </c>
      <c r="G20" s="75">
        <f>'NOTAS 3 ER TRIMESTRE'!M19</f>
        <v>7</v>
      </c>
      <c r="H20" s="75">
        <f t="shared" si="2"/>
        <v>7</v>
      </c>
      <c r="I20" s="75" t="str">
        <f>'NOTAS 3 ER TRIMESTRE'!O19</f>
        <v>B-</v>
      </c>
      <c r="J20" s="76">
        <f t="shared" si="3"/>
        <v>3.15</v>
      </c>
      <c r="K20" s="77">
        <f t="shared" si="4"/>
        <v>6.3</v>
      </c>
      <c r="L20" s="75">
        <f>'NOTAS 3 ER TRIMESTRE'!P19</f>
        <v>7</v>
      </c>
      <c r="M20" s="76">
        <f t="shared" si="5"/>
        <v>0.35000000000000003</v>
      </c>
      <c r="N20" s="75">
        <f>'NOTAS 3 ER TRIMESTRE'!Q19</f>
        <v>7</v>
      </c>
      <c r="O20" s="76">
        <f t="shared" si="6"/>
        <v>0.35000000000000003</v>
      </c>
      <c r="P20" s="77">
        <f t="shared" si="7"/>
        <v>0.70000000000000007</v>
      </c>
      <c r="Q20" s="78">
        <f t="shared" si="8"/>
        <v>7</v>
      </c>
      <c r="R20" s="78">
        <f t="shared" si="9"/>
        <v>7</v>
      </c>
      <c r="S20" s="79" t="str">
        <f t="shared" si="10"/>
        <v>B-</v>
      </c>
      <c r="T20" s="115" t="str">
        <f t="shared" si="11"/>
        <v>APROBADO</v>
      </c>
      <c r="U20" s="68"/>
      <c r="V20" s="68"/>
      <c r="W20" s="68"/>
    </row>
    <row r="21" spans="1:23" ht="17.25" thickTop="1" thickBot="1">
      <c r="A21" s="73">
        <v>6</v>
      </c>
      <c r="B21" s="74" t="str">
        <f>DATOS!B17</f>
        <v>CASA CASA JOSUE DAVID</v>
      </c>
      <c r="C21" s="75">
        <f>'NOTAS 3 ER TRIMESTRE'!F20</f>
        <v>9</v>
      </c>
      <c r="D21" s="75">
        <f t="shared" si="0"/>
        <v>9</v>
      </c>
      <c r="E21" s="75" t="str">
        <f>'NOTAS 3 ER TRIMESTRE'!H20</f>
        <v>A-</v>
      </c>
      <c r="F21" s="76">
        <f t="shared" si="1"/>
        <v>4.05</v>
      </c>
      <c r="G21" s="75">
        <f>'NOTAS 3 ER TRIMESTRE'!M20</f>
        <v>9</v>
      </c>
      <c r="H21" s="75">
        <f t="shared" si="2"/>
        <v>9</v>
      </c>
      <c r="I21" s="75" t="str">
        <f>'NOTAS 3 ER TRIMESTRE'!O20</f>
        <v>A-</v>
      </c>
      <c r="J21" s="76">
        <f t="shared" si="3"/>
        <v>4.05</v>
      </c>
      <c r="K21" s="77">
        <f t="shared" si="4"/>
        <v>8.1</v>
      </c>
      <c r="L21" s="75">
        <f>'NOTAS 3 ER TRIMESTRE'!P20</f>
        <v>8</v>
      </c>
      <c r="M21" s="76">
        <f t="shared" si="5"/>
        <v>0.4</v>
      </c>
      <c r="N21" s="75">
        <f>'NOTAS 3 ER TRIMESTRE'!Q20</f>
        <v>10</v>
      </c>
      <c r="O21" s="76">
        <f t="shared" si="6"/>
        <v>0.5</v>
      </c>
      <c r="P21" s="77">
        <f t="shared" si="7"/>
        <v>0.9</v>
      </c>
      <c r="Q21" s="78">
        <f t="shared" si="8"/>
        <v>9</v>
      </c>
      <c r="R21" s="78">
        <f t="shared" si="9"/>
        <v>9</v>
      </c>
      <c r="S21" s="79" t="str">
        <f t="shared" si="10"/>
        <v>A-</v>
      </c>
      <c r="T21" s="115" t="str">
        <f t="shared" si="11"/>
        <v>APROBADO</v>
      </c>
      <c r="U21" s="68"/>
      <c r="V21" s="68"/>
      <c r="W21" s="68"/>
    </row>
    <row r="22" spans="1:23" ht="17.25" thickTop="1" thickBot="1">
      <c r="A22" s="73">
        <v>7</v>
      </c>
      <c r="B22" s="74" t="str">
        <f>DATOS!B18</f>
        <v>CASA TASINCHANA MARIA MERCEDES</v>
      </c>
      <c r="C22" s="75">
        <f>'NOTAS 3 ER TRIMESTRE'!F21</f>
        <v>7.25</v>
      </c>
      <c r="D22" s="75">
        <f t="shared" si="0"/>
        <v>7</v>
      </c>
      <c r="E22" s="75" t="str">
        <f>'NOTAS 3 ER TRIMESTRE'!H21</f>
        <v>B-</v>
      </c>
      <c r="F22" s="76">
        <f t="shared" si="1"/>
        <v>3.2625000000000002</v>
      </c>
      <c r="G22" s="75">
        <f>'NOTAS 3 ER TRIMESTRE'!M21</f>
        <v>7.25</v>
      </c>
      <c r="H22" s="75">
        <f t="shared" si="2"/>
        <v>7</v>
      </c>
      <c r="I22" s="75" t="str">
        <f>'NOTAS 3 ER TRIMESTRE'!O21</f>
        <v>B-</v>
      </c>
      <c r="J22" s="76">
        <f t="shared" si="3"/>
        <v>3.2625000000000002</v>
      </c>
      <c r="K22" s="77">
        <f t="shared" si="4"/>
        <v>6.5250000000000004</v>
      </c>
      <c r="L22" s="75">
        <f>'NOTAS 3 ER TRIMESTRE'!P21</f>
        <v>7</v>
      </c>
      <c r="M22" s="76">
        <f t="shared" si="5"/>
        <v>0.35000000000000003</v>
      </c>
      <c r="N22" s="75">
        <f>'NOTAS 3 ER TRIMESTRE'!Q21</f>
        <v>7.5</v>
      </c>
      <c r="O22" s="76">
        <f t="shared" si="6"/>
        <v>0.375</v>
      </c>
      <c r="P22" s="77">
        <f t="shared" si="7"/>
        <v>0.72500000000000009</v>
      </c>
      <c r="Q22" s="78">
        <f t="shared" si="8"/>
        <v>7.25</v>
      </c>
      <c r="R22" s="78">
        <f t="shared" si="9"/>
        <v>7</v>
      </c>
      <c r="S22" s="79" t="str">
        <f t="shared" si="10"/>
        <v>B-</v>
      </c>
      <c r="T22" s="115" t="str">
        <f t="shared" si="11"/>
        <v>APROBADO</v>
      </c>
      <c r="U22" s="68"/>
      <c r="V22" s="68"/>
      <c r="W22" s="68"/>
    </row>
    <row r="23" spans="1:23" ht="17.25" thickTop="1" thickBot="1">
      <c r="A23" s="73">
        <v>8</v>
      </c>
      <c r="B23" s="74" t="str">
        <f>DATOS!B19</f>
        <v>CASA TUSO KATTY LISETH</v>
      </c>
      <c r="C23" s="75">
        <f>'NOTAS 3 ER TRIMESTRE'!F22</f>
        <v>6.5</v>
      </c>
      <c r="D23" s="75">
        <f t="shared" si="0"/>
        <v>7</v>
      </c>
      <c r="E23" s="75" t="str">
        <f>'NOTAS 3 ER TRIMESTRE'!H22</f>
        <v>B-</v>
      </c>
      <c r="F23" s="76">
        <f t="shared" si="1"/>
        <v>2.9250000000000003</v>
      </c>
      <c r="G23" s="75">
        <f>'NOTAS 3 ER TRIMESTRE'!M22</f>
        <v>6.5</v>
      </c>
      <c r="H23" s="75">
        <f t="shared" si="2"/>
        <v>7</v>
      </c>
      <c r="I23" s="75" t="str">
        <f>'NOTAS 3 ER TRIMESTRE'!O22</f>
        <v>B-</v>
      </c>
      <c r="J23" s="76">
        <f t="shared" si="3"/>
        <v>2.9250000000000003</v>
      </c>
      <c r="K23" s="77">
        <f t="shared" si="4"/>
        <v>5.8500000000000005</v>
      </c>
      <c r="L23" s="75">
        <f>'NOTAS 3 ER TRIMESTRE'!P22</f>
        <v>5</v>
      </c>
      <c r="M23" s="76">
        <f t="shared" si="5"/>
        <v>0.25</v>
      </c>
      <c r="N23" s="75">
        <f>'NOTAS 3 ER TRIMESTRE'!Q22</f>
        <v>8</v>
      </c>
      <c r="O23" s="76">
        <f t="shared" si="6"/>
        <v>0.4</v>
      </c>
      <c r="P23" s="77">
        <f t="shared" si="7"/>
        <v>0.65</v>
      </c>
      <c r="Q23" s="78">
        <f t="shared" si="8"/>
        <v>6.5000000000000009</v>
      </c>
      <c r="R23" s="78">
        <f t="shared" si="9"/>
        <v>7</v>
      </c>
      <c r="S23" s="79" t="str">
        <f t="shared" si="10"/>
        <v>B-</v>
      </c>
      <c r="T23" s="115" t="str">
        <f t="shared" si="11"/>
        <v>RECUPERACIÓN PEDAGOGICA</v>
      </c>
      <c r="U23" s="68"/>
      <c r="V23" s="68"/>
      <c r="W23" s="68"/>
    </row>
    <row r="24" spans="1:23" ht="17.25" thickTop="1" thickBot="1">
      <c r="A24" s="73">
        <v>9</v>
      </c>
      <c r="B24" s="74" t="str">
        <f>DATOS!B20</f>
        <v>CENTENO GUISÑAN ALISON PAMELA</v>
      </c>
      <c r="C24" s="75">
        <f>'NOTAS 3 ER TRIMESTRE'!F23</f>
        <v>9.25</v>
      </c>
      <c r="D24" s="75">
        <f t="shared" si="0"/>
        <v>9</v>
      </c>
      <c r="E24" s="75" t="str">
        <f>'NOTAS 3 ER TRIMESTRE'!H23</f>
        <v>A-</v>
      </c>
      <c r="F24" s="76">
        <f t="shared" si="1"/>
        <v>4.1625000000000005</v>
      </c>
      <c r="G24" s="75">
        <f>'NOTAS 3 ER TRIMESTRE'!M23</f>
        <v>9.25</v>
      </c>
      <c r="H24" s="75">
        <f t="shared" si="2"/>
        <v>9</v>
      </c>
      <c r="I24" s="75" t="str">
        <f>'NOTAS 3 ER TRIMESTRE'!O23</f>
        <v>A-</v>
      </c>
      <c r="J24" s="76">
        <f t="shared" si="3"/>
        <v>4.1625000000000005</v>
      </c>
      <c r="K24" s="77">
        <f t="shared" si="4"/>
        <v>8.3250000000000011</v>
      </c>
      <c r="L24" s="75">
        <f>'NOTAS 3 ER TRIMESTRE'!P23</f>
        <v>9</v>
      </c>
      <c r="M24" s="76">
        <f t="shared" si="5"/>
        <v>0.45</v>
      </c>
      <c r="N24" s="75">
        <f>'NOTAS 3 ER TRIMESTRE'!Q23</f>
        <v>9.5</v>
      </c>
      <c r="O24" s="76">
        <f t="shared" si="6"/>
        <v>0.47500000000000003</v>
      </c>
      <c r="P24" s="77">
        <f t="shared" si="7"/>
        <v>0.92500000000000004</v>
      </c>
      <c r="Q24" s="78">
        <f t="shared" si="8"/>
        <v>9.2500000000000018</v>
      </c>
      <c r="R24" s="78">
        <f t="shared" si="9"/>
        <v>9</v>
      </c>
      <c r="S24" s="79" t="str">
        <f t="shared" si="10"/>
        <v>A-</v>
      </c>
      <c r="T24" s="115" t="str">
        <f t="shared" si="11"/>
        <v>APROBADO</v>
      </c>
      <c r="U24" s="68"/>
      <c r="V24" s="68"/>
      <c r="W24" s="68"/>
    </row>
    <row r="25" spans="1:23" ht="17.25" thickTop="1" thickBot="1">
      <c r="A25" s="73">
        <v>10</v>
      </c>
      <c r="B25" s="74" t="str">
        <f>DATOS!B21</f>
        <v>CHANCUSIG CHILIQUINGA NORMA NICOLE</v>
      </c>
      <c r="C25" s="75">
        <f>'NOTAS 3 ER TRIMESTRE'!F24</f>
        <v>8.5</v>
      </c>
      <c r="D25" s="75">
        <f t="shared" si="0"/>
        <v>9</v>
      </c>
      <c r="E25" s="75" t="str">
        <f>'NOTAS 3 ER TRIMESTRE'!H24</f>
        <v>A-</v>
      </c>
      <c r="F25" s="76">
        <f t="shared" si="1"/>
        <v>3.8250000000000002</v>
      </c>
      <c r="G25" s="75">
        <f>'NOTAS 3 ER TRIMESTRE'!M24</f>
        <v>8.5</v>
      </c>
      <c r="H25" s="75">
        <f t="shared" si="2"/>
        <v>9</v>
      </c>
      <c r="I25" s="75" t="str">
        <f>'NOTAS 3 ER TRIMESTRE'!O24</f>
        <v>A-</v>
      </c>
      <c r="J25" s="76">
        <f t="shared" si="3"/>
        <v>3.8250000000000002</v>
      </c>
      <c r="K25" s="77">
        <f t="shared" si="4"/>
        <v>7.65</v>
      </c>
      <c r="L25" s="75">
        <f>'NOTAS 3 ER TRIMESTRE'!P24</f>
        <v>8</v>
      </c>
      <c r="M25" s="76">
        <f t="shared" si="5"/>
        <v>0.4</v>
      </c>
      <c r="N25" s="75">
        <f>'NOTAS 3 ER TRIMESTRE'!Q24</f>
        <v>9</v>
      </c>
      <c r="O25" s="76">
        <f t="shared" si="6"/>
        <v>0.45</v>
      </c>
      <c r="P25" s="77">
        <f t="shared" si="7"/>
        <v>0.85000000000000009</v>
      </c>
      <c r="Q25" s="78">
        <f t="shared" si="8"/>
        <v>8.5</v>
      </c>
      <c r="R25" s="78">
        <f t="shared" si="9"/>
        <v>9</v>
      </c>
      <c r="S25" s="79" t="str">
        <f t="shared" si="10"/>
        <v>A-</v>
      </c>
      <c r="T25" s="115" t="str">
        <f t="shared" si="11"/>
        <v>APROBADO</v>
      </c>
      <c r="U25" s="68"/>
      <c r="V25" s="68"/>
      <c r="W25" s="68"/>
    </row>
    <row r="26" spans="1:23" ht="17.25" thickTop="1" thickBot="1">
      <c r="A26" s="73">
        <v>11</v>
      </c>
      <c r="B26" s="74" t="str">
        <f>DATOS!B22</f>
        <v>CHASI CHANCUSIG JORGE LUIS</v>
      </c>
      <c r="C26" s="75">
        <f>'NOTAS 3 ER TRIMESTRE'!F25</f>
        <v>7.12</v>
      </c>
      <c r="D26" s="75">
        <f t="shared" si="0"/>
        <v>7</v>
      </c>
      <c r="E26" s="75" t="str">
        <f>'NOTAS 3 ER TRIMESTRE'!H25</f>
        <v>B-</v>
      </c>
      <c r="F26" s="76">
        <f t="shared" si="1"/>
        <v>3.2040000000000002</v>
      </c>
      <c r="G26" s="75">
        <f>'NOTAS 3 ER TRIMESTRE'!M25</f>
        <v>7.12</v>
      </c>
      <c r="H26" s="75">
        <f t="shared" si="2"/>
        <v>7</v>
      </c>
      <c r="I26" s="75" t="str">
        <f>'NOTAS 3 ER TRIMESTRE'!O25</f>
        <v>B-</v>
      </c>
      <c r="J26" s="76">
        <f t="shared" si="3"/>
        <v>3.2040000000000002</v>
      </c>
      <c r="K26" s="77">
        <f t="shared" si="4"/>
        <v>6.4080000000000004</v>
      </c>
      <c r="L26" s="75">
        <f>'NOTAS 3 ER TRIMESTRE'!P25</f>
        <v>7.25</v>
      </c>
      <c r="M26" s="76">
        <f t="shared" si="5"/>
        <v>0.36250000000000004</v>
      </c>
      <c r="N26" s="75">
        <f>'NOTAS 3 ER TRIMESTRE'!Q25</f>
        <v>7</v>
      </c>
      <c r="O26" s="76">
        <f t="shared" si="6"/>
        <v>0.35000000000000003</v>
      </c>
      <c r="P26" s="77">
        <f t="shared" si="7"/>
        <v>0.71250000000000013</v>
      </c>
      <c r="Q26" s="78">
        <f t="shared" si="8"/>
        <v>7.1205000000000007</v>
      </c>
      <c r="R26" s="78">
        <f t="shared" si="9"/>
        <v>7</v>
      </c>
      <c r="S26" s="79" t="str">
        <f t="shared" si="10"/>
        <v>B-</v>
      </c>
      <c r="T26" s="115" t="str">
        <f t="shared" si="11"/>
        <v>APROBADO</v>
      </c>
      <c r="U26" s="68"/>
      <c r="V26" s="68"/>
      <c r="W26" s="68"/>
    </row>
    <row r="27" spans="1:23" ht="17.25" thickTop="1" thickBot="1">
      <c r="A27" s="73">
        <v>12</v>
      </c>
      <c r="B27" s="74" t="str">
        <f>DATOS!B23</f>
        <v>CHUQUI PASSO BRITHANY SOLANGE</v>
      </c>
      <c r="C27" s="75">
        <f>'NOTAS 3 ER TRIMESTRE'!F26</f>
        <v>9.5</v>
      </c>
      <c r="D27" s="75">
        <f t="shared" si="0"/>
        <v>10</v>
      </c>
      <c r="E27" s="75" t="str">
        <f>'NOTAS 3 ER TRIMESTRE'!H26</f>
        <v>A+</v>
      </c>
      <c r="F27" s="76">
        <f t="shared" si="1"/>
        <v>4.2750000000000004</v>
      </c>
      <c r="G27" s="75">
        <f>'NOTAS 3 ER TRIMESTRE'!M26</f>
        <v>9.5</v>
      </c>
      <c r="H27" s="75">
        <f t="shared" si="2"/>
        <v>10</v>
      </c>
      <c r="I27" s="75" t="str">
        <f>'NOTAS 3 ER TRIMESTRE'!O26</f>
        <v>A+</v>
      </c>
      <c r="J27" s="76">
        <f t="shared" si="3"/>
        <v>4.2750000000000004</v>
      </c>
      <c r="K27" s="77">
        <f t="shared" si="4"/>
        <v>8.5500000000000007</v>
      </c>
      <c r="L27" s="75">
        <f>'NOTAS 3 ER TRIMESTRE'!P26</f>
        <v>9</v>
      </c>
      <c r="M27" s="76">
        <f t="shared" si="5"/>
        <v>0.45</v>
      </c>
      <c r="N27" s="75">
        <f>'NOTAS 3 ER TRIMESTRE'!Q26</f>
        <v>10</v>
      </c>
      <c r="O27" s="76">
        <f t="shared" si="6"/>
        <v>0.5</v>
      </c>
      <c r="P27" s="77">
        <f t="shared" si="7"/>
        <v>0.95</v>
      </c>
      <c r="Q27" s="78">
        <f t="shared" si="8"/>
        <v>9.5</v>
      </c>
      <c r="R27" s="78">
        <f t="shared" si="9"/>
        <v>10</v>
      </c>
      <c r="S27" s="79" t="str">
        <f t="shared" si="10"/>
        <v>A+</v>
      </c>
      <c r="T27" s="115" t="str">
        <f t="shared" si="11"/>
        <v>APROBADO</v>
      </c>
      <c r="U27" s="68"/>
      <c r="V27" s="68"/>
      <c r="W27" s="68"/>
    </row>
    <row r="28" spans="1:23" ht="17.25" thickTop="1" thickBot="1">
      <c r="A28" s="73">
        <v>13</v>
      </c>
      <c r="B28" s="74" t="str">
        <f>DATOS!B24</f>
        <v>CUCHIPARTE CASA KARLA CAROLINA</v>
      </c>
      <c r="C28" s="75">
        <f>'NOTAS 3 ER TRIMESTRE'!F27</f>
        <v>8.75</v>
      </c>
      <c r="D28" s="75">
        <f t="shared" si="0"/>
        <v>9</v>
      </c>
      <c r="E28" s="75" t="str">
        <f>'NOTAS 3 ER TRIMESTRE'!H27</f>
        <v>A-</v>
      </c>
      <c r="F28" s="76">
        <f t="shared" si="1"/>
        <v>3.9375</v>
      </c>
      <c r="G28" s="75">
        <f>'NOTAS 3 ER TRIMESTRE'!M27</f>
        <v>8.75</v>
      </c>
      <c r="H28" s="75">
        <f t="shared" si="2"/>
        <v>9</v>
      </c>
      <c r="I28" s="75" t="str">
        <f>'NOTAS 3 ER TRIMESTRE'!O27</f>
        <v>A-</v>
      </c>
      <c r="J28" s="76">
        <f t="shared" si="3"/>
        <v>3.9375</v>
      </c>
      <c r="K28" s="77">
        <f t="shared" si="4"/>
        <v>7.875</v>
      </c>
      <c r="L28" s="75">
        <f>'NOTAS 3 ER TRIMESTRE'!P27</f>
        <v>8.5</v>
      </c>
      <c r="M28" s="76">
        <f t="shared" si="5"/>
        <v>0.42500000000000004</v>
      </c>
      <c r="N28" s="75">
        <f>'NOTAS 3 ER TRIMESTRE'!Q27</f>
        <v>9</v>
      </c>
      <c r="O28" s="76">
        <f t="shared" si="6"/>
        <v>0.45</v>
      </c>
      <c r="P28" s="77">
        <f t="shared" si="7"/>
        <v>0.875</v>
      </c>
      <c r="Q28" s="78">
        <f t="shared" si="8"/>
        <v>8.75</v>
      </c>
      <c r="R28" s="78">
        <f t="shared" si="9"/>
        <v>9</v>
      </c>
      <c r="S28" s="79" t="str">
        <f t="shared" si="10"/>
        <v>A-</v>
      </c>
      <c r="T28" s="115" t="str">
        <f t="shared" si="11"/>
        <v>APROBADO</v>
      </c>
      <c r="U28" s="68"/>
      <c r="V28" s="68"/>
      <c r="W28" s="68"/>
    </row>
    <row r="29" spans="1:23" ht="17.25" thickTop="1" thickBot="1">
      <c r="A29" s="73">
        <v>14</v>
      </c>
      <c r="B29" s="74" t="str">
        <f>DATOS!B25</f>
        <v>GUAÑA CHINGO EDGAR ISMAEL</v>
      </c>
      <c r="C29" s="75">
        <f>'NOTAS 3 ER TRIMESTRE'!F28</f>
        <v>7</v>
      </c>
      <c r="D29" s="75">
        <f t="shared" si="0"/>
        <v>7</v>
      </c>
      <c r="E29" s="75" t="str">
        <f>'NOTAS 3 ER TRIMESTRE'!H28</f>
        <v>B-</v>
      </c>
      <c r="F29" s="76">
        <f t="shared" si="1"/>
        <v>3.15</v>
      </c>
      <c r="G29" s="75">
        <f>'NOTAS 3 ER TRIMESTRE'!M28</f>
        <v>7</v>
      </c>
      <c r="H29" s="75">
        <f t="shared" si="2"/>
        <v>7</v>
      </c>
      <c r="I29" s="75" t="str">
        <f>'NOTAS 3 ER TRIMESTRE'!O28</f>
        <v>B-</v>
      </c>
      <c r="J29" s="76">
        <f t="shared" si="3"/>
        <v>3.15</v>
      </c>
      <c r="K29" s="77">
        <f t="shared" si="4"/>
        <v>6.3</v>
      </c>
      <c r="L29" s="75">
        <f>'NOTAS 3 ER TRIMESTRE'!P28</f>
        <v>6</v>
      </c>
      <c r="M29" s="76">
        <f t="shared" si="5"/>
        <v>0.30000000000000004</v>
      </c>
      <c r="N29" s="75">
        <f>'NOTAS 3 ER TRIMESTRE'!Q28</f>
        <v>8</v>
      </c>
      <c r="O29" s="76">
        <f t="shared" si="6"/>
        <v>0.4</v>
      </c>
      <c r="P29" s="77">
        <f t="shared" si="7"/>
        <v>0.70000000000000007</v>
      </c>
      <c r="Q29" s="78">
        <f t="shared" si="8"/>
        <v>7</v>
      </c>
      <c r="R29" s="78">
        <f t="shared" si="9"/>
        <v>7</v>
      </c>
      <c r="S29" s="79" t="str">
        <f t="shared" si="10"/>
        <v>B-</v>
      </c>
      <c r="T29" s="115" t="str">
        <f t="shared" si="11"/>
        <v>APROBADO</v>
      </c>
      <c r="U29" s="68"/>
      <c r="V29" s="68"/>
      <c r="W29" s="68"/>
    </row>
    <row r="30" spans="1:23" ht="17.25" thickTop="1" thickBot="1">
      <c r="A30" s="73">
        <v>15</v>
      </c>
      <c r="B30" s="74" t="str">
        <f>DATOS!B26</f>
        <v>IZA CASA ANGEL DAVID</v>
      </c>
      <c r="C30" s="75">
        <f>'NOTAS 3 ER TRIMESTRE'!F29</f>
        <v>7</v>
      </c>
      <c r="D30" s="75">
        <f t="shared" si="0"/>
        <v>7</v>
      </c>
      <c r="E30" s="75" t="str">
        <f>'NOTAS 3 ER TRIMESTRE'!H29</f>
        <v>B-</v>
      </c>
      <c r="F30" s="76">
        <f t="shared" si="1"/>
        <v>3.15</v>
      </c>
      <c r="G30" s="75">
        <f>'NOTAS 3 ER TRIMESTRE'!M29</f>
        <v>7</v>
      </c>
      <c r="H30" s="75">
        <f t="shared" si="2"/>
        <v>7</v>
      </c>
      <c r="I30" s="75" t="str">
        <f>'NOTAS 3 ER TRIMESTRE'!O29</f>
        <v>B-</v>
      </c>
      <c r="J30" s="76">
        <f t="shared" si="3"/>
        <v>3.15</v>
      </c>
      <c r="K30" s="77">
        <f t="shared" si="4"/>
        <v>6.3</v>
      </c>
      <c r="L30" s="75">
        <f>'NOTAS 3 ER TRIMESTRE'!P29</f>
        <v>7</v>
      </c>
      <c r="M30" s="76">
        <f t="shared" si="5"/>
        <v>0.35000000000000003</v>
      </c>
      <c r="N30" s="75">
        <f>'NOTAS 3 ER TRIMESTRE'!Q29</f>
        <v>7</v>
      </c>
      <c r="O30" s="76">
        <f t="shared" si="6"/>
        <v>0.35000000000000003</v>
      </c>
      <c r="P30" s="77">
        <f t="shared" si="7"/>
        <v>0.70000000000000007</v>
      </c>
      <c r="Q30" s="78">
        <f t="shared" si="8"/>
        <v>7</v>
      </c>
      <c r="R30" s="78">
        <f t="shared" si="9"/>
        <v>7</v>
      </c>
      <c r="S30" s="79" t="str">
        <f t="shared" si="10"/>
        <v>B-</v>
      </c>
      <c r="T30" s="115" t="str">
        <f t="shared" si="11"/>
        <v>APROBADO</v>
      </c>
      <c r="U30" s="68"/>
      <c r="V30" s="68"/>
      <c r="W30" s="68"/>
    </row>
    <row r="31" spans="1:23" ht="17.25" thickTop="1" thickBot="1">
      <c r="A31" s="73">
        <v>16</v>
      </c>
      <c r="B31" s="74" t="str">
        <f>DATOS!B27</f>
        <v>IZA PEREZ ERICK ISMAEL</v>
      </c>
      <c r="C31" s="75">
        <f>'NOTAS 3 ER TRIMESTRE'!F30</f>
        <v>7.25</v>
      </c>
      <c r="D31" s="75">
        <f t="shared" si="0"/>
        <v>7</v>
      </c>
      <c r="E31" s="75" t="str">
        <f>'NOTAS 3 ER TRIMESTRE'!H30</f>
        <v>B-</v>
      </c>
      <c r="F31" s="76">
        <f t="shared" si="1"/>
        <v>3.2625000000000002</v>
      </c>
      <c r="G31" s="75">
        <f>'NOTAS 3 ER TRIMESTRE'!M30</f>
        <v>7.25</v>
      </c>
      <c r="H31" s="75">
        <f t="shared" si="2"/>
        <v>7</v>
      </c>
      <c r="I31" s="75" t="str">
        <f>'NOTAS 3 ER TRIMESTRE'!O30</f>
        <v>B-</v>
      </c>
      <c r="J31" s="76">
        <f t="shared" si="3"/>
        <v>3.2625000000000002</v>
      </c>
      <c r="K31" s="77">
        <f t="shared" si="4"/>
        <v>6.5250000000000004</v>
      </c>
      <c r="L31" s="75">
        <f>'NOTAS 3 ER TRIMESTRE'!P30</f>
        <v>7.5</v>
      </c>
      <c r="M31" s="76">
        <f t="shared" si="5"/>
        <v>0.375</v>
      </c>
      <c r="N31" s="75">
        <f>'NOTAS 3 ER TRIMESTRE'!Q30</f>
        <v>7</v>
      </c>
      <c r="O31" s="76">
        <f t="shared" si="6"/>
        <v>0.35000000000000003</v>
      </c>
      <c r="P31" s="77">
        <f t="shared" si="7"/>
        <v>0.72500000000000009</v>
      </c>
      <c r="Q31" s="78">
        <f t="shared" si="8"/>
        <v>7.25</v>
      </c>
      <c r="R31" s="78">
        <f t="shared" si="9"/>
        <v>7</v>
      </c>
      <c r="S31" s="79" t="str">
        <f t="shared" si="10"/>
        <v>B-</v>
      </c>
      <c r="T31" s="115" t="str">
        <f t="shared" si="11"/>
        <v>APROBADO</v>
      </c>
      <c r="U31" s="68"/>
      <c r="V31" s="68"/>
      <c r="W31" s="68"/>
    </row>
    <row r="32" spans="1:23" ht="17.25" thickTop="1" thickBot="1">
      <c r="A32" s="73">
        <v>17</v>
      </c>
      <c r="B32" s="74" t="str">
        <f>DATOS!B28</f>
        <v>IZA QUINATOA JOSTIN JOSE</v>
      </c>
      <c r="C32" s="75">
        <f>'NOTAS 3 ER TRIMESTRE'!F31</f>
        <v>9.5</v>
      </c>
      <c r="D32" s="75">
        <f t="shared" si="0"/>
        <v>10</v>
      </c>
      <c r="E32" s="75" t="str">
        <f>'NOTAS 3 ER TRIMESTRE'!H31</f>
        <v>A+</v>
      </c>
      <c r="F32" s="76">
        <f t="shared" si="1"/>
        <v>4.2750000000000004</v>
      </c>
      <c r="G32" s="75">
        <f>'NOTAS 3 ER TRIMESTRE'!M31</f>
        <v>9.5</v>
      </c>
      <c r="H32" s="75">
        <f t="shared" si="2"/>
        <v>10</v>
      </c>
      <c r="I32" s="75" t="str">
        <f>'NOTAS 3 ER TRIMESTRE'!O31</f>
        <v>A+</v>
      </c>
      <c r="J32" s="76">
        <f t="shared" si="3"/>
        <v>4.2750000000000004</v>
      </c>
      <c r="K32" s="77">
        <f t="shared" si="4"/>
        <v>8.5500000000000007</v>
      </c>
      <c r="L32" s="75">
        <f>'NOTAS 3 ER TRIMESTRE'!P31</f>
        <v>9</v>
      </c>
      <c r="M32" s="76">
        <f t="shared" si="5"/>
        <v>0.45</v>
      </c>
      <c r="N32" s="75">
        <f>'NOTAS 3 ER TRIMESTRE'!Q31</f>
        <v>10</v>
      </c>
      <c r="O32" s="76">
        <f t="shared" si="6"/>
        <v>0.5</v>
      </c>
      <c r="P32" s="77">
        <f t="shared" si="7"/>
        <v>0.95</v>
      </c>
      <c r="Q32" s="78">
        <f t="shared" si="8"/>
        <v>9.5</v>
      </c>
      <c r="R32" s="78">
        <f t="shared" si="9"/>
        <v>10</v>
      </c>
      <c r="S32" s="79" t="str">
        <f t="shared" si="10"/>
        <v>A+</v>
      </c>
      <c r="T32" s="115" t="str">
        <f t="shared" si="11"/>
        <v>APROBADO</v>
      </c>
      <c r="U32" s="68"/>
      <c r="V32" s="68"/>
      <c r="W32" s="68"/>
    </row>
    <row r="33" spans="1:23" ht="17.25" thickTop="1" thickBot="1">
      <c r="A33" s="73">
        <v>18</v>
      </c>
      <c r="B33" s="74" t="str">
        <f>DATOS!B29</f>
        <v xml:space="preserve">JAMI JAMI ANTHONI JOEL                            </v>
      </c>
      <c r="C33" s="75">
        <f>'NOTAS 3 ER TRIMESTRE'!F32</f>
        <v>8</v>
      </c>
      <c r="D33" s="75">
        <f t="shared" si="0"/>
        <v>8</v>
      </c>
      <c r="E33" s="75" t="str">
        <f>'NOTAS 3 ER TRIMESTRE'!H32</f>
        <v>B+</v>
      </c>
      <c r="F33" s="76">
        <f t="shared" si="1"/>
        <v>3.6</v>
      </c>
      <c r="G33" s="75">
        <f>'NOTAS 3 ER TRIMESTRE'!M32</f>
        <v>8</v>
      </c>
      <c r="H33" s="75">
        <f t="shared" si="2"/>
        <v>8</v>
      </c>
      <c r="I33" s="75" t="str">
        <f>'NOTAS 3 ER TRIMESTRE'!O32</f>
        <v>B+</v>
      </c>
      <c r="J33" s="76">
        <f t="shared" si="3"/>
        <v>3.6</v>
      </c>
      <c r="K33" s="77">
        <f t="shared" si="4"/>
        <v>7.2</v>
      </c>
      <c r="L33" s="75">
        <f>'NOTAS 3 ER TRIMESTRE'!P32</f>
        <v>8</v>
      </c>
      <c r="M33" s="76">
        <f t="shared" si="5"/>
        <v>0.4</v>
      </c>
      <c r="N33" s="75">
        <f>'NOTAS 3 ER TRIMESTRE'!Q32</f>
        <v>8</v>
      </c>
      <c r="O33" s="76">
        <f t="shared" si="6"/>
        <v>0.4</v>
      </c>
      <c r="P33" s="77">
        <f t="shared" si="7"/>
        <v>0.8</v>
      </c>
      <c r="Q33" s="78">
        <f t="shared" si="8"/>
        <v>8</v>
      </c>
      <c r="R33" s="78">
        <f t="shared" si="9"/>
        <v>8</v>
      </c>
      <c r="S33" s="79" t="str">
        <f t="shared" si="10"/>
        <v>B+</v>
      </c>
      <c r="T33" s="115" t="str">
        <f t="shared" si="11"/>
        <v>APROBADO</v>
      </c>
      <c r="U33" s="68"/>
      <c r="V33" s="68"/>
      <c r="W33" s="68"/>
    </row>
    <row r="34" spans="1:23" ht="17.25" thickTop="1" thickBot="1">
      <c r="A34" s="73">
        <v>19</v>
      </c>
      <c r="B34" s="74" t="str">
        <f>DATOS!B30</f>
        <v>LOOR LOPEZ ALEXANDER JEAMPIERRE</v>
      </c>
      <c r="C34" s="75">
        <f>'NOTAS 3 ER TRIMESTRE'!F33</f>
        <v>9.5</v>
      </c>
      <c r="D34" s="75">
        <f t="shared" si="0"/>
        <v>10</v>
      </c>
      <c r="E34" s="75" t="str">
        <f>'NOTAS 3 ER TRIMESTRE'!H33</f>
        <v>A+</v>
      </c>
      <c r="F34" s="76">
        <f t="shared" si="1"/>
        <v>4.2750000000000004</v>
      </c>
      <c r="G34" s="75">
        <f>'NOTAS 3 ER TRIMESTRE'!M33</f>
        <v>9.5</v>
      </c>
      <c r="H34" s="75">
        <f t="shared" si="2"/>
        <v>10</v>
      </c>
      <c r="I34" s="75" t="str">
        <f>'NOTAS 3 ER TRIMESTRE'!O33</f>
        <v>A+</v>
      </c>
      <c r="J34" s="76">
        <f t="shared" si="3"/>
        <v>4.2750000000000004</v>
      </c>
      <c r="K34" s="77">
        <f t="shared" si="4"/>
        <v>8.5500000000000007</v>
      </c>
      <c r="L34" s="75">
        <f>'NOTAS 3 ER TRIMESTRE'!P33</f>
        <v>9</v>
      </c>
      <c r="M34" s="76">
        <f t="shared" si="5"/>
        <v>0.45</v>
      </c>
      <c r="N34" s="75">
        <f>'NOTAS 3 ER TRIMESTRE'!Q33</f>
        <v>10</v>
      </c>
      <c r="O34" s="76">
        <f t="shared" si="6"/>
        <v>0.5</v>
      </c>
      <c r="P34" s="77">
        <f t="shared" si="7"/>
        <v>0.95</v>
      </c>
      <c r="Q34" s="78">
        <f t="shared" si="8"/>
        <v>9.5</v>
      </c>
      <c r="R34" s="78">
        <f t="shared" si="9"/>
        <v>10</v>
      </c>
      <c r="S34" s="79" t="str">
        <f t="shared" si="10"/>
        <v>A+</v>
      </c>
      <c r="T34" s="115" t="str">
        <f t="shared" si="11"/>
        <v>APROBADO</v>
      </c>
      <c r="U34" s="68"/>
      <c r="V34" s="68"/>
      <c r="W34" s="68"/>
    </row>
    <row r="35" spans="1:23" ht="17.25" thickTop="1" thickBot="1">
      <c r="A35" s="73">
        <v>20</v>
      </c>
      <c r="B35" s="74" t="str">
        <f>DATOS!B31</f>
        <v>LOPEZ CARRASCO LIA ALEJANDRA</v>
      </c>
      <c r="C35" s="75">
        <f>'NOTAS 3 ER TRIMESTRE'!F34</f>
        <v>9.5</v>
      </c>
      <c r="D35" s="75">
        <f t="shared" si="0"/>
        <v>10</v>
      </c>
      <c r="E35" s="75" t="str">
        <f>'NOTAS 3 ER TRIMESTRE'!H34</f>
        <v>A+</v>
      </c>
      <c r="F35" s="76">
        <f t="shared" si="1"/>
        <v>4.2750000000000004</v>
      </c>
      <c r="G35" s="75">
        <f>'NOTAS 3 ER TRIMESTRE'!M34</f>
        <v>9.5</v>
      </c>
      <c r="H35" s="75">
        <f t="shared" si="2"/>
        <v>10</v>
      </c>
      <c r="I35" s="75" t="str">
        <f>'NOTAS 3 ER TRIMESTRE'!O34</f>
        <v>A+</v>
      </c>
      <c r="J35" s="76">
        <f t="shared" si="3"/>
        <v>4.2750000000000004</v>
      </c>
      <c r="K35" s="77">
        <f t="shared" si="4"/>
        <v>8.5500000000000007</v>
      </c>
      <c r="L35" s="75">
        <f>'NOTAS 3 ER TRIMESTRE'!P34</f>
        <v>9</v>
      </c>
      <c r="M35" s="76">
        <f t="shared" si="5"/>
        <v>0.45</v>
      </c>
      <c r="N35" s="75">
        <f>'NOTAS 3 ER TRIMESTRE'!Q34</f>
        <v>10</v>
      </c>
      <c r="O35" s="76">
        <f t="shared" si="6"/>
        <v>0.5</v>
      </c>
      <c r="P35" s="77">
        <f t="shared" si="7"/>
        <v>0.95</v>
      </c>
      <c r="Q35" s="78">
        <f t="shared" si="8"/>
        <v>9.5</v>
      </c>
      <c r="R35" s="78">
        <f t="shared" si="9"/>
        <v>10</v>
      </c>
      <c r="S35" s="79" t="str">
        <f t="shared" si="10"/>
        <v>A+</v>
      </c>
      <c r="T35" s="115" t="str">
        <f t="shared" si="11"/>
        <v>APROBADO</v>
      </c>
      <c r="U35" s="68"/>
      <c r="V35" s="68"/>
      <c r="W35" s="68"/>
    </row>
    <row r="36" spans="1:23" ht="17.25" thickTop="1" thickBot="1">
      <c r="A36" s="73">
        <v>21</v>
      </c>
      <c r="B36" s="74" t="str">
        <f>DATOS!B32</f>
        <v>MASAPANTA CASA JUAN MIGUEL</v>
      </c>
      <c r="C36" s="75">
        <f>'NOTAS 3 ER TRIMESTRE'!F35</f>
        <v>7</v>
      </c>
      <c r="D36" s="75">
        <f t="shared" si="0"/>
        <v>7</v>
      </c>
      <c r="E36" s="75" t="str">
        <f>'NOTAS 3 ER TRIMESTRE'!H35</f>
        <v>B-</v>
      </c>
      <c r="F36" s="76">
        <f t="shared" si="1"/>
        <v>3.15</v>
      </c>
      <c r="G36" s="75">
        <f>'NOTAS 3 ER TRIMESTRE'!M35</f>
        <v>7</v>
      </c>
      <c r="H36" s="75">
        <f t="shared" si="2"/>
        <v>7</v>
      </c>
      <c r="I36" s="75" t="str">
        <f>'NOTAS 3 ER TRIMESTRE'!O35</f>
        <v>B-</v>
      </c>
      <c r="J36" s="76">
        <f t="shared" si="3"/>
        <v>3.15</v>
      </c>
      <c r="K36" s="77">
        <f t="shared" si="4"/>
        <v>6.3</v>
      </c>
      <c r="L36" s="75">
        <f>'NOTAS 3 ER TRIMESTRE'!P35</f>
        <v>7</v>
      </c>
      <c r="M36" s="76">
        <f t="shared" si="5"/>
        <v>0.35000000000000003</v>
      </c>
      <c r="N36" s="75">
        <f>'NOTAS 3 ER TRIMESTRE'!Q35</f>
        <v>7</v>
      </c>
      <c r="O36" s="76">
        <f t="shared" si="6"/>
        <v>0.35000000000000003</v>
      </c>
      <c r="P36" s="77">
        <f t="shared" si="7"/>
        <v>0.70000000000000007</v>
      </c>
      <c r="Q36" s="78">
        <f t="shared" si="8"/>
        <v>7</v>
      </c>
      <c r="R36" s="78">
        <f t="shared" si="9"/>
        <v>7</v>
      </c>
      <c r="S36" s="79" t="str">
        <f t="shared" si="10"/>
        <v>B-</v>
      </c>
      <c r="T36" s="115" t="str">
        <f t="shared" si="11"/>
        <v>APROBADO</v>
      </c>
      <c r="U36" s="68"/>
      <c r="V36" s="68"/>
      <c r="W36" s="68"/>
    </row>
    <row r="37" spans="1:23" ht="17.25" thickTop="1" thickBot="1">
      <c r="A37" s="73">
        <v>22</v>
      </c>
      <c r="B37" s="74" t="str">
        <f>DATOS!B33</f>
        <v>MENDOZA TOAPANTA VERONICA MARISOL</v>
      </c>
      <c r="C37" s="75">
        <f>'NOTAS 3 ER TRIMESTRE'!F36</f>
        <v>9.5</v>
      </c>
      <c r="D37" s="75">
        <f t="shared" si="0"/>
        <v>10</v>
      </c>
      <c r="E37" s="75" t="str">
        <f>'NOTAS 3 ER TRIMESTRE'!H36</f>
        <v>A+</v>
      </c>
      <c r="F37" s="76">
        <f t="shared" si="1"/>
        <v>4.2750000000000004</v>
      </c>
      <c r="G37" s="75">
        <f>'NOTAS 3 ER TRIMESTRE'!M36</f>
        <v>9.5</v>
      </c>
      <c r="H37" s="75">
        <f t="shared" si="2"/>
        <v>10</v>
      </c>
      <c r="I37" s="75" t="str">
        <f>'NOTAS 3 ER TRIMESTRE'!O36</f>
        <v>A+</v>
      </c>
      <c r="J37" s="76">
        <f t="shared" si="3"/>
        <v>4.2750000000000004</v>
      </c>
      <c r="K37" s="77">
        <f t="shared" si="4"/>
        <v>8.5500000000000007</v>
      </c>
      <c r="L37" s="75">
        <f>'NOTAS 3 ER TRIMESTRE'!P36</f>
        <v>9</v>
      </c>
      <c r="M37" s="76">
        <f t="shared" si="5"/>
        <v>0.45</v>
      </c>
      <c r="N37" s="75">
        <f>'NOTAS 3 ER TRIMESTRE'!Q36</f>
        <v>10</v>
      </c>
      <c r="O37" s="76">
        <f t="shared" si="6"/>
        <v>0.5</v>
      </c>
      <c r="P37" s="77">
        <f t="shared" si="7"/>
        <v>0.95</v>
      </c>
      <c r="Q37" s="78">
        <f t="shared" si="8"/>
        <v>9.5</v>
      </c>
      <c r="R37" s="78">
        <f t="shared" si="9"/>
        <v>10</v>
      </c>
      <c r="S37" s="79" t="str">
        <f t="shared" si="10"/>
        <v>A+</v>
      </c>
      <c r="T37" s="115" t="str">
        <f t="shared" si="11"/>
        <v>APROBADO</v>
      </c>
      <c r="U37" s="68"/>
      <c r="V37" s="68"/>
      <c r="W37" s="68"/>
    </row>
    <row r="38" spans="1:23" ht="17.25" thickTop="1" thickBot="1">
      <c r="A38" s="73">
        <v>23</v>
      </c>
      <c r="B38" s="74" t="str">
        <f>DATOS!B34</f>
        <v>MONTA CHICAIZA JOSSELYN MICAELA</v>
      </c>
      <c r="C38" s="75">
        <f>'NOTAS 3 ER TRIMESTRE'!F37</f>
        <v>8</v>
      </c>
      <c r="D38" s="75">
        <f t="shared" si="0"/>
        <v>8</v>
      </c>
      <c r="E38" s="75" t="str">
        <f>'NOTAS 3 ER TRIMESTRE'!H37</f>
        <v>B+</v>
      </c>
      <c r="F38" s="76">
        <f t="shared" si="1"/>
        <v>3.6</v>
      </c>
      <c r="G38" s="75">
        <f>'NOTAS 3 ER TRIMESTRE'!M37</f>
        <v>8</v>
      </c>
      <c r="H38" s="75">
        <f t="shared" si="2"/>
        <v>8</v>
      </c>
      <c r="I38" s="75" t="str">
        <f>'NOTAS 3 ER TRIMESTRE'!O37</f>
        <v>B+</v>
      </c>
      <c r="J38" s="76">
        <f t="shared" si="3"/>
        <v>3.6</v>
      </c>
      <c r="K38" s="77">
        <f t="shared" si="4"/>
        <v>7.2</v>
      </c>
      <c r="L38" s="75">
        <f>'NOTAS 3 ER TRIMESTRE'!P37</f>
        <v>8</v>
      </c>
      <c r="M38" s="76">
        <f t="shared" si="5"/>
        <v>0.4</v>
      </c>
      <c r="N38" s="75">
        <f>'NOTAS 3 ER TRIMESTRE'!Q37</f>
        <v>8</v>
      </c>
      <c r="O38" s="76">
        <f t="shared" si="6"/>
        <v>0.4</v>
      </c>
      <c r="P38" s="77">
        <f t="shared" si="7"/>
        <v>0.8</v>
      </c>
      <c r="Q38" s="78">
        <f t="shared" si="8"/>
        <v>8</v>
      </c>
      <c r="R38" s="78">
        <f t="shared" si="9"/>
        <v>8</v>
      </c>
      <c r="S38" s="79" t="str">
        <f t="shared" si="10"/>
        <v>B+</v>
      </c>
      <c r="T38" s="115" t="str">
        <f t="shared" si="11"/>
        <v>APROBADO</v>
      </c>
      <c r="U38" s="68"/>
      <c r="V38" s="68"/>
      <c r="W38" s="68"/>
    </row>
    <row r="39" spans="1:23" ht="17.25" thickTop="1" thickBot="1">
      <c r="A39" s="73">
        <v>24</v>
      </c>
      <c r="B39" s="74" t="str">
        <f>DATOS!B35</f>
        <v>OTO ABRIL ERICK JAHIR</v>
      </c>
      <c r="C39" s="75">
        <f>'NOTAS 3 ER TRIMESTRE'!F38</f>
        <v>8</v>
      </c>
      <c r="D39" s="75">
        <f t="shared" si="0"/>
        <v>8</v>
      </c>
      <c r="E39" s="75" t="str">
        <f>'NOTAS 3 ER TRIMESTRE'!H38</f>
        <v>B+</v>
      </c>
      <c r="F39" s="76">
        <f t="shared" si="1"/>
        <v>3.6</v>
      </c>
      <c r="G39" s="75">
        <f>'NOTAS 3 ER TRIMESTRE'!M38</f>
        <v>8</v>
      </c>
      <c r="H39" s="75">
        <f t="shared" si="2"/>
        <v>8</v>
      </c>
      <c r="I39" s="75" t="str">
        <f>'NOTAS 3 ER TRIMESTRE'!O38</f>
        <v>B+</v>
      </c>
      <c r="J39" s="76">
        <f t="shared" si="3"/>
        <v>3.6</v>
      </c>
      <c r="K39" s="77">
        <f t="shared" si="4"/>
        <v>7.2</v>
      </c>
      <c r="L39" s="75">
        <f>'NOTAS 3 ER TRIMESTRE'!P38</f>
        <v>8</v>
      </c>
      <c r="M39" s="76">
        <f t="shared" si="5"/>
        <v>0.4</v>
      </c>
      <c r="N39" s="75">
        <f>'NOTAS 3 ER TRIMESTRE'!Q38</f>
        <v>8</v>
      </c>
      <c r="O39" s="76">
        <f t="shared" si="6"/>
        <v>0.4</v>
      </c>
      <c r="P39" s="77">
        <f t="shared" si="7"/>
        <v>0.8</v>
      </c>
      <c r="Q39" s="78">
        <f t="shared" si="8"/>
        <v>8</v>
      </c>
      <c r="R39" s="78">
        <f t="shared" si="9"/>
        <v>8</v>
      </c>
      <c r="S39" s="79" t="str">
        <f t="shared" si="10"/>
        <v>B+</v>
      </c>
      <c r="T39" s="115" t="str">
        <f t="shared" si="11"/>
        <v>APROBADO</v>
      </c>
      <c r="U39" s="68"/>
      <c r="V39" s="68"/>
      <c r="W39" s="68"/>
    </row>
    <row r="40" spans="1:23" ht="17.25" thickTop="1" thickBot="1">
      <c r="A40" s="73">
        <v>25</v>
      </c>
      <c r="B40" s="74" t="str">
        <f>DATOS!B36</f>
        <v>PROAÑO TOAQUIZA FERNANDO JOSUE</v>
      </c>
      <c r="C40" s="75">
        <f>'NOTAS 3 ER TRIMESTRE'!F39</f>
        <v>10</v>
      </c>
      <c r="D40" s="75">
        <f t="shared" si="0"/>
        <v>10</v>
      </c>
      <c r="E40" s="75" t="str">
        <f>'NOTAS 3 ER TRIMESTRE'!H39</f>
        <v>A+</v>
      </c>
      <c r="F40" s="76">
        <f t="shared" si="1"/>
        <v>4.5</v>
      </c>
      <c r="G40" s="75">
        <f>'NOTAS 3 ER TRIMESTRE'!M39</f>
        <v>10</v>
      </c>
      <c r="H40" s="75">
        <f t="shared" si="2"/>
        <v>10</v>
      </c>
      <c r="I40" s="75" t="str">
        <f>'NOTAS 3 ER TRIMESTRE'!O39</f>
        <v>A+</v>
      </c>
      <c r="J40" s="76">
        <f t="shared" si="3"/>
        <v>4.5</v>
      </c>
      <c r="K40" s="77">
        <f t="shared" si="4"/>
        <v>9</v>
      </c>
      <c r="L40" s="75">
        <f>'NOTAS 3 ER TRIMESTRE'!P39</f>
        <v>10</v>
      </c>
      <c r="M40" s="76">
        <f t="shared" si="5"/>
        <v>0.5</v>
      </c>
      <c r="N40" s="75">
        <f>'NOTAS 3 ER TRIMESTRE'!Q39</f>
        <v>10</v>
      </c>
      <c r="O40" s="76">
        <f t="shared" si="6"/>
        <v>0.5</v>
      </c>
      <c r="P40" s="77">
        <f t="shared" si="7"/>
        <v>1</v>
      </c>
      <c r="Q40" s="78">
        <f t="shared" si="8"/>
        <v>10</v>
      </c>
      <c r="R40" s="78">
        <f t="shared" si="9"/>
        <v>10</v>
      </c>
      <c r="S40" s="79" t="str">
        <f t="shared" si="10"/>
        <v>A+</v>
      </c>
      <c r="T40" s="115" t="str">
        <f t="shared" si="11"/>
        <v>APROBADO</v>
      </c>
      <c r="U40" s="68"/>
      <c r="V40" s="68"/>
      <c r="W40" s="68"/>
    </row>
    <row r="41" spans="1:23" ht="17.25" thickTop="1" thickBot="1">
      <c r="A41" s="73">
        <v>26</v>
      </c>
      <c r="B41" s="74" t="str">
        <f>DATOS!B37</f>
        <v>QUILUMBA TOAPANTA ADRIANA CAROLINA</v>
      </c>
      <c r="C41" s="75">
        <f>'NOTAS 3 ER TRIMESTRE'!F40</f>
        <v>9.25</v>
      </c>
      <c r="D41" s="75">
        <f t="shared" si="0"/>
        <v>9</v>
      </c>
      <c r="E41" s="75" t="str">
        <f>'NOTAS 3 ER TRIMESTRE'!H40</f>
        <v>A-</v>
      </c>
      <c r="F41" s="76">
        <f t="shared" si="1"/>
        <v>4.1625000000000005</v>
      </c>
      <c r="G41" s="75">
        <f>'NOTAS 3 ER TRIMESTRE'!M40</f>
        <v>9.25</v>
      </c>
      <c r="H41" s="75">
        <f t="shared" si="2"/>
        <v>9</v>
      </c>
      <c r="I41" s="75" t="str">
        <f>'NOTAS 3 ER TRIMESTRE'!O40</f>
        <v>A-</v>
      </c>
      <c r="J41" s="76">
        <f t="shared" si="3"/>
        <v>4.1625000000000005</v>
      </c>
      <c r="K41" s="77">
        <f t="shared" si="4"/>
        <v>8.3250000000000011</v>
      </c>
      <c r="L41" s="75">
        <f>'NOTAS 3 ER TRIMESTRE'!P40</f>
        <v>9</v>
      </c>
      <c r="M41" s="76">
        <f t="shared" si="5"/>
        <v>0.45</v>
      </c>
      <c r="N41" s="75">
        <f>'NOTAS 3 ER TRIMESTRE'!Q40</f>
        <v>9.5</v>
      </c>
      <c r="O41" s="76">
        <f t="shared" si="6"/>
        <v>0.47500000000000003</v>
      </c>
      <c r="P41" s="77">
        <f t="shared" si="7"/>
        <v>0.92500000000000004</v>
      </c>
      <c r="Q41" s="78">
        <f t="shared" si="8"/>
        <v>9.2500000000000018</v>
      </c>
      <c r="R41" s="78">
        <f t="shared" si="9"/>
        <v>9</v>
      </c>
      <c r="S41" s="79" t="str">
        <f t="shared" si="10"/>
        <v>A-</v>
      </c>
      <c r="T41" s="115" t="str">
        <f t="shared" si="11"/>
        <v>APROBADO</v>
      </c>
      <c r="U41" s="68"/>
      <c r="V41" s="68"/>
      <c r="W41" s="68"/>
    </row>
    <row r="42" spans="1:23" ht="17.25" thickTop="1" thickBot="1">
      <c r="A42" s="73">
        <v>27</v>
      </c>
      <c r="B42" s="74" t="str">
        <f>DATOS!B38</f>
        <v>RENGIFO COLLANTES DANNY SANTIAGO</v>
      </c>
      <c r="C42" s="75">
        <f>'NOTAS 3 ER TRIMESTRE'!F41</f>
        <v>9</v>
      </c>
      <c r="D42" s="75">
        <f t="shared" si="0"/>
        <v>9</v>
      </c>
      <c r="E42" s="75" t="str">
        <f>'NOTAS 3 ER TRIMESTRE'!H41</f>
        <v>A-</v>
      </c>
      <c r="F42" s="76">
        <f t="shared" si="1"/>
        <v>4.05</v>
      </c>
      <c r="G42" s="75">
        <f>'NOTAS 3 ER TRIMESTRE'!M41</f>
        <v>9</v>
      </c>
      <c r="H42" s="75">
        <f t="shared" si="2"/>
        <v>9</v>
      </c>
      <c r="I42" s="75" t="str">
        <f>'NOTAS 3 ER TRIMESTRE'!O41</f>
        <v>A-</v>
      </c>
      <c r="J42" s="76">
        <f t="shared" si="3"/>
        <v>4.05</v>
      </c>
      <c r="K42" s="77">
        <f t="shared" si="4"/>
        <v>8.1</v>
      </c>
      <c r="L42" s="75">
        <f>'NOTAS 3 ER TRIMESTRE'!P41</f>
        <v>8</v>
      </c>
      <c r="M42" s="76">
        <f t="shared" si="5"/>
        <v>0.4</v>
      </c>
      <c r="N42" s="75">
        <f>'NOTAS 3 ER TRIMESTRE'!Q41</f>
        <v>10</v>
      </c>
      <c r="O42" s="76">
        <f t="shared" si="6"/>
        <v>0.5</v>
      </c>
      <c r="P42" s="77">
        <f t="shared" si="7"/>
        <v>0.9</v>
      </c>
      <c r="Q42" s="78">
        <f t="shared" si="8"/>
        <v>9</v>
      </c>
      <c r="R42" s="78">
        <f t="shared" si="9"/>
        <v>9</v>
      </c>
      <c r="S42" s="79" t="str">
        <f t="shared" si="10"/>
        <v>A-</v>
      </c>
      <c r="T42" s="115" t="str">
        <f t="shared" si="11"/>
        <v>APROBADO</v>
      </c>
      <c r="U42" s="68"/>
      <c r="V42" s="68"/>
      <c r="W42" s="68"/>
    </row>
    <row r="43" spans="1:23" ht="17.25" thickTop="1" thickBot="1">
      <c r="A43" s="73">
        <v>28</v>
      </c>
      <c r="B43" s="74" t="str">
        <f>DATOS!B39</f>
        <v xml:space="preserve">SIMBAÑA HERNANDEZ JOAO JAVIER                     </v>
      </c>
      <c r="C43" s="75">
        <f>'NOTAS 3 ER TRIMESTRE'!F42</f>
        <v>8</v>
      </c>
      <c r="D43" s="75">
        <f t="shared" si="0"/>
        <v>8</v>
      </c>
      <c r="E43" s="75" t="str">
        <f>'NOTAS 3 ER TRIMESTRE'!H42</f>
        <v>B+</v>
      </c>
      <c r="F43" s="76">
        <f t="shared" si="1"/>
        <v>3.6</v>
      </c>
      <c r="G43" s="75">
        <f>'NOTAS 3 ER TRIMESTRE'!M42</f>
        <v>8</v>
      </c>
      <c r="H43" s="75">
        <f t="shared" si="2"/>
        <v>8</v>
      </c>
      <c r="I43" s="75" t="str">
        <f>'NOTAS 3 ER TRIMESTRE'!O42</f>
        <v>B+</v>
      </c>
      <c r="J43" s="76">
        <f t="shared" si="3"/>
        <v>3.6</v>
      </c>
      <c r="K43" s="77">
        <f t="shared" si="4"/>
        <v>7.2</v>
      </c>
      <c r="L43" s="75">
        <f>'NOTAS 3 ER TRIMESTRE'!P42</f>
        <v>6</v>
      </c>
      <c r="M43" s="76">
        <f t="shared" si="5"/>
        <v>0.30000000000000004</v>
      </c>
      <c r="N43" s="75">
        <f>'NOTAS 3 ER TRIMESTRE'!Q42</f>
        <v>10</v>
      </c>
      <c r="O43" s="76">
        <f t="shared" si="6"/>
        <v>0.5</v>
      </c>
      <c r="P43" s="77">
        <f t="shared" si="7"/>
        <v>0.8</v>
      </c>
      <c r="Q43" s="78">
        <f t="shared" si="8"/>
        <v>8</v>
      </c>
      <c r="R43" s="78">
        <f t="shared" si="9"/>
        <v>8</v>
      </c>
      <c r="S43" s="79" t="str">
        <f t="shared" si="10"/>
        <v>B+</v>
      </c>
      <c r="T43" s="115" t="str">
        <f t="shared" si="11"/>
        <v>APROBADO</v>
      </c>
      <c r="U43" s="68"/>
      <c r="V43" s="68"/>
      <c r="W43" s="68"/>
    </row>
    <row r="44" spans="1:23" ht="17.25" thickTop="1" thickBot="1">
      <c r="A44" s="73">
        <v>29</v>
      </c>
      <c r="B44" s="74" t="str">
        <f>DATOS!B40</f>
        <v>TOAPANTA CHICAIZA JENNY ESTEFANIA</v>
      </c>
      <c r="C44" s="75">
        <f>'NOTAS 3 ER TRIMESTRE'!F43</f>
        <v>7</v>
      </c>
      <c r="D44" s="75">
        <f t="shared" si="0"/>
        <v>7</v>
      </c>
      <c r="E44" s="75" t="str">
        <f>'NOTAS 3 ER TRIMESTRE'!H43</f>
        <v>B-</v>
      </c>
      <c r="F44" s="76">
        <f t="shared" si="1"/>
        <v>3.15</v>
      </c>
      <c r="G44" s="75">
        <f>'NOTAS 3 ER TRIMESTRE'!M43</f>
        <v>7</v>
      </c>
      <c r="H44" s="75">
        <f t="shared" si="2"/>
        <v>7</v>
      </c>
      <c r="I44" s="75" t="str">
        <f>'NOTAS 3 ER TRIMESTRE'!O43</f>
        <v>B-</v>
      </c>
      <c r="J44" s="76">
        <f t="shared" si="3"/>
        <v>3.15</v>
      </c>
      <c r="K44" s="77">
        <f t="shared" si="4"/>
        <v>6.3</v>
      </c>
      <c r="L44" s="75">
        <f>'NOTAS 3 ER TRIMESTRE'!P43</f>
        <v>7</v>
      </c>
      <c r="M44" s="76">
        <f t="shared" si="5"/>
        <v>0.35000000000000003</v>
      </c>
      <c r="N44" s="75">
        <f>'NOTAS 3 ER TRIMESTRE'!Q43</f>
        <v>7</v>
      </c>
      <c r="O44" s="76">
        <f t="shared" si="6"/>
        <v>0.35000000000000003</v>
      </c>
      <c r="P44" s="77">
        <f t="shared" si="7"/>
        <v>0.70000000000000007</v>
      </c>
      <c r="Q44" s="78">
        <f t="shared" si="8"/>
        <v>7</v>
      </c>
      <c r="R44" s="78">
        <f t="shared" si="9"/>
        <v>7</v>
      </c>
      <c r="S44" s="79" t="str">
        <f t="shared" si="10"/>
        <v>B-</v>
      </c>
      <c r="T44" s="115" t="str">
        <f t="shared" si="11"/>
        <v>APROBADO</v>
      </c>
      <c r="U44" s="68"/>
      <c r="V44" s="68"/>
      <c r="W44" s="68"/>
    </row>
    <row r="45" spans="1:23" ht="17.25" thickTop="1" thickBot="1">
      <c r="A45" s="73">
        <v>30</v>
      </c>
      <c r="B45" s="74" t="str">
        <f>DATOS!B41</f>
        <v>TOAQUIZA CATOTA DENNIS ALEXANDER</v>
      </c>
      <c r="C45" s="75">
        <f>'NOTAS 3 ER TRIMESTRE'!F44</f>
        <v>8.5</v>
      </c>
      <c r="D45" s="75">
        <f t="shared" si="0"/>
        <v>9</v>
      </c>
      <c r="E45" s="75" t="str">
        <f>'NOTAS 3 ER TRIMESTRE'!H44</f>
        <v>A-</v>
      </c>
      <c r="F45" s="76">
        <f t="shared" si="1"/>
        <v>3.8250000000000002</v>
      </c>
      <c r="G45" s="75">
        <f>'NOTAS 3 ER TRIMESTRE'!M44</f>
        <v>8.5</v>
      </c>
      <c r="H45" s="75">
        <f t="shared" si="2"/>
        <v>9</v>
      </c>
      <c r="I45" s="75" t="str">
        <f>'NOTAS 3 ER TRIMESTRE'!O44</f>
        <v>A-</v>
      </c>
      <c r="J45" s="76">
        <f t="shared" si="3"/>
        <v>3.8250000000000002</v>
      </c>
      <c r="K45" s="77">
        <f t="shared" si="4"/>
        <v>7.65</v>
      </c>
      <c r="L45" s="75">
        <f>'NOTAS 3 ER TRIMESTRE'!P44</f>
        <v>7</v>
      </c>
      <c r="M45" s="76">
        <f t="shared" si="5"/>
        <v>0.35000000000000003</v>
      </c>
      <c r="N45" s="75">
        <f>'NOTAS 3 ER TRIMESTRE'!Q44</f>
        <v>10</v>
      </c>
      <c r="O45" s="76">
        <f t="shared" si="6"/>
        <v>0.5</v>
      </c>
      <c r="P45" s="77">
        <f t="shared" si="7"/>
        <v>0.85000000000000009</v>
      </c>
      <c r="Q45" s="78">
        <f t="shared" si="8"/>
        <v>8.5</v>
      </c>
      <c r="R45" s="78">
        <f t="shared" si="9"/>
        <v>9</v>
      </c>
      <c r="S45" s="79" t="str">
        <f t="shared" si="10"/>
        <v>A-</v>
      </c>
      <c r="T45" s="115" t="str">
        <f t="shared" si="11"/>
        <v>APROBADO</v>
      </c>
      <c r="U45" s="68"/>
      <c r="V45" s="68"/>
      <c r="W45" s="68"/>
    </row>
    <row r="46" spans="1:23" ht="17.25" thickTop="1" thickBot="1">
      <c r="A46" s="73">
        <v>31</v>
      </c>
      <c r="B46" s="74" t="str">
        <f>DATOS!B42</f>
        <v>TOAQUIZA LEMA MELANY ANAHI</v>
      </c>
      <c r="C46" s="75">
        <f>'NOTAS 3 ER TRIMESTRE'!F45</f>
        <v>8.5</v>
      </c>
      <c r="D46" s="75">
        <f t="shared" si="0"/>
        <v>9</v>
      </c>
      <c r="E46" s="75" t="str">
        <f>'NOTAS 3 ER TRIMESTRE'!H45</f>
        <v>A-</v>
      </c>
      <c r="F46" s="76">
        <f t="shared" si="1"/>
        <v>3.8250000000000002</v>
      </c>
      <c r="G46" s="75">
        <f>'NOTAS 3 ER TRIMESTRE'!M45</f>
        <v>8.5</v>
      </c>
      <c r="H46" s="75">
        <f t="shared" si="2"/>
        <v>9</v>
      </c>
      <c r="I46" s="75" t="str">
        <f>'NOTAS 3 ER TRIMESTRE'!O45</f>
        <v>A-</v>
      </c>
      <c r="J46" s="76">
        <f t="shared" si="3"/>
        <v>3.8250000000000002</v>
      </c>
      <c r="K46" s="77">
        <f t="shared" si="4"/>
        <v>7.65</v>
      </c>
      <c r="L46" s="75">
        <f>'NOTAS 3 ER TRIMESTRE'!P45</f>
        <v>9</v>
      </c>
      <c r="M46" s="76">
        <f t="shared" si="5"/>
        <v>0.45</v>
      </c>
      <c r="N46" s="75">
        <f>'NOTAS 3 ER TRIMESTRE'!Q45</f>
        <v>8</v>
      </c>
      <c r="O46" s="76">
        <f t="shared" si="6"/>
        <v>0.4</v>
      </c>
      <c r="P46" s="77">
        <f t="shared" si="7"/>
        <v>0.85000000000000009</v>
      </c>
      <c r="Q46" s="78">
        <f t="shared" si="8"/>
        <v>8.5</v>
      </c>
      <c r="R46" s="78">
        <f t="shared" si="9"/>
        <v>9</v>
      </c>
      <c r="S46" s="79" t="str">
        <f t="shared" si="10"/>
        <v>A-</v>
      </c>
      <c r="T46" s="115" t="str">
        <f t="shared" si="11"/>
        <v>APROBADO</v>
      </c>
      <c r="U46" s="68"/>
      <c r="V46" s="68"/>
      <c r="W46" s="68"/>
    </row>
    <row r="47" spans="1:23" ht="17.25" thickTop="1" thickBot="1">
      <c r="A47" s="73">
        <v>32</v>
      </c>
      <c r="B47" s="74" t="str">
        <f>DATOS!B43</f>
        <v>TOCTAGUANO TUMBACO MAHOLY GUADALUPE</v>
      </c>
      <c r="C47" s="75">
        <f>'NOTAS 3 ER TRIMESTRE'!F46</f>
        <v>8.5</v>
      </c>
      <c r="D47" s="75">
        <f t="shared" si="0"/>
        <v>9</v>
      </c>
      <c r="E47" s="75" t="str">
        <f>'NOTAS 3 ER TRIMESTRE'!H46</f>
        <v>A-</v>
      </c>
      <c r="F47" s="76">
        <f t="shared" si="1"/>
        <v>3.8250000000000002</v>
      </c>
      <c r="G47" s="75">
        <f>'NOTAS 3 ER TRIMESTRE'!M46</f>
        <v>8.5</v>
      </c>
      <c r="H47" s="75">
        <f t="shared" si="2"/>
        <v>9</v>
      </c>
      <c r="I47" s="75" t="str">
        <f>'NOTAS 3 ER TRIMESTRE'!O46</f>
        <v>A-</v>
      </c>
      <c r="J47" s="76">
        <f t="shared" si="3"/>
        <v>3.8250000000000002</v>
      </c>
      <c r="K47" s="77">
        <f t="shared" si="4"/>
        <v>7.65</v>
      </c>
      <c r="L47" s="75">
        <f>'NOTAS 3 ER TRIMESTRE'!P46</f>
        <v>9</v>
      </c>
      <c r="M47" s="76">
        <f t="shared" si="5"/>
        <v>0.45</v>
      </c>
      <c r="N47" s="75">
        <f>'NOTAS 3 ER TRIMESTRE'!Q46</f>
        <v>8</v>
      </c>
      <c r="O47" s="76">
        <f t="shared" si="6"/>
        <v>0.4</v>
      </c>
      <c r="P47" s="77">
        <f t="shared" si="7"/>
        <v>0.85000000000000009</v>
      </c>
      <c r="Q47" s="78">
        <f t="shared" si="8"/>
        <v>8.5</v>
      </c>
      <c r="R47" s="78">
        <f t="shared" si="9"/>
        <v>9</v>
      </c>
      <c r="S47" s="79" t="str">
        <f t="shared" si="10"/>
        <v>A-</v>
      </c>
      <c r="T47" s="115" t="str">
        <f t="shared" si="11"/>
        <v>APROBADO</v>
      </c>
      <c r="U47" s="68"/>
      <c r="V47" s="68"/>
      <c r="W47" s="68"/>
    </row>
    <row r="48" spans="1:23" ht="17.25" thickTop="1" thickBot="1">
      <c r="A48" s="73">
        <v>33</v>
      </c>
      <c r="B48" s="74" t="str">
        <f>DATOS!B44</f>
        <v>TONATO YUGCHA STALIN JOEL</v>
      </c>
      <c r="C48" s="75">
        <f>'NOTAS 3 ER TRIMESTRE'!F47</f>
        <v>8</v>
      </c>
      <c r="D48" s="75">
        <f t="shared" si="0"/>
        <v>8</v>
      </c>
      <c r="E48" s="75" t="str">
        <f>'NOTAS 3 ER TRIMESTRE'!H47</f>
        <v>B+</v>
      </c>
      <c r="F48" s="76">
        <f t="shared" si="1"/>
        <v>3.6</v>
      </c>
      <c r="G48" s="75">
        <f>'NOTAS 3 ER TRIMESTRE'!M47</f>
        <v>8</v>
      </c>
      <c r="H48" s="75">
        <f t="shared" si="2"/>
        <v>8</v>
      </c>
      <c r="I48" s="75" t="str">
        <f>'NOTAS 3 ER TRIMESTRE'!O47</f>
        <v>B+</v>
      </c>
      <c r="J48" s="76">
        <f t="shared" si="3"/>
        <v>3.6</v>
      </c>
      <c r="K48" s="77">
        <f t="shared" si="4"/>
        <v>7.2</v>
      </c>
      <c r="L48" s="75">
        <f>'NOTAS 3 ER TRIMESTRE'!P47</f>
        <v>8</v>
      </c>
      <c r="M48" s="76">
        <f t="shared" si="5"/>
        <v>0.4</v>
      </c>
      <c r="N48" s="75">
        <f>'NOTAS 3 ER TRIMESTRE'!Q47</f>
        <v>8</v>
      </c>
      <c r="O48" s="76">
        <f t="shared" si="6"/>
        <v>0.4</v>
      </c>
      <c r="P48" s="77">
        <f t="shared" si="7"/>
        <v>0.8</v>
      </c>
      <c r="Q48" s="78">
        <f t="shared" si="8"/>
        <v>8</v>
      </c>
      <c r="R48" s="78">
        <f t="shared" si="9"/>
        <v>8</v>
      </c>
      <c r="S48" s="79" t="str">
        <f t="shared" si="10"/>
        <v>B+</v>
      </c>
      <c r="T48" s="115" t="str">
        <f t="shared" si="11"/>
        <v>APROBADO</v>
      </c>
      <c r="U48" s="68"/>
      <c r="V48" s="68"/>
      <c r="W48" s="68"/>
    </row>
    <row r="49" spans="1:23" ht="17.25" thickTop="1" thickBot="1">
      <c r="A49" s="73">
        <v>34</v>
      </c>
      <c r="B49" s="74" t="str">
        <f>DATOS!B45</f>
        <v>VILLACRESES MUÑOZ MARIA LUCRECIA</v>
      </c>
      <c r="C49" s="75">
        <f>'NOTAS 3 ER TRIMESTRE'!F48</f>
        <v>8.75</v>
      </c>
      <c r="D49" s="75">
        <f t="shared" si="0"/>
        <v>9</v>
      </c>
      <c r="E49" s="75" t="str">
        <f>'NOTAS 3 ER TRIMESTRE'!H48</f>
        <v>A-</v>
      </c>
      <c r="F49" s="76">
        <f t="shared" si="1"/>
        <v>3.9375</v>
      </c>
      <c r="G49" s="75">
        <f>'NOTAS 3 ER TRIMESTRE'!M48</f>
        <v>8.75</v>
      </c>
      <c r="H49" s="75">
        <f t="shared" si="2"/>
        <v>9</v>
      </c>
      <c r="I49" s="75" t="str">
        <f>'NOTAS 3 ER TRIMESTRE'!O48</f>
        <v>A-</v>
      </c>
      <c r="J49" s="76">
        <f t="shared" si="3"/>
        <v>3.9375</v>
      </c>
      <c r="K49" s="77">
        <f t="shared" si="4"/>
        <v>7.875</v>
      </c>
      <c r="L49" s="75">
        <f>'NOTAS 3 ER TRIMESTRE'!P48</f>
        <v>7.5</v>
      </c>
      <c r="M49" s="76">
        <f t="shared" si="5"/>
        <v>0.375</v>
      </c>
      <c r="N49" s="75">
        <f>'NOTAS 3 ER TRIMESTRE'!Q48</f>
        <v>10</v>
      </c>
      <c r="O49" s="76">
        <f t="shared" si="6"/>
        <v>0.5</v>
      </c>
      <c r="P49" s="77">
        <f t="shared" si="7"/>
        <v>0.875</v>
      </c>
      <c r="Q49" s="78">
        <f t="shared" si="8"/>
        <v>8.75</v>
      </c>
      <c r="R49" s="78">
        <f t="shared" si="9"/>
        <v>9</v>
      </c>
      <c r="S49" s="79" t="str">
        <f t="shared" si="10"/>
        <v>A-</v>
      </c>
      <c r="T49" s="115" t="str">
        <f t="shared" si="11"/>
        <v>APROBADO</v>
      </c>
      <c r="U49" s="68"/>
      <c r="V49" s="68"/>
      <c r="W49" s="68"/>
    </row>
    <row r="50" spans="1:23" ht="17.25" thickTop="1" thickBot="1">
      <c r="A50" s="73">
        <v>35</v>
      </c>
      <c r="B50" s="74" t="str">
        <f>DATOS!B46</f>
        <v>ZAMORA LEAL MAYKEL JOSUE</v>
      </c>
      <c r="C50" s="75">
        <f>'NOTAS 3 ER TRIMESTRE'!F49</f>
        <v>7.75</v>
      </c>
      <c r="D50" s="75">
        <f t="shared" si="0"/>
        <v>8</v>
      </c>
      <c r="E50" s="75" t="str">
        <f>'NOTAS 3 ER TRIMESTRE'!H49</f>
        <v>B+</v>
      </c>
      <c r="F50" s="76">
        <f t="shared" si="1"/>
        <v>3.4875000000000003</v>
      </c>
      <c r="G50" s="75">
        <f>'NOTAS 3 ER TRIMESTRE'!M49</f>
        <v>7.75</v>
      </c>
      <c r="H50" s="75">
        <f t="shared" si="2"/>
        <v>8</v>
      </c>
      <c r="I50" s="75" t="str">
        <f>'NOTAS 3 ER TRIMESTRE'!O49</f>
        <v>B+</v>
      </c>
      <c r="J50" s="76">
        <f t="shared" si="3"/>
        <v>3.4875000000000003</v>
      </c>
      <c r="K50" s="77">
        <f t="shared" si="4"/>
        <v>6.9750000000000005</v>
      </c>
      <c r="L50" s="75">
        <f>'NOTAS 3 ER TRIMESTRE'!P49</f>
        <v>5.5</v>
      </c>
      <c r="M50" s="76">
        <f t="shared" si="5"/>
        <v>0.27500000000000002</v>
      </c>
      <c r="N50" s="75">
        <f>'NOTAS 3 ER TRIMESTRE'!Q49</f>
        <v>10</v>
      </c>
      <c r="O50" s="76">
        <f t="shared" si="6"/>
        <v>0.5</v>
      </c>
      <c r="P50" s="77">
        <f t="shared" si="7"/>
        <v>0.77500000000000002</v>
      </c>
      <c r="Q50" s="78">
        <f t="shared" si="8"/>
        <v>7.7500000000000009</v>
      </c>
      <c r="R50" s="78">
        <f t="shared" si="9"/>
        <v>8</v>
      </c>
      <c r="S50" s="79" t="str">
        <f t="shared" si="10"/>
        <v>B+</v>
      </c>
      <c r="T50" s="115" t="str">
        <f t="shared" si="11"/>
        <v>APROBADO</v>
      </c>
      <c r="U50" s="68"/>
      <c r="V50" s="68"/>
      <c r="W50" s="68"/>
    </row>
    <row r="51" spans="1:23" ht="17.25" thickTop="1" thickBot="1">
      <c r="A51" s="73">
        <v>36</v>
      </c>
      <c r="B51" s="74">
        <f>DATOS!B47</f>
        <v>0</v>
      </c>
      <c r="C51" s="75" t="e">
        <f>'NOTAS 3 ER TRIMESTRE'!F50</f>
        <v>#DIV/0!</v>
      </c>
      <c r="D51" s="75" t="e">
        <f t="shared" si="0"/>
        <v>#DIV/0!</v>
      </c>
      <c r="E51" s="75" t="e">
        <f>'NOTAS 3 ER TRIMESTRE'!H50</f>
        <v>#DIV/0!</v>
      </c>
      <c r="F51" s="76" t="e">
        <f t="shared" si="1"/>
        <v>#DIV/0!</v>
      </c>
      <c r="G51" s="75" t="e">
        <f>'NOTAS 3 ER TRIMESTRE'!M50</f>
        <v>#DIV/0!</v>
      </c>
      <c r="H51" s="75" t="e">
        <f t="shared" si="2"/>
        <v>#DIV/0!</v>
      </c>
      <c r="I51" s="75" t="e">
        <f>'NOTAS 3 ER TRIMESTRE'!O50</f>
        <v>#DIV/0!</v>
      </c>
      <c r="J51" s="76" t="e">
        <f t="shared" si="3"/>
        <v>#DIV/0!</v>
      </c>
      <c r="K51" s="77" t="e">
        <f t="shared" si="4"/>
        <v>#DIV/0!</v>
      </c>
      <c r="L51" s="75">
        <f>'NOTAS 3 ER TRIMESTRE'!P50</f>
        <v>0</v>
      </c>
      <c r="M51" s="76">
        <f t="shared" si="5"/>
        <v>0</v>
      </c>
      <c r="N51" s="75">
        <f>'NOTAS 3 ER TRIMESTRE'!Q50</f>
        <v>0</v>
      </c>
      <c r="O51" s="76">
        <f t="shared" si="6"/>
        <v>0</v>
      </c>
      <c r="P51" s="77">
        <f t="shared" si="7"/>
        <v>0</v>
      </c>
      <c r="Q51" s="78" t="e">
        <f t="shared" si="8"/>
        <v>#DIV/0!</v>
      </c>
      <c r="R51" s="78" t="e">
        <f t="shared" si="9"/>
        <v>#DIV/0!</v>
      </c>
      <c r="S51" s="79" t="e">
        <f t="shared" si="10"/>
        <v>#DIV/0!</v>
      </c>
      <c r="T51" s="115" t="e">
        <f t="shared" si="11"/>
        <v>#DIV/0!</v>
      </c>
      <c r="U51" s="68"/>
      <c r="V51" s="68"/>
      <c r="W51" s="68"/>
    </row>
    <row r="52" spans="1:23" ht="17.25" thickTop="1" thickBot="1">
      <c r="A52" s="73">
        <v>37</v>
      </c>
      <c r="B52" s="74">
        <f>DATOS!B48</f>
        <v>0</v>
      </c>
      <c r="C52" s="75" t="e">
        <f>'NOTAS 3 ER TRIMESTRE'!F51</f>
        <v>#DIV/0!</v>
      </c>
      <c r="D52" s="75" t="e">
        <f t="shared" si="0"/>
        <v>#DIV/0!</v>
      </c>
      <c r="E52" s="75" t="e">
        <f>'NOTAS 3 ER TRIMESTRE'!H51</f>
        <v>#DIV/0!</v>
      </c>
      <c r="F52" s="76" t="e">
        <f t="shared" si="1"/>
        <v>#DIV/0!</v>
      </c>
      <c r="G52" s="75" t="e">
        <f>'NOTAS 3 ER TRIMESTRE'!M51</f>
        <v>#DIV/0!</v>
      </c>
      <c r="H52" s="75" t="e">
        <f t="shared" si="2"/>
        <v>#DIV/0!</v>
      </c>
      <c r="I52" s="75" t="e">
        <f>'NOTAS 3 ER TRIMESTRE'!O51</f>
        <v>#DIV/0!</v>
      </c>
      <c r="J52" s="76" t="e">
        <f t="shared" si="3"/>
        <v>#DIV/0!</v>
      </c>
      <c r="K52" s="77" t="e">
        <f t="shared" si="4"/>
        <v>#DIV/0!</v>
      </c>
      <c r="L52" s="75">
        <f>'NOTAS 3 ER TRIMESTRE'!P51</f>
        <v>0</v>
      </c>
      <c r="M52" s="76">
        <f t="shared" si="5"/>
        <v>0</v>
      </c>
      <c r="N52" s="75">
        <f>'NOTAS 3 ER TRIMESTRE'!Q51</f>
        <v>0</v>
      </c>
      <c r="O52" s="76">
        <f t="shared" si="6"/>
        <v>0</v>
      </c>
      <c r="P52" s="77">
        <f t="shared" si="7"/>
        <v>0</v>
      </c>
      <c r="Q52" s="78" t="e">
        <f t="shared" si="8"/>
        <v>#DIV/0!</v>
      </c>
      <c r="R52" s="78" t="e">
        <f t="shared" si="9"/>
        <v>#DIV/0!</v>
      </c>
      <c r="S52" s="79" t="e">
        <f t="shared" si="10"/>
        <v>#DIV/0!</v>
      </c>
      <c r="T52" s="115" t="e">
        <f t="shared" si="11"/>
        <v>#DIV/0!</v>
      </c>
      <c r="U52" s="68"/>
      <c r="V52" s="68"/>
      <c r="W52" s="68"/>
    </row>
    <row r="53" spans="1:23" ht="17.25" thickTop="1" thickBot="1">
      <c r="A53" s="73">
        <v>38</v>
      </c>
      <c r="B53" s="74">
        <f>DATOS!B49</f>
        <v>0</v>
      </c>
      <c r="C53" s="75" t="e">
        <f>'NOTAS 3 ER TRIMESTRE'!F52</f>
        <v>#DIV/0!</v>
      </c>
      <c r="D53" s="75" t="e">
        <f t="shared" si="0"/>
        <v>#DIV/0!</v>
      </c>
      <c r="E53" s="75" t="e">
        <f>'NOTAS 3 ER TRIMESTRE'!H52</f>
        <v>#DIV/0!</v>
      </c>
      <c r="F53" s="76" t="e">
        <f t="shared" si="1"/>
        <v>#DIV/0!</v>
      </c>
      <c r="G53" s="75" t="e">
        <f>'NOTAS 3 ER TRIMESTRE'!M52</f>
        <v>#DIV/0!</v>
      </c>
      <c r="H53" s="75" t="e">
        <f t="shared" si="2"/>
        <v>#DIV/0!</v>
      </c>
      <c r="I53" s="75" t="e">
        <f>'NOTAS 3 ER TRIMESTRE'!O52</f>
        <v>#DIV/0!</v>
      </c>
      <c r="J53" s="76" t="e">
        <f t="shared" si="3"/>
        <v>#DIV/0!</v>
      </c>
      <c r="K53" s="77" t="e">
        <f t="shared" si="4"/>
        <v>#DIV/0!</v>
      </c>
      <c r="L53" s="75">
        <f>'NOTAS 3 ER TRIMESTRE'!P52</f>
        <v>0</v>
      </c>
      <c r="M53" s="76">
        <f t="shared" si="5"/>
        <v>0</v>
      </c>
      <c r="N53" s="75">
        <f>'NOTAS 3 ER TRIMESTRE'!Q52</f>
        <v>0</v>
      </c>
      <c r="O53" s="76">
        <f t="shared" si="6"/>
        <v>0</v>
      </c>
      <c r="P53" s="77">
        <f t="shared" si="7"/>
        <v>0</v>
      </c>
      <c r="Q53" s="78" t="e">
        <f t="shared" si="8"/>
        <v>#DIV/0!</v>
      </c>
      <c r="R53" s="78" t="e">
        <f t="shared" si="9"/>
        <v>#DIV/0!</v>
      </c>
      <c r="S53" s="79" t="e">
        <f t="shared" si="10"/>
        <v>#DIV/0!</v>
      </c>
      <c r="T53" s="115" t="e">
        <f t="shared" si="11"/>
        <v>#DIV/0!</v>
      </c>
      <c r="U53" s="68"/>
      <c r="V53" s="68"/>
      <c r="W53" s="68"/>
    </row>
    <row r="54" spans="1:23" ht="17.25" thickTop="1" thickBot="1">
      <c r="A54" s="73">
        <v>39</v>
      </c>
      <c r="B54" s="74">
        <f>DATOS!B50</f>
        <v>0</v>
      </c>
      <c r="C54" s="75" t="e">
        <f>'NOTAS 3 ER TRIMESTRE'!F53</f>
        <v>#DIV/0!</v>
      </c>
      <c r="D54" s="75" t="e">
        <f t="shared" si="0"/>
        <v>#DIV/0!</v>
      </c>
      <c r="E54" s="75" t="e">
        <f>'NOTAS 3 ER TRIMESTRE'!H53</f>
        <v>#DIV/0!</v>
      </c>
      <c r="F54" s="76" t="e">
        <f t="shared" si="1"/>
        <v>#DIV/0!</v>
      </c>
      <c r="G54" s="75" t="e">
        <f>'NOTAS 3 ER TRIMESTRE'!M53</f>
        <v>#DIV/0!</v>
      </c>
      <c r="H54" s="75" t="e">
        <f t="shared" si="2"/>
        <v>#DIV/0!</v>
      </c>
      <c r="I54" s="75" t="e">
        <f>'NOTAS 3 ER TRIMESTRE'!O53</f>
        <v>#DIV/0!</v>
      </c>
      <c r="J54" s="76" t="e">
        <f t="shared" si="3"/>
        <v>#DIV/0!</v>
      </c>
      <c r="K54" s="77" t="e">
        <f t="shared" si="4"/>
        <v>#DIV/0!</v>
      </c>
      <c r="L54" s="75">
        <f>'NOTAS 3 ER TRIMESTRE'!P53</f>
        <v>0</v>
      </c>
      <c r="M54" s="76">
        <f t="shared" si="5"/>
        <v>0</v>
      </c>
      <c r="N54" s="75">
        <f>'NOTAS 3 ER TRIMESTRE'!Q53</f>
        <v>0</v>
      </c>
      <c r="O54" s="76">
        <f t="shared" si="6"/>
        <v>0</v>
      </c>
      <c r="P54" s="77">
        <f t="shared" si="7"/>
        <v>0</v>
      </c>
      <c r="Q54" s="78" t="e">
        <f t="shared" si="8"/>
        <v>#DIV/0!</v>
      </c>
      <c r="R54" s="78" t="e">
        <f t="shared" si="9"/>
        <v>#DIV/0!</v>
      </c>
      <c r="S54" s="79" t="e">
        <f t="shared" si="10"/>
        <v>#DIV/0!</v>
      </c>
      <c r="T54" s="115" t="e">
        <f t="shared" si="11"/>
        <v>#DIV/0!</v>
      </c>
      <c r="U54" s="68"/>
      <c r="V54" s="68"/>
      <c r="W54" s="68"/>
    </row>
    <row r="55" spans="1:23" ht="17.25" thickTop="1" thickBot="1">
      <c r="A55" s="73">
        <v>40</v>
      </c>
      <c r="B55" s="74">
        <f>DATOS!B51</f>
        <v>0</v>
      </c>
      <c r="C55" s="75" t="e">
        <f>'NOTAS 3 ER TRIMESTRE'!F54</f>
        <v>#DIV/0!</v>
      </c>
      <c r="D55" s="75" t="e">
        <f t="shared" si="0"/>
        <v>#DIV/0!</v>
      </c>
      <c r="E55" s="75" t="e">
        <f>'NOTAS 3 ER TRIMESTRE'!H54</f>
        <v>#DIV/0!</v>
      </c>
      <c r="F55" s="76" t="e">
        <f t="shared" si="1"/>
        <v>#DIV/0!</v>
      </c>
      <c r="G55" s="75" t="e">
        <f>'NOTAS 3 ER TRIMESTRE'!M54</f>
        <v>#DIV/0!</v>
      </c>
      <c r="H55" s="75" t="e">
        <f t="shared" si="2"/>
        <v>#DIV/0!</v>
      </c>
      <c r="I55" s="75" t="e">
        <f>'NOTAS 3 ER TRIMESTRE'!O54</f>
        <v>#DIV/0!</v>
      </c>
      <c r="J55" s="76" t="e">
        <f t="shared" si="3"/>
        <v>#DIV/0!</v>
      </c>
      <c r="K55" s="77" t="e">
        <f t="shared" si="4"/>
        <v>#DIV/0!</v>
      </c>
      <c r="L55" s="75">
        <f>'NOTAS 3 ER TRIMESTRE'!P54</f>
        <v>0</v>
      </c>
      <c r="M55" s="76">
        <f t="shared" si="5"/>
        <v>0</v>
      </c>
      <c r="N55" s="75">
        <f>'NOTAS 3 ER TRIMESTRE'!Q54</f>
        <v>0</v>
      </c>
      <c r="O55" s="76">
        <f t="shared" si="6"/>
        <v>0</v>
      </c>
      <c r="P55" s="77">
        <f t="shared" si="7"/>
        <v>0</v>
      </c>
      <c r="Q55" s="78" t="e">
        <f t="shared" si="8"/>
        <v>#DIV/0!</v>
      </c>
      <c r="R55" s="78" t="e">
        <f t="shared" si="9"/>
        <v>#DIV/0!</v>
      </c>
      <c r="S55" s="79" t="e">
        <f t="shared" si="10"/>
        <v>#DIV/0!</v>
      </c>
      <c r="T55" s="115" t="e">
        <f t="shared" si="11"/>
        <v>#DIV/0!</v>
      </c>
      <c r="U55" s="68"/>
      <c r="V55" s="68"/>
      <c r="W55" s="68"/>
    </row>
    <row r="56" spans="1:23" ht="17.25" thickTop="1" thickBot="1">
      <c r="A56" s="73">
        <v>41</v>
      </c>
      <c r="B56" s="74">
        <f>DATOS!B52</f>
        <v>0</v>
      </c>
      <c r="C56" s="75" t="e">
        <f>'NOTAS 3 ER TRIMESTRE'!F55</f>
        <v>#DIV/0!</v>
      </c>
      <c r="D56" s="75" t="e">
        <f t="shared" si="0"/>
        <v>#DIV/0!</v>
      </c>
      <c r="E56" s="75" t="e">
        <f>'NOTAS 3 ER TRIMESTRE'!H55</f>
        <v>#DIV/0!</v>
      </c>
      <c r="F56" s="76" t="e">
        <f t="shared" si="1"/>
        <v>#DIV/0!</v>
      </c>
      <c r="G56" s="75" t="e">
        <f>'NOTAS 3 ER TRIMESTRE'!M55</f>
        <v>#DIV/0!</v>
      </c>
      <c r="H56" s="75" t="e">
        <f t="shared" si="2"/>
        <v>#DIV/0!</v>
      </c>
      <c r="I56" s="75" t="e">
        <f>'NOTAS 3 ER TRIMESTRE'!O55</f>
        <v>#DIV/0!</v>
      </c>
      <c r="J56" s="76" t="e">
        <f t="shared" si="3"/>
        <v>#DIV/0!</v>
      </c>
      <c r="K56" s="77" t="e">
        <f t="shared" si="4"/>
        <v>#DIV/0!</v>
      </c>
      <c r="L56" s="75">
        <f>'NOTAS 3 ER TRIMESTRE'!P55</f>
        <v>0</v>
      </c>
      <c r="M56" s="76">
        <f t="shared" si="5"/>
        <v>0</v>
      </c>
      <c r="N56" s="75">
        <f>'NOTAS 3 ER TRIMESTRE'!Q55</f>
        <v>0</v>
      </c>
      <c r="O56" s="76">
        <f t="shared" si="6"/>
        <v>0</v>
      </c>
      <c r="P56" s="77">
        <f t="shared" si="7"/>
        <v>0</v>
      </c>
      <c r="Q56" s="78" t="e">
        <f t="shared" si="8"/>
        <v>#DIV/0!</v>
      </c>
      <c r="R56" s="78" t="e">
        <f t="shared" si="9"/>
        <v>#DIV/0!</v>
      </c>
      <c r="S56" s="79" t="e">
        <f t="shared" si="10"/>
        <v>#DIV/0!</v>
      </c>
      <c r="T56" s="115" t="e">
        <f t="shared" si="11"/>
        <v>#DIV/0!</v>
      </c>
      <c r="U56" s="68"/>
      <c r="V56" s="68"/>
      <c r="W56" s="68"/>
    </row>
    <row r="57" spans="1:23" ht="17.25" thickTop="1" thickBot="1">
      <c r="A57" s="73">
        <v>42</v>
      </c>
      <c r="B57" s="74">
        <f>DATOS!B53</f>
        <v>0</v>
      </c>
      <c r="C57" s="75" t="e">
        <f>'NOTAS 3 ER TRIMESTRE'!F56</f>
        <v>#DIV/0!</v>
      </c>
      <c r="D57" s="75" t="e">
        <f t="shared" si="0"/>
        <v>#DIV/0!</v>
      </c>
      <c r="E57" s="75" t="e">
        <f>'NOTAS 3 ER TRIMESTRE'!H56</f>
        <v>#DIV/0!</v>
      </c>
      <c r="F57" s="76" t="e">
        <f t="shared" si="1"/>
        <v>#DIV/0!</v>
      </c>
      <c r="G57" s="75" t="e">
        <f>'NOTAS 3 ER TRIMESTRE'!M56</f>
        <v>#DIV/0!</v>
      </c>
      <c r="H57" s="75" t="e">
        <f t="shared" si="2"/>
        <v>#DIV/0!</v>
      </c>
      <c r="I57" s="75" t="e">
        <f>'NOTAS 3 ER TRIMESTRE'!O56</f>
        <v>#DIV/0!</v>
      </c>
      <c r="J57" s="76" t="e">
        <f t="shared" si="3"/>
        <v>#DIV/0!</v>
      </c>
      <c r="K57" s="77" t="e">
        <f t="shared" si="4"/>
        <v>#DIV/0!</v>
      </c>
      <c r="L57" s="75">
        <f>'NOTAS 3 ER TRIMESTRE'!P56</f>
        <v>0</v>
      </c>
      <c r="M57" s="76">
        <f t="shared" si="5"/>
        <v>0</v>
      </c>
      <c r="N57" s="75">
        <f>'NOTAS 3 ER TRIMESTRE'!Q56</f>
        <v>0</v>
      </c>
      <c r="O57" s="76">
        <f t="shared" si="6"/>
        <v>0</v>
      </c>
      <c r="P57" s="77">
        <f t="shared" si="7"/>
        <v>0</v>
      </c>
      <c r="Q57" s="78" t="e">
        <f t="shared" si="8"/>
        <v>#DIV/0!</v>
      </c>
      <c r="R57" s="78" t="e">
        <f t="shared" si="9"/>
        <v>#DIV/0!</v>
      </c>
      <c r="S57" s="79" t="e">
        <f t="shared" si="10"/>
        <v>#DIV/0!</v>
      </c>
      <c r="T57" s="115" t="e">
        <f t="shared" si="11"/>
        <v>#DIV/0!</v>
      </c>
      <c r="U57" s="68"/>
      <c r="V57" s="68"/>
      <c r="W57" s="68"/>
    </row>
    <row r="58" spans="1:23" ht="17.25" thickTop="1" thickBot="1">
      <c r="A58" s="73">
        <v>43</v>
      </c>
      <c r="B58" s="74">
        <f>DATOS!B54</f>
        <v>0</v>
      </c>
      <c r="C58" s="75" t="e">
        <f>'NOTAS 3 ER TRIMESTRE'!F57</f>
        <v>#DIV/0!</v>
      </c>
      <c r="D58" s="75" t="e">
        <f t="shared" si="0"/>
        <v>#DIV/0!</v>
      </c>
      <c r="E58" s="75" t="e">
        <f>'NOTAS 3 ER TRIMESTRE'!H57</f>
        <v>#DIV/0!</v>
      </c>
      <c r="F58" s="76" t="e">
        <f t="shared" si="1"/>
        <v>#DIV/0!</v>
      </c>
      <c r="G58" s="75" t="e">
        <f>'NOTAS 3 ER TRIMESTRE'!M57</f>
        <v>#DIV/0!</v>
      </c>
      <c r="H58" s="75" t="e">
        <f t="shared" si="2"/>
        <v>#DIV/0!</v>
      </c>
      <c r="I58" s="75" t="e">
        <f>'NOTAS 3 ER TRIMESTRE'!O57</f>
        <v>#DIV/0!</v>
      </c>
      <c r="J58" s="76" t="e">
        <f t="shared" si="3"/>
        <v>#DIV/0!</v>
      </c>
      <c r="K58" s="77" t="e">
        <f t="shared" si="4"/>
        <v>#DIV/0!</v>
      </c>
      <c r="L58" s="75">
        <f>'NOTAS 3 ER TRIMESTRE'!P57</f>
        <v>0</v>
      </c>
      <c r="M58" s="76">
        <f t="shared" si="5"/>
        <v>0</v>
      </c>
      <c r="N58" s="75">
        <f>'NOTAS 3 ER TRIMESTRE'!Q57</f>
        <v>0</v>
      </c>
      <c r="O58" s="76">
        <f t="shared" si="6"/>
        <v>0</v>
      </c>
      <c r="P58" s="77">
        <f t="shared" si="7"/>
        <v>0</v>
      </c>
      <c r="Q58" s="78" t="e">
        <f t="shared" si="8"/>
        <v>#DIV/0!</v>
      </c>
      <c r="R58" s="78" t="e">
        <f t="shared" si="9"/>
        <v>#DIV/0!</v>
      </c>
      <c r="S58" s="79" t="e">
        <f t="shared" si="10"/>
        <v>#DIV/0!</v>
      </c>
      <c r="T58" s="115" t="e">
        <f t="shared" si="11"/>
        <v>#DIV/0!</v>
      </c>
      <c r="U58" s="68"/>
      <c r="V58" s="68"/>
      <c r="W58" s="68"/>
    </row>
    <row r="59" spans="1:23" ht="17.25" thickTop="1" thickBot="1">
      <c r="A59" s="73">
        <v>44</v>
      </c>
      <c r="B59" s="74">
        <f>DATOS!B55</f>
        <v>0</v>
      </c>
      <c r="C59" s="75" t="e">
        <f>'NOTAS 3 ER TRIMESTRE'!F58</f>
        <v>#DIV/0!</v>
      </c>
      <c r="D59" s="75" t="e">
        <f t="shared" si="0"/>
        <v>#DIV/0!</v>
      </c>
      <c r="E59" s="75" t="e">
        <f>'NOTAS 3 ER TRIMESTRE'!H58</f>
        <v>#DIV/0!</v>
      </c>
      <c r="F59" s="76" t="e">
        <f t="shared" si="1"/>
        <v>#DIV/0!</v>
      </c>
      <c r="G59" s="75" t="e">
        <f>'NOTAS 3 ER TRIMESTRE'!M58</f>
        <v>#DIV/0!</v>
      </c>
      <c r="H59" s="75" t="e">
        <f t="shared" si="2"/>
        <v>#DIV/0!</v>
      </c>
      <c r="I59" s="75" t="e">
        <f>'NOTAS 3 ER TRIMESTRE'!O58</f>
        <v>#DIV/0!</v>
      </c>
      <c r="J59" s="76" t="e">
        <f t="shared" si="3"/>
        <v>#DIV/0!</v>
      </c>
      <c r="K59" s="77" t="e">
        <f t="shared" si="4"/>
        <v>#DIV/0!</v>
      </c>
      <c r="L59" s="75">
        <f>'NOTAS 3 ER TRIMESTRE'!P58</f>
        <v>0</v>
      </c>
      <c r="M59" s="76">
        <f t="shared" si="5"/>
        <v>0</v>
      </c>
      <c r="N59" s="75">
        <f>'NOTAS 3 ER TRIMESTRE'!Q58</f>
        <v>0</v>
      </c>
      <c r="O59" s="76">
        <f t="shared" si="6"/>
        <v>0</v>
      </c>
      <c r="P59" s="77">
        <f t="shared" si="7"/>
        <v>0</v>
      </c>
      <c r="Q59" s="78" t="e">
        <f t="shared" si="8"/>
        <v>#DIV/0!</v>
      </c>
      <c r="R59" s="78" t="e">
        <f t="shared" si="9"/>
        <v>#DIV/0!</v>
      </c>
      <c r="S59" s="79" t="e">
        <f t="shared" si="10"/>
        <v>#DIV/0!</v>
      </c>
      <c r="T59" s="115" t="e">
        <f t="shared" si="11"/>
        <v>#DIV/0!</v>
      </c>
      <c r="U59" s="68"/>
      <c r="V59" s="68"/>
      <c r="W59" s="68"/>
    </row>
    <row r="60" spans="1:23" ht="17.25" thickTop="1" thickBot="1">
      <c r="A60" s="73">
        <v>45</v>
      </c>
      <c r="B60" s="74">
        <f>DATOS!B56</f>
        <v>0</v>
      </c>
      <c r="C60" s="75" t="e">
        <f>'NOTAS 3 ER TRIMESTRE'!F59</f>
        <v>#DIV/0!</v>
      </c>
      <c r="D60" s="75" t="e">
        <f t="shared" si="0"/>
        <v>#DIV/0!</v>
      </c>
      <c r="E60" s="75" t="e">
        <f>'NOTAS 3 ER TRIMESTRE'!H59</f>
        <v>#DIV/0!</v>
      </c>
      <c r="F60" s="76" t="e">
        <f t="shared" si="1"/>
        <v>#DIV/0!</v>
      </c>
      <c r="G60" s="75" t="e">
        <f>'NOTAS 3 ER TRIMESTRE'!M59</f>
        <v>#DIV/0!</v>
      </c>
      <c r="H60" s="75" t="e">
        <f t="shared" si="2"/>
        <v>#DIV/0!</v>
      </c>
      <c r="I60" s="75" t="e">
        <f>'NOTAS 3 ER TRIMESTRE'!O59</f>
        <v>#DIV/0!</v>
      </c>
      <c r="J60" s="76" t="e">
        <f t="shared" si="3"/>
        <v>#DIV/0!</v>
      </c>
      <c r="K60" s="77" t="e">
        <f t="shared" si="4"/>
        <v>#DIV/0!</v>
      </c>
      <c r="L60" s="75">
        <f>'NOTAS 3 ER TRIMESTRE'!P59</f>
        <v>0</v>
      </c>
      <c r="M60" s="76">
        <f t="shared" si="5"/>
        <v>0</v>
      </c>
      <c r="N60" s="75">
        <f>'NOTAS 3 ER TRIMESTRE'!Q59</f>
        <v>0</v>
      </c>
      <c r="O60" s="76">
        <f t="shared" si="6"/>
        <v>0</v>
      </c>
      <c r="P60" s="77">
        <f t="shared" si="7"/>
        <v>0</v>
      </c>
      <c r="Q60" s="78" t="e">
        <f t="shared" si="8"/>
        <v>#DIV/0!</v>
      </c>
      <c r="R60" s="78" t="e">
        <f t="shared" si="9"/>
        <v>#DIV/0!</v>
      </c>
      <c r="S60" s="79" t="e">
        <f t="shared" si="10"/>
        <v>#DIV/0!</v>
      </c>
      <c r="T60" s="115" t="e">
        <f t="shared" si="11"/>
        <v>#DIV/0!</v>
      </c>
      <c r="U60" s="68"/>
      <c r="V60" s="68"/>
      <c r="W60" s="68"/>
    </row>
    <row r="61" spans="1:23" ht="17.25" thickTop="1" thickBot="1">
      <c r="A61" s="133"/>
      <c r="B61" s="134"/>
      <c r="C61" s="134"/>
      <c r="D61" s="134"/>
      <c r="E61" s="134"/>
      <c r="F61" s="134"/>
      <c r="G61" s="134"/>
      <c r="H61" s="134"/>
      <c r="I61" s="134"/>
      <c r="J61" s="134"/>
      <c r="K61" s="350" t="s">
        <v>116</v>
      </c>
      <c r="L61" s="277"/>
      <c r="M61" s="277"/>
      <c r="N61" s="277"/>
      <c r="O61" s="277"/>
      <c r="P61" s="278"/>
      <c r="Q61" s="69">
        <f>AVERAGEIF(Q16:Q60,"&gt;0",Q16:Q60)</f>
        <v>8.2534428571428577</v>
      </c>
      <c r="R61" s="439">
        <f t="shared" si="9"/>
        <v>8</v>
      </c>
      <c r="S61" s="135" t="str">
        <f t="shared" ref="S61" si="12">IF(ROUND(Q61,0)=10,"A+",IF(ROUND(Q61,0)=9,"A-",IF(ROUND(Q61,0)=8,"B+",IF(ROUND(Q61,0)=7,"B-",IF(ROUND(Q61,0)=6,"C+",IF(ROUND(Q61,0)=5,"C-",IF(ROUND(17,0)=4,"D+",IF(ROUND(Q61,0)=3,"D-",IF(ROUND(Q61,0)=2,"E+",IF(ROUND(Q61,0)=1,"E-"))))))))))</f>
        <v>B+</v>
      </c>
      <c r="T61" s="132"/>
      <c r="U61" s="132"/>
      <c r="V61" s="132"/>
      <c r="W61" s="132"/>
    </row>
    <row r="62" spans="1:23" ht="15.75" thickTop="1"/>
    <row r="63" spans="1:23">
      <c r="B63" s="320" t="s">
        <v>68</v>
      </c>
      <c r="C63" s="321" t="s">
        <v>72</v>
      </c>
      <c r="D63" s="321"/>
      <c r="E63" s="321"/>
      <c r="F63" s="320" t="s">
        <v>73</v>
      </c>
      <c r="G63" s="322" t="s">
        <v>81</v>
      </c>
      <c r="H63" s="322"/>
      <c r="I63" s="322"/>
    </row>
    <row r="64" spans="1:23">
      <c r="B64" s="320"/>
      <c r="C64" s="321"/>
      <c r="D64" s="321"/>
      <c r="E64" s="321"/>
      <c r="F64" s="320"/>
      <c r="G64" s="322"/>
      <c r="H64" s="322"/>
      <c r="I64" s="322"/>
    </row>
    <row r="65" spans="2:9">
      <c r="B65" s="319" t="s">
        <v>69</v>
      </c>
      <c r="C65" s="319" t="s">
        <v>74</v>
      </c>
      <c r="D65" s="319"/>
      <c r="E65" s="319"/>
      <c r="F65" s="70" t="s">
        <v>70</v>
      </c>
      <c r="G65" s="323">
        <f>COUNTIF(S16:S60,"A+")</f>
        <v>7</v>
      </c>
      <c r="H65" s="323"/>
      <c r="I65" s="323"/>
    </row>
    <row r="66" spans="2:9">
      <c r="B66" s="319"/>
      <c r="C66" s="319"/>
      <c r="D66" s="319"/>
      <c r="E66" s="319"/>
      <c r="F66" s="70" t="s">
        <v>71</v>
      </c>
      <c r="G66" s="323">
        <f>COUNTIF(S16:S60,"A-")</f>
        <v>10</v>
      </c>
      <c r="H66" s="323"/>
      <c r="I66" s="323"/>
    </row>
    <row r="67" spans="2:9">
      <c r="B67" s="319" t="s">
        <v>78</v>
      </c>
      <c r="C67" s="319" t="s">
        <v>75</v>
      </c>
      <c r="D67" s="319"/>
      <c r="E67" s="319"/>
      <c r="F67" s="70" t="s">
        <v>83</v>
      </c>
      <c r="G67" s="323">
        <f>COUNTIF(S16:S60,"B+")</f>
        <v>8</v>
      </c>
      <c r="H67" s="323"/>
      <c r="I67" s="323"/>
    </row>
    <row r="68" spans="2:9">
      <c r="B68" s="319"/>
      <c r="C68" s="319"/>
      <c r="D68" s="319"/>
      <c r="E68" s="319"/>
      <c r="F68" s="70" t="s">
        <v>84</v>
      </c>
      <c r="G68" s="323">
        <f>COUNTIF(S16:S60,"B-")</f>
        <v>10</v>
      </c>
      <c r="H68" s="323"/>
      <c r="I68" s="323"/>
    </row>
    <row r="69" spans="2:9">
      <c r="B69" s="319" t="s">
        <v>79</v>
      </c>
      <c r="C69" s="319" t="s">
        <v>76</v>
      </c>
      <c r="D69" s="319"/>
      <c r="E69" s="319"/>
      <c r="F69" s="70" t="s">
        <v>85</v>
      </c>
      <c r="G69" s="323">
        <f>COUNTIF(S16:S60,"C+")</f>
        <v>0</v>
      </c>
      <c r="H69" s="323"/>
      <c r="I69" s="323"/>
    </row>
    <row r="70" spans="2:9">
      <c r="B70" s="319"/>
      <c r="C70" s="319"/>
      <c r="D70" s="319"/>
      <c r="E70" s="319"/>
      <c r="F70" s="70" t="s">
        <v>86</v>
      </c>
      <c r="G70" s="323">
        <f>COUNTIF(S16:S60,"C-")</f>
        <v>0</v>
      </c>
      <c r="H70" s="323"/>
      <c r="I70" s="323"/>
    </row>
    <row r="71" spans="2:9">
      <c r="B71" s="319" t="s">
        <v>80</v>
      </c>
      <c r="C71" s="326" t="s">
        <v>77</v>
      </c>
      <c r="D71" s="326"/>
      <c r="E71" s="326"/>
      <c r="F71" s="70" t="s">
        <v>87</v>
      </c>
      <c r="G71" s="323">
        <f>COUNTIF(S16:S60,"D+")</f>
        <v>0</v>
      </c>
      <c r="H71" s="323"/>
      <c r="I71" s="323"/>
    </row>
    <row r="72" spans="2:9">
      <c r="B72" s="319"/>
      <c r="C72" s="326"/>
      <c r="D72" s="326"/>
      <c r="E72" s="326"/>
      <c r="F72" s="70" t="s">
        <v>88</v>
      </c>
      <c r="G72" s="323">
        <f>COUNTIF(S16:S60,"D-")</f>
        <v>0</v>
      </c>
      <c r="H72" s="323"/>
      <c r="I72" s="323"/>
    </row>
    <row r="73" spans="2:9">
      <c r="B73" s="319"/>
      <c r="C73" s="326"/>
      <c r="D73" s="326"/>
      <c r="E73" s="326"/>
      <c r="F73" s="70" t="s">
        <v>89</v>
      </c>
      <c r="G73" s="323">
        <f>COUNTIF(S16:S60,"E+")</f>
        <v>0</v>
      </c>
      <c r="H73" s="323"/>
      <c r="I73" s="323"/>
    </row>
    <row r="74" spans="2:9">
      <c r="B74" s="319"/>
      <c r="C74" s="326"/>
      <c r="D74" s="326"/>
      <c r="E74" s="326"/>
      <c r="F74" s="70" t="s">
        <v>90</v>
      </c>
      <c r="G74" s="323">
        <f>COUNTIF(S16:S60,"E-")</f>
        <v>0</v>
      </c>
      <c r="H74" s="323"/>
      <c r="I74" s="323"/>
    </row>
    <row r="82" spans="2:11">
      <c r="B82" s="71" t="str">
        <f>DATOS!B7</f>
        <v>Ing. Margarita Ronquillo</v>
      </c>
      <c r="F82" s="324" t="str">
        <f>DATOS!B4</f>
        <v>Msc. Myrian Zurita</v>
      </c>
      <c r="G82" s="324"/>
      <c r="H82" s="324"/>
      <c r="I82" s="324"/>
      <c r="J82" s="324"/>
      <c r="K82" s="324"/>
    </row>
    <row r="83" spans="2:11">
      <c r="B83" s="72" t="str">
        <f>DATOS!A7</f>
        <v>Vicerrector/a:</v>
      </c>
      <c r="F83" s="325" t="str">
        <f>DATOS!A4</f>
        <v>Docente:</v>
      </c>
      <c r="G83" s="325"/>
      <c r="H83" s="325"/>
      <c r="I83" s="325"/>
      <c r="J83" s="325"/>
      <c r="K83" s="325"/>
    </row>
  </sheetData>
  <mergeCells count="66">
    <mergeCell ref="H14:H15"/>
    <mergeCell ref="R12:R15"/>
    <mergeCell ref="F82:K82"/>
    <mergeCell ref="F83:K83"/>
    <mergeCell ref="B69:B70"/>
    <mergeCell ref="C69:E70"/>
    <mergeCell ref="G69:I69"/>
    <mergeCell ref="G70:I70"/>
    <mergeCell ref="B71:B74"/>
    <mergeCell ref="C71:E74"/>
    <mergeCell ref="G71:I71"/>
    <mergeCell ref="G72:I72"/>
    <mergeCell ref="G73:I73"/>
    <mergeCell ref="G74:I74"/>
    <mergeCell ref="K61:P61"/>
    <mergeCell ref="O14:O15"/>
    <mergeCell ref="B67:B68"/>
    <mergeCell ref="C67:E68"/>
    <mergeCell ref="G67:I67"/>
    <mergeCell ref="G68:I68"/>
    <mergeCell ref="B65:B66"/>
    <mergeCell ref="C65:E66"/>
    <mergeCell ref="G65:I65"/>
    <mergeCell ref="G66:I66"/>
    <mergeCell ref="B63:B64"/>
    <mergeCell ref="C63:E64"/>
    <mergeCell ref="F63:F64"/>
    <mergeCell ref="G63:I64"/>
    <mergeCell ref="I14:I15"/>
    <mergeCell ref="D14:D15"/>
    <mergeCell ref="V6:W6"/>
    <mergeCell ref="A1:W2"/>
    <mergeCell ref="C5:I5"/>
    <mergeCell ref="K5:N5"/>
    <mergeCell ref="O5:S5"/>
    <mergeCell ref="V5:W5"/>
    <mergeCell ref="C6:I6"/>
    <mergeCell ref="K6:N6"/>
    <mergeCell ref="O6:S6"/>
    <mergeCell ref="T12:T15"/>
    <mergeCell ref="J14:J15"/>
    <mergeCell ref="L14:L15"/>
    <mergeCell ref="M14:M15"/>
    <mergeCell ref="N14:N15"/>
    <mergeCell ref="C7:I7"/>
    <mergeCell ref="K7:N7"/>
    <mergeCell ref="O7:S7"/>
    <mergeCell ref="C8:I8"/>
    <mergeCell ref="K8:N8"/>
    <mergeCell ref="O8:S8"/>
    <mergeCell ref="C9:I9"/>
    <mergeCell ref="A11:W11"/>
    <mergeCell ref="A12:A15"/>
    <mergeCell ref="B12:B15"/>
    <mergeCell ref="P12:P15"/>
    <mergeCell ref="C12:F13"/>
    <mergeCell ref="G12:J13"/>
    <mergeCell ref="K12:K15"/>
    <mergeCell ref="L12:O13"/>
    <mergeCell ref="U12:W14"/>
    <mergeCell ref="S12:S15"/>
    <mergeCell ref="C14:C15"/>
    <mergeCell ref="E14:E15"/>
    <mergeCell ref="F14:F15"/>
    <mergeCell ref="G14:G15"/>
    <mergeCell ref="Q12:Q15"/>
  </mergeCells>
  <conditionalFormatting sqref="Q16:Q60">
    <cfRule type="cellIs" dxfId="14" priority="6" operator="lessThan">
      <formula>7</formula>
    </cfRule>
    <cfRule type="cellIs" dxfId="13" priority="7" operator="lessThan">
      <formula>7</formula>
    </cfRule>
  </conditionalFormatting>
  <conditionalFormatting sqref="T16:T60">
    <cfRule type="cellIs" dxfId="12" priority="3" operator="equal">
      <formula>"RECUPERACIÓN PEDAGOGICA"</formula>
    </cfRule>
  </conditionalFormatting>
  <conditionalFormatting sqref="T16:T60">
    <cfRule type="cellIs" dxfId="11" priority="4" operator="lessThan">
      <formula>6.99</formula>
    </cfRule>
    <cfRule type="cellIs" dxfId="10" priority="5" operator="lessThan">
      <formula>7</formula>
    </cfRule>
  </conditionalFormatting>
  <conditionalFormatting sqref="R16:R61">
    <cfRule type="cellIs" dxfId="5" priority="1" operator="lessThan">
      <formula>7</formula>
    </cfRule>
    <cfRule type="cellIs" dxfId="4" priority="2" operator="lessThan">
      <formula>7</formula>
    </cfRule>
  </conditionalFormatting>
  <pageMargins left="0.19685039370078741" right="3.937007874015748E-2" top="0.11811023622047245" bottom="0.15748031496062992" header="7.874015748031496E-2" footer="0.11811023622047245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11"/>
  <sheetViews>
    <sheetView tabSelected="1" topLeftCell="B4" workbookViewId="0">
      <selection activeCell="AF8" sqref="AF8"/>
    </sheetView>
  </sheetViews>
  <sheetFormatPr baseColWidth="10" defaultRowHeight="15"/>
  <cols>
    <col min="1" max="1" width="11.85546875" customWidth="1"/>
    <col min="2" max="2" width="37.28515625" customWidth="1"/>
    <col min="3" max="5" width="6.7109375" style="154" customWidth="1"/>
    <col min="6" max="6" width="6.7109375" hidden="1" customWidth="1"/>
    <col min="7" max="9" width="6.7109375" style="154" customWidth="1"/>
    <col min="10" max="10" width="6.7109375" hidden="1" customWidth="1"/>
    <col min="11" max="13" width="6.7109375" style="154" customWidth="1"/>
    <col min="14" max="14" width="6.7109375" hidden="1" customWidth="1"/>
    <col min="15" max="15" width="6.7109375" customWidth="1"/>
    <col min="16" max="17" width="6.7109375" hidden="1" customWidth="1"/>
    <col min="18" max="18" width="6.7109375" customWidth="1"/>
    <col min="19" max="19" width="6.7109375" hidden="1" customWidth="1"/>
    <col min="20" max="21" width="6.7109375" style="154" customWidth="1"/>
    <col min="22" max="22" width="9.7109375" hidden="1" customWidth="1"/>
    <col min="23" max="23" width="6.7109375" style="154" customWidth="1"/>
    <col min="24" max="26" width="6.7109375" customWidth="1"/>
    <col min="27" max="27" width="13.42578125" customWidth="1"/>
    <col min="28" max="29" width="6.7109375" customWidth="1"/>
    <col min="30" max="30" width="11.85546875" customWidth="1"/>
  </cols>
  <sheetData>
    <row r="1" spans="1:30" ht="31.5" customHeight="1" thickBot="1">
      <c r="A1" s="396" t="s">
        <v>1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398"/>
    </row>
    <row r="2" spans="1:30" ht="27.75" customHeight="1" thickBot="1">
      <c r="A2" s="399" t="s">
        <v>94</v>
      </c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A2" s="400"/>
      <c r="AB2" s="400"/>
      <c r="AC2" s="400"/>
      <c r="AD2" s="401"/>
    </row>
    <row r="3" spans="1:30" s="80" customFormat="1" ht="20.100000000000001" customHeight="1">
      <c r="A3" s="82"/>
      <c r="B3" s="83" t="s">
        <v>28</v>
      </c>
      <c r="C3" s="408" t="str">
        <f>DATOS!B5</f>
        <v>Décimo EGB A</v>
      </c>
      <c r="D3" s="408"/>
      <c r="E3" s="408"/>
      <c r="F3" s="408"/>
      <c r="G3" s="408"/>
      <c r="H3" s="408"/>
      <c r="I3" s="408"/>
      <c r="J3" s="408"/>
      <c r="K3" s="151"/>
      <c r="L3" s="164"/>
      <c r="M3" s="411" t="s">
        <v>48</v>
      </c>
      <c r="N3" s="411"/>
      <c r="O3" s="411"/>
      <c r="P3" s="411"/>
      <c r="Q3" s="408" t="str">
        <f>DATOS!B6</f>
        <v>Lic. Gabriela Banda</v>
      </c>
      <c r="R3" s="408"/>
      <c r="S3" s="408"/>
      <c r="T3" s="408"/>
      <c r="U3" s="408"/>
      <c r="V3" s="408"/>
      <c r="W3" s="408"/>
      <c r="X3" s="408"/>
      <c r="Y3" s="408"/>
      <c r="Z3" s="408"/>
      <c r="AA3" s="408"/>
      <c r="AB3" s="408"/>
      <c r="AC3" s="84"/>
      <c r="AD3" s="105"/>
    </row>
    <row r="4" spans="1:30" s="80" customFormat="1" ht="20.100000000000001" customHeight="1">
      <c r="A4" s="85"/>
      <c r="B4" s="106" t="s">
        <v>30</v>
      </c>
      <c r="C4" s="409" t="str">
        <f>DATOS!B4</f>
        <v>Msc. Myrian Zurita</v>
      </c>
      <c r="D4" s="409"/>
      <c r="E4" s="409"/>
      <c r="F4" s="409"/>
      <c r="G4" s="409"/>
      <c r="H4" s="409"/>
      <c r="I4" s="409"/>
      <c r="J4" s="409"/>
      <c r="K4" s="107"/>
      <c r="L4" s="107"/>
      <c r="M4" s="361" t="s">
        <v>47</v>
      </c>
      <c r="N4" s="361"/>
      <c r="O4" s="361"/>
      <c r="P4" s="361"/>
      <c r="Q4" s="362" t="s">
        <v>59</v>
      </c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108"/>
      <c r="AD4" s="109"/>
    </row>
    <row r="5" spans="1:30" s="80" customFormat="1" ht="20.100000000000001" customHeight="1" thickBot="1">
      <c r="A5" s="110"/>
      <c r="B5" s="111" t="s">
        <v>32</v>
      </c>
      <c r="C5" s="410" t="str">
        <f>DATOS!B3</f>
        <v>Educación Cultural y Artitica</v>
      </c>
      <c r="D5" s="410"/>
      <c r="E5" s="410"/>
      <c r="F5" s="410"/>
      <c r="G5" s="410"/>
      <c r="H5" s="410"/>
      <c r="I5" s="410"/>
      <c r="J5" s="410"/>
      <c r="K5" s="112"/>
      <c r="L5" s="112"/>
      <c r="M5" s="360" t="s">
        <v>100</v>
      </c>
      <c r="N5" s="360"/>
      <c r="O5" s="360"/>
      <c r="P5" s="361"/>
      <c r="Q5" s="362" t="str">
        <f>DATOS!B2</f>
        <v>2023 - 2024</v>
      </c>
      <c r="R5" s="362"/>
      <c r="S5" s="362"/>
      <c r="T5" s="362"/>
      <c r="U5" s="362"/>
      <c r="V5" s="362"/>
      <c r="W5" s="362"/>
      <c r="X5" s="362"/>
      <c r="Y5" s="362"/>
      <c r="Z5" s="362"/>
      <c r="AA5" s="362"/>
      <c r="AB5" s="362"/>
      <c r="AC5" s="108"/>
      <c r="AD5" s="109"/>
    </row>
    <row r="6" spans="1:30" s="80" customFormat="1" ht="20.100000000000001" customHeight="1">
      <c r="A6" s="81"/>
      <c r="B6" s="86"/>
      <c r="C6" s="379" t="s">
        <v>101</v>
      </c>
      <c r="D6" s="380"/>
      <c r="E6" s="381"/>
      <c r="F6" s="382"/>
      <c r="G6" s="380" t="s">
        <v>104</v>
      </c>
      <c r="H6" s="380"/>
      <c r="I6" s="381"/>
      <c r="J6" s="387"/>
      <c r="K6" s="379" t="s">
        <v>105</v>
      </c>
      <c r="L6" s="380"/>
      <c r="M6" s="381"/>
      <c r="N6" s="382"/>
      <c r="O6" s="389" t="s">
        <v>109</v>
      </c>
      <c r="P6" s="392" t="s">
        <v>95</v>
      </c>
      <c r="Q6" s="393"/>
      <c r="R6" s="363" t="s">
        <v>96</v>
      </c>
      <c r="S6" s="364"/>
      <c r="T6" s="434" t="s">
        <v>169</v>
      </c>
      <c r="U6" s="435"/>
      <c r="V6" s="435"/>
      <c r="W6" s="436"/>
      <c r="X6" s="365" t="s">
        <v>110</v>
      </c>
      <c r="Y6" s="192"/>
      <c r="Z6" s="368" t="s">
        <v>111</v>
      </c>
      <c r="AA6" s="371" t="s">
        <v>97</v>
      </c>
      <c r="AB6" s="374" t="s">
        <v>112</v>
      </c>
      <c r="AC6" s="357" t="s">
        <v>113</v>
      </c>
      <c r="AD6" s="402" t="s">
        <v>97</v>
      </c>
    </row>
    <row r="7" spans="1:30" ht="15" customHeight="1" thickBot="1">
      <c r="A7" s="93"/>
      <c r="B7" s="94"/>
      <c r="C7" s="383"/>
      <c r="D7" s="384"/>
      <c r="E7" s="385"/>
      <c r="F7" s="386"/>
      <c r="G7" s="384"/>
      <c r="H7" s="384"/>
      <c r="I7" s="385"/>
      <c r="J7" s="388"/>
      <c r="K7" s="383"/>
      <c r="L7" s="384"/>
      <c r="M7" s="385"/>
      <c r="N7" s="386"/>
      <c r="O7" s="390"/>
      <c r="P7" s="394" t="s">
        <v>98</v>
      </c>
      <c r="Q7" s="355" t="s">
        <v>99</v>
      </c>
      <c r="R7" s="355" t="s">
        <v>117</v>
      </c>
      <c r="S7" s="412" t="s">
        <v>118</v>
      </c>
      <c r="T7" s="377" t="s">
        <v>166</v>
      </c>
      <c r="U7" s="378" t="s">
        <v>165</v>
      </c>
      <c r="V7" s="433" t="s">
        <v>122</v>
      </c>
      <c r="W7" s="432" t="s">
        <v>111</v>
      </c>
      <c r="X7" s="366"/>
      <c r="Y7" s="193"/>
      <c r="Z7" s="369"/>
      <c r="AA7" s="372"/>
      <c r="AB7" s="375"/>
      <c r="AC7" s="358"/>
      <c r="AD7" s="403"/>
    </row>
    <row r="8" spans="1:30" ht="157.5" thickBot="1">
      <c r="A8" s="95" t="s">
        <v>33</v>
      </c>
      <c r="B8" s="101" t="s">
        <v>34</v>
      </c>
      <c r="C8" s="155" t="s">
        <v>102</v>
      </c>
      <c r="D8" s="182" t="s">
        <v>103</v>
      </c>
      <c r="E8" s="183" t="s">
        <v>103</v>
      </c>
      <c r="F8" s="96" t="s">
        <v>108</v>
      </c>
      <c r="G8" s="158" t="s">
        <v>102</v>
      </c>
      <c r="H8" s="182" t="s">
        <v>103</v>
      </c>
      <c r="I8" s="183" t="s">
        <v>103</v>
      </c>
      <c r="J8" s="97" t="s">
        <v>107</v>
      </c>
      <c r="K8" s="155" t="s">
        <v>102</v>
      </c>
      <c r="L8" s="182" t="s">
        <v>103</v>
      </c>
      <c r="M8" s="183" t="s">
        <v>103</v>
      </c>
      <c r="N8" s="96" t="s">
        <v>106</v>
      </c>
      <c r="O8" s="391"/>
      <c r="P8" s="395"/>
      <c r="Q8" s="356"/>
      <c r="R8" s="356"/>
      <c r="S8" s="413"/>
      <c r="T8" s="377"/>
      <c r="U8" s="378"/>
      <c r="V8" s="430"/>
      <c r="W8" s="432"/>
      <c r="X8" s="367"/>
      <c r="Y8" s="194" t="s">
        <v>167</v>
      </c>
      <c r="Z8" s="370"/>
      <c r="AA8" s="373"/>
      <c r="AB8" s="376"/>
      <c r="AC8" s="359"/>
      <c r="AD8" s="404"/>
    </row>
    <row r="9" spans="1:30">
      <c r="A9" s="98">
        <v>1</v>
      </c>
      <c r="B9" s="102" t="str">
        <f>DATOS!B12</f>
        <v>AIMACAÑA LEMA JOSELYN MARISOL</v>
      </c>
      <c r="C9" s="156">
        <f>'J.CURSO 1ER TRIMESTRE'!Q16</f>
        <v>9.1054999999999993</v>
      </c>
      <c r="D9" s="184">
        <f>ROUND(C9,0)</f>
        <v>9</v>
      </c>
      <c r="E9" s="185" t="str">
        <f>'J.CURSO 1ER TRIMESTRE'!S16</f>
        <v>A-</v>
      </c>
      <c r="F9" s="90">
        <f>C9*0.3</f>
        <v>2.7316499999999997</v>
      </c>
      <c r="G9" s="159">
        <f>'J.CURSO 2DO TRIMESTRE '!Q16</f>
        <v>7.0425000000000004</v>
      </c>
      <c r="H9" s="184">
        <f>ROUND(G9,0)</f>
        <v>7</v>
      </c>
      <c r="I9" s="185" t="str">
        <f>'J.CURSO 2DO TRIMESTRE '!S16</f>
        <v>B-</v>
      </c>
      <c r="J9" s="91">
        <f>G9*0.3</f>
        <v>2.1127500000000001</v>
      </c>
      <c r="K9" s="156">
        <f>'J.CURSO 3 ER TRIMESTRE'!Q16</f>
        <v>7.5</v>
      </c>
      <c r="L9" s="184">
        <f>ROUND(K9,0)</f>
        <v>8</v>
      </c>
      <c r="M9" s="188" t="str">
        <f>'J.CURSO 3 ER TRIMESTRE'!S16</f>
        <v>B+</v>
      </c>
      <c r="N9" s="87">
        <f>K9*0.3</f>
        <v>2.25</v>
      </c>
      <c r="O9" s="113">
        <f>TRUNC((F9+J9+N9),2)</f>
        <v>7.09</v>
      </c>
      <c r="P9" s="88">
        <f>('NOTAS 1ER TRIMESTRE'!P15+'NOTAS 2DO TRIMESTRE'!P15+'NOTAS 3 ER TRIMESTRE'!P15)/3</f>
        <v>8.5033333333333321</v>
      </c>
      <c r="Q9" s="89">
        <f>P9*0.05</f>
        <v>0.42516666666666664</v>
      </c>
      <c r="R9" s="92">
        <v>10</v>
      </c>
      <c r="S9" s="92">
        <f t="shared" ref="S9:S53" si="0">R9*0.05</f>
        <v>0.5</v>
      </c>
      <c r="T9" s="153">
        <f t="shared" ref="T9:T53" si="1">TRUNC(((R9+P9)/2),2)</f>
        <v>9.25</v>
      </c>
      <c r="U9" s="431">
        <f>ROUND(T9,0)</f>
        <v>9</v>
      </c>
      <c r="V9" s="190">
        <f t="shared" ref="V9:V53" si="2">T9*0.1</f>
        <v>0.92500000000000004</v>
      </c>
      <c r="W9" s="191" t="str">
        <f t="shared" ref="W9:W53" si="3">IF(ROUND(T9,0)=10,"A+",IF(ROUND(T9,0)=9,"A-",IF(ROUND(T9,0)=8,"B+",IF(ROUND(T9,0)=7,"B-",IF(ROUND(T9,0)=6,"C+",IF(ROUND(T9,0)=5,"C-",IF(ROUND(T9,0)=4,"D+",IF(ROUND(T9,0)=3,"D-",IF(ROUND(T9,0)=2,"E+",IF(ROUND(T9,0)=1,"E-"))))))))))</f>
        <v>A-</v>
      </c>
      <c r="X9" s="198">
        <f t="shared" ref="X9:X53" si="4">TRUNC((O9+V9),2)</f>
        <v>8.01</v>
      </c>
      <c r="Y9" s="195">
        <f>ROUND(X9,0)</f>
        <v>8</v>
      </c>
      <c r="Z9" s="196" t="str">
        <f>IF(ROUND(X9,0)=10,"A+",IF(ROUND(X9,0)=9,"A-",IF(ROUND(X9,0)=8,"B+",IF(ROUND(X9,0)=7,"B-",IF(ROUND(X9,0)=6,"C+",IF(ROUND(X9,0)=5,"C-",IF(ROUND(X9,0)=4,"D+",IF(ROUND(X9,0)=3,"D-",IF(ROUND(X9,0)=2,"E+",IF(ROUND(X9,0)=1,"E-"))))))))))</f>
        <v>B+</v>
      </c>
      <c r="AA9" s="104" t="str">
        <f>IF(X9&gt;=7,"APROBADO",IF(X9&lt;7,"SUPLETORIO"))</f>
        <v>APROBADO</v>
      </c>
      <c r="AB9" s="425"/>
      <c r="AC9" s="426" t="str">
        <f>IF(AB9="","",IF(AND(AB9&lt;7),AB9,IF(AND(AB9&gt;=7,AB9&lt;=7.5),"7",IF(AND(AB9&gt;=7.6,AB9&lt;=7.9),"7.25",IF(AND(AB9&gt;=8,AB9&lt;=8.5),"7.50",IF(AND(AB9&gt;=8.6,AB9&lt;9),"7.75",IF(AND(AB9&gt;=9,AB9&lt;=10),"8")))))))</f>
        <v/>
      </c>
      <c r="AD9" s="152" t="str">
        <f>IF(AC9&gt;=7,"APROBADO",IF(AC9&lt;7,"REPROBADO"))</f>
        <v>APROBADO</v>
      </c>
    </row>
    <row r="10" spans="1:30">
      <c r="A10" s="99">
        <v>2</v>
      </c>
      <c r="B10" s="103" t="str">
        <f>DATOS!B13</f>
        <v>ALMACHI YUGCHA AYAN MIGUEL</v>
      </c>
      <c r="C10" s="156">
        <f>'J.CURSO 1ER TRIMESTRE'!Q17</f>
        <v>8.2110000000000003</v>
      </c>
      <c r="D10" s="184">
        <f t="shared" ref="D10:D53" si="5">ROUND(C10,0)</f>
        <v>8</v>
      </c>
      <c r="E10" s="185" t="str">
        <f>'J.CURSO 1ER TRIMESTRE'!S17</f>
        <v>B+</v>
      </c>
      <c r="F10" s="90">
        <f t="shared" ref="F10:F53" si="6">C10*0.3</f>
        <v>2.4632999999999998</v>
      </c>
      <c r="G10" s="159">
        <f>'J.CURSO 2DO TRIMESTRE '!Q17</f>
        <v>7.4</v>
      </c>
      <c r="H10" s="184">
        <f t="shared" ref="H10:H53" si="7">ROUND(G10,0)</f>
        <v>7</v>
      </c>
      <c r="I10" s="185" t="str">
        <f>'J.CURSO 2DO TRIMESTRE '!S17</f>
        <v>B-</v>
      </c>
      <c r="J10" s="91">
        <f t="shared" ref="J10:J53" si="8">G10*0.3</f>
        <v>2.2200000000000002</v>
      </c>
      <c r="K10" s="156">
        <f>'J.CURSO 3 ER TRIMESTRE'!Q17</f>
        <v>7</v>
      </c>
      <c r="L10" s="184">
        <f t="shared" ref="L10:L53" si="9">ROUND(K10,0)</f>
        <v>7</v>
      </c>
      <c r="M10" s="188" t="str">
        <f>'J.CURSO 3 ER TRIMESTRE'!S17</f>
        <v>B-</v>
      </c>
      <c r="N10" s="87">
        <f t="shared" ref="N10:N53" si="10">K10*0.3</f>
        <v>2.1</v>
      </c>
      <c r="O10" s="113">
        <f t="shared" ref="O10:O53" si="11">TRUNC((F10+J10+N10),2)</f>
        <v>6.78</v>
      </c>
      <c r="P10" s="88">
        <f>('NOTAS 1ER TRIMESTRE'!P16+'NOTAS 2DO TRIMESTRE'!P16+'NOTAS 3 ER TRIMESTRE'!P16)/3</f>
        <v>7.0933333333333337</v>
      </c>
      <c r="Q10" s="89">
        <f t="shared" ref="Q10:Q53" si="12">P10*0.05</f>
        <v>0.35466666666666669</v>
      </c>
      <c r="R10" s="92"/>
      <c r="S10" s="92">
        <f t="shared" si="0"/>
        <v>0</v>
      </c>
      <c r="T10" s="153">
        <f t="shared" si="1"/>
        <v>3.54</v>
      </c>
      <c r="U10" s="187">
        <f t="shared" ref="U10:U53" si="13">ROUND(T10,0)</f>
        <v>4</v>
      </c>
      <c r="V10" s="190">
        <f t="shared" si="2"/>
        <v>0.35400000000000004</v>
      </c>
      <c r="W10" s="191" t="str">
        <f t="shared" si="3"/>
        <v>D+</v>
      </c>
      <c r="X10" s="198">
        <f t="shared" si="4"/>
        <v>7.13</v>
      </c>
      <c r="Y10" s="195">
        <f t="shared" ref="Y10:Y53" si="14">ROUND(X10,0)</f>
        <v>7</v>
      </c>
      <c r="Z10" s="196" t="str">
        <f t="shared" ref="Z10:Z53" si="15">IF(ROUND(X10,0)=10,"A+",IF(ROUND(X10,0)=9,"A-",IF(ROUND(X10,0)=8,"B+",IF(ROUND(X10,0)=7,"B-",IF(ROUND(X10,0)=6,"C+",IF(ROUND(X10,0)=5,"C-",IF(ROUND(X10,0)=4,"D+",IF(ROUND(X10,0)=3,"D-",IF(ROUND(X10,0)=2,"E+",IF(ROUND(X10,0)=1,"E-"))))))))))</f>
        <v>B-</v>
      </c>
      <c r="AA10" s="104" t="str">
        <f t="shared" ref="AA10:AA53" si="16">IF(X10&gt;=7,"APROBADO",IF(X10&lt;7,"SUPLETORIO"))</f>
        <v>APROBADO</v>
      </c>
      <c r="AB10" s="427"/>
      <c r="AC10" s="428" t="str">
        <f t="shared" ref="AC10:AC53" si="17">IF(AB10="","",IF(AND(AB10&lt;7),AB10,IF(AND(AB10&gt;=7,AB10&lt;=7.5),"7",IF(AND(AB10&gt;=7.6,AB10&lt;=7.9),"7.25",IF(AND(AB10&gt;=8,AB10&lt;=8.5),"7.50",IF(AND(AB10&gt;=8.6,AB10&lt;9),"7.75",IF(AND(AB10&gt;=9,AB10&lt;=10),"8")))))))</f>
        <v/>
      </c>
      <c r="AD10" s="114" t="str">
        <f t="shared" ref="AD10:AD53" si="18">IF(AC10&gt;=7,"APROBADO",IF(AC10&lt;7,"REPROBADO"))</f>
        <v>APROBADO</v>
      </c>
    </row>
    <row r="11" spans="1:30">
      <c r="A11" s="99">
        <v>3</v>
      </c>
      <c r="B11" s="103" t="str">
        <f>DATOS!B14</f>
        <v>ANCHUNDIA PLUAS KEYSI BETSABED</v>
      </c>
      <c r="C11" s="156">
        <f>'J.CURSO 1ER TRIMESTRE'!Q18</f>
        <v>7.5665000000000013</v>
      </c>
      <c r="D11" s="184">
        <f t="shared" si="5"/>
        <v>8</v>
      </c>
      <c r="E11" s="185" t="str">
        <f>'J.CURSO 1ER TRIMESTRE'!S18</f>
        <v>B+</v>
      </c>
      <c r="F11" s="90">
        <f t="shared" si="6"/>
        <v>2.2699500000000001</v>
      </c>
      <c r="G11" s="159">
        <f>'J.CURSO 2DO TRIMESTRE '!Q18</f>
        <v>9.9375</v>
      </c>
      <c r="H11" s="184">
        <f t="shared" si="7"/>
        <v>10</v>
      </c>
      <c r="I11" s="185" t="str">
        <f>'J.CURSO 2DO TRIMESTRE '!S18</f>
        <v>A+</v>
      </c>
      <c r="J11" s="91">
        <f t="shared" si="8"/>
        <v>2.9812499999999997</v>
      </c>
      <c r="K11" s="156">
        <f>'J.CURSO 3 ER TRIMESTRE'!Q18</f>
        <v>10</v>
      </c>
      <c r="L11" s="184">
        <f t="shared" si="9"/>
        <v>10</v>
      </c>
      <c r="M11" s="188" t="str">
        <f>'J.CURSO 3 ER TRIMESTRE'!S18</f>
        <v>A+</v>
      </c>
      <c r="N11" s="87">
        <f t="shared" si="10"/>
        <v>3</v>
      </c>
      <c r="O11" s="113">
        <f t="shared" si="11"/>
        <v>8.25</v>
      </c>
      <c r="P11" s="88">
        <f>('NOTAS 1ER TRIMESTRE'!P17+'NOTAS 2DO TRIMESTRE'!P17+'NOTAS 3 ER TRIMESTRE'!P17)/3</f>
        <v>9.5466666666666669</v>
      </c>
      <c r="Q11" s="89">
        <f t="shared" si="12"/>
        <v>0.47733333333333339</v>
      </c>
      <c r="R11" s="92">
        <v>10</v>
      </c>
      <c r="S11" s="92">
        <f t="shared" si="0"/>
        <v>0.5</v>
      </c>
      <c r="T11" s="153">
        <f t="shared" si="1"/>
        <v>9.77</v>
      </c>
      <c r="U11" s="187">
        <f t="shared" si="13"/>
        <v>10</v>
      </c>
      <c r="V11" s="190">
        <f t="shared" si="2"/>
        <v>0.97699999999999998</v>
      </c>
      <c r="W11" s="191" t="str">
        <f t="shared" si="3"/>
        <v>A+</v>
      </c>
      <c r="X11" s="198">
        <f t="shared" si="4"/>
        <v>9.2200000000000006</v>
      </c>
      <c r="Y11" s="195">
        <f t="shared" si="14"/>
        <v>9</v>
      </c>
      <c r="Z11" s="196" t="str">
        <f t="shared" si="15"/>
        <v>A-</v>
      </c>
      <c r="AA11" s="104" t="str">
        <f t="shared" si="16"/>
        <v>APROBADO</v>
      </c>
      <c r="AB11" s="427"/>
      <c r="AC11" s="428" t="str">
        <f t="shared" si="17"/>
        <v/>
      </c>
      <c r="AD11" s="114" t="str">
        <f t="shared" si="18"/>
        <v>APROBADO</v>
      </c>
    </row>
    <row r="12" spans="1:30">
      <c r="A12" s="99">
        <v>4</v>
      </c>
      <c r="B12" s="103" t="str">
        <f>DATOS!B15</f>
        <v>ANCHUNDIA SUAREZ MAILY VALENTINA</v>
      </c>
      <c r="C12" s="156">
        <f>'J.CURSO 1ER TRIMESTRE'!Q19</f>
        <v>8.8505000000000003</v>
      </c>
      <c r="D12" s="184">
        <f t="shared" si="5"/>
        <v>9</v>
      </c>
      <c r="E12" s="185" t="str">
        <f>'J.CURSO 1ER TRIMESTRE'!S19</f>
        <v>A-</v>
      </c>
      <c r="F12" s="90">
        <f t="shared" si="6"/>
        <v>2.6551499999999999</v>
      </c>
      <c r="G12" s="159">
        <f>'J.CURSO 2DO TRIMESTRE '!Q19</f>
        <v>7.0510000000000002</v>
      </c>
      <c r="H12" s="184">
        <f t="shared" si="7"/>
        <v>7</v>
      </c>
      <c r="I12" s="185" t="str">
        <f>'J.CURSO 2DO TRIMESTRE '!S19</f>
        <v>B-</v>
      </c>
      <c r="J12" s="91">
        <f t="shared" si="8"/>
        <v>2.1153</v>
      </c>
      <c r="K12" s="156">
        <f>'J.CURSO 3 ER TRIMESTRE'!Q19</f>
        <v>8</v>
      </c>
      <c r="L12" s="184">
        <f t="shared" si="9"/>
        <v>8</v>
      </c>
      <c r="M12" s="188" t="str">
        <f>'J.CURSO 3 ER TRIMESTRE'!S19</f>
        <v>B+</v>
      </c>
      <c r="N12" s="87">
        <f t="shared" si="10"/>
        <v>2.4</v>
      </c>
      <c r="O12" s="113">
        <f t="shared" si="11"/>
        <v>7.17</v>
      </c>
      <c r="P12" s="88">
        <f>('NOTAS 1ER TRIMESTRE'!P18+'NOTAS 2DO TRIMESTRE'!P18+'NOTAS 3 ER TRIMESTRE'!P18)/3</f>
        <v>6.63</v>
      </c>
      <c r="Q12" s="89">
        <f t="shared" si="12"/>
        <v>0.33150000000000002</v>
      </c>
      <c r="R12" s="92">
        <v>4.5</v>
      </c>
      <c r="S12" s="92">
        <f t="shared" si="0"/>
        <v>0.22500000000000001</v>
      </c>
      <c r="T12" s="153">
        <f t="shared" si="1"/>
        <v>5.56</v>
      </c>
      <c r="U12" s="187">
        <f t="shared" si="13"/>
        <v>6</v>
      </c>
      <c r="V12" s="190">
        <f t="shared" si="2"/>
        <v>0.55599999999999994</v>
      </c>
      <c r="W12" s="191" t="str">
        <f t="shared" si="3"/>
        <v>C+</v>
      </c>
      <c r="X12" s="198">
        <f t="shared" si="4"/>
        <v>7.72</v>
      </c>
      <c r="Y12" s="195">
        <f t="shared" si="14"/>
        <v>8</v>
      </c>
      <c r="Z12" s="196" t="str">
        <f t="shared" si="15"/>
        <v>B+</v>
      </c>
      <c r="AA12" s="104" t="str">
        <f t="shared" si="16"/>
        <v>APROBADO</v>
      </c>
      <c r="AB12" s="427"/>
      <c r="AC12" s="428" t="str">
        <f t="shared" si="17"/>
        <v/>
      </c>
      <c r="AD12" s="114" t="str">
        <f t="shared" si="18"/>
        <v>APROBADO</v>
      </c>
    </row>
    <row r="13" spans="1:30">
      <c r="A13" s="99">
        <v>5</v>
      </c>
      <c r="B13" s="103" t="str">
        <f>DATOS!B16</f>
        <v>CAIZA CHICAIZA BRYAN JOEL</v>
      </c>
      <c r="C13" s="156">
        <f>'J.CURSO 1ER TRIMESTRE'!Q20</f>
        <v>8.3005000000000013</v>
      </c>
      <c r="D13" s="184">
        <f t="shared" si="5"/>
        <v>8</v>
      </c>
      <c r="E13" s="185" t="str">
        <f>'J.CURSO 1ER TRIMESTRE'!S20</f>
        <v>B+</v>
      </c>
      <c r="F13" s="90">
        <f t="shared" si="6"/>
        <v>2.4901500000000003</v>
      </c>
      <c r="G13" s="159">
        <f>'J.CURSO 2DO TRIMESTRE '!Q20</f>
        <v>7.6914999999999996</v>
      </c>
      <c r="H13" s="184">
        <f t="shared" si="7"/>
        <v>8</v>
      </c>
      <c r="I13" s="185" t="str">
        <f>'J.CURSO 2DO TRIMESTRE '!S20</f>
        <v>B+</v>
      </c>
      <c r="J13" s="91">
        <f t="shared" si="8"/>
        <v>2.3074499999999998</v>
      </c>
      <c r="K13" s="156">
        <f>'J.CURSO 3 ER TRIMESTRE'!Q20</f>
        <v>7</v>
      </c>
      <c r="L13" s="184">
        <f t="shared" si="9"/>
        <v>7</v>
      </c>
      <c r="M13" s="188" t="str">
        <f>'J.CURSO 3 ER TRIMESTRE'!S20</f>
        <v>B-</v>
      </c>
      <c r="N13" s="87">
        <f t="shared" si="10"/>
        <v>2.1</v>
      </c>
      <c r="O13" s="113">
        <f t="shared" si="11"/>
        <v>6.89</v>
      </c>
      <c r="P13" s="88">
        <f>('NOTAS 1ER TRIMESTRE'!P19+'NOTAS 2DO TRIMESTRE'!P19+'NOTAS 3 ER TRIMESTRE'!P19)/3</f>
        <v>7.5333333333333341</v>
      </c>
      <c r="Q13" s="89">
        <f t="shared" si="12"/>
        <v>0.37666666666666671</v>
      </c>
      <c r="R13" s="92"/>
      <c r="S13" s="92">
        <f t="shared" si="0"/>
        <v>0</v>
      </c>
      <c r="T13" s="153">
        <f t="shared" si="1"/>
        <v>3.76</v>
      </c>
      <c r="U13" s="187">
        <f t="shared" si="13"/>
        <v>4</v>
      </c>
      <c r="V13" s="190">
        <f t="shared" si="2"/>
        <v>0.376</v>
      </c>
      <c r="W13" s="191" t="str">
        <f t="shared" si="3"/>
        <v>D+</v>
      </c>
      <c r="X13" s="198">
        <f t="shared" si="4"/>
        <v>7.26</v>
      </c>
      <c r="Y13" s="195">
        <f t="shared" si="14"/>
        <v>7</v>
      </c>
      <c r="Z13" s="196" t="str">
        <f t="shared" si="15"/>
        <v>B-</v>
      </c>
      <c r="AA13" s="104" t="str">
        <f t="shared" si="16"/>
        <v>APROBADO</v>
      </c>
      <c r="AB13" s="427"/>
      <c r="AC13" s="428" t="str">
        <f t="shared" si="17"/>
        <v/>
      </c>
      <c r="AD13" s="114" t="str">
        <f t="shared" si="18"/>
        <v>APROBADO</v>
      </c>
    </row>
    <row r="14" spans="1:30">
      <c r="A14" s="99">
        <v>6</v>
      </c>
      <c r="B14" s="103" t="str">
        <f>DATOS!B17</f>
        <v>CASA CASA JOSUE DAVID</v>
      </c>
      <c r="C14" s="156">
        <f>'J.CURSO 1ER TRIMESTRE'!Q21</f>
        <v>8.0555000000000003</v>
      </c>
      <c r="D14" s="184">
        <f t="shared" si="5"/>
        <v>8</v>
      </c>
      <c r="E14" s="185" t="str">
        <f>'J.CURSO 1ER TRIMESTRE'!S21</f>
        <v>B+</v>
      </c>
      <c r="F14" s="90">
        <f t="shared" si="6"/>
        <v>2.4166500000000002</v>
      </c>
      <c r="G14" s="159">
        <f>'J.CURSO 2DO TRIMESTRE '!Q21</f>
        <v>7.7789999999999999</v>
      </c>
      <c r="H14" s="184">
        <f t="shared" si="7"/>
        <v>8</v>
      </c>
      <c r="I14" s="185" t="str">
        <f>'J.CURSO 2DO TRIMESTRE '!S21</f>
        <v>B+</v>
      </c>
      <c r="J14" s="91">
        <f t="shared" si="8"/>
        <v>2.3336999999999999</v>
      </c>
      <c r="K14" s="156">
        <f>'J.CURSO 3 ER TRIMESTRE'!Q21</f>
        <v>9</v>
      </c>
      <c r="L14" s="184">
        <f t="shared" si="9"/>
        <v>9</v>
      </c>
      <c r="M14" s="188" t="str">
        <f>'J.CURSO 3 ER TRIMESTRE'!S21</f>
        <v>A-</v>
      </c>
      <c r="N14" s="87">
        <f t="shared" si="10"/>
        <v>2.6999999999999997</v>
      </c>
      <c r="O14" s="113">
        <f t="shared" si="11"/>
        <v>7.45</v>
      </c>
      <c r="P14" s="88">
        <f>('NOTAS 1ER TRIMESTRE'!P20+'NOTAS 2DO TRIMESTRE'!P20+'NOTAS 3 ER TRIMESTRE'!P20)/3</f>
        <v>7.69</v>
      </c>
      <c r="Q14" s="89">
        <f t="shared" si="12"/>
        <v>0.38450000000000006</v>
      </c>
      <c r="R14" s="92">
        <v>7</v>
      </c>
      <c r="S14" s="92">
        <f t="shared" si="0"/>
        <v>0.35000000000000003</v>
      </c>
      <c r="T14" s="153">
        <f t="shared" si="1"/>
        <v>7.34</v>
      </c>
      <c r="U14" s="187">
        <f t="shared" si="13"/>
        <v>7</v>
      </c>
      <c r="V14" s="190">
        <f t="shared" si="2"/>
        <v>0.73399999999999999</v>
      </c>
      <c r="W14" s="191" t="str">
        <f t="shared" si="3"/>
        <v>B-</v>
      </c>
      <c r="X14" s="198">
        <f t="shared" si="4"/>
        <v>8.18</v>
      </c>
      <c r="Y14" s="195">
        <f t="shared" si="14"/>
        <v>8</v>
      </c>
      <c r="Z14" s="196" t="str">
        <f t="shared" si="15"/>
        <v>B+</v>
      </c>
      <c r="AA14" s="104" t="str">
        <f t="shared" si="16"/>
        <v>APROBADO</v>
      </c>
      <c r="AB14" s="427"/>
      <c r="AC14" s="428" t="str">
        <f t="shared" si="17"/>
        <v/>
      </c>
      <c r="AD14" s="114" t="str">
        <f t="shared" si="18"/>
        <v>APROBADO</v>
      </c>
    </row>
    <row r="15" spans="1:30">
      <c r="A15" s="99">
        <v>7</v>
      </c>
      <c r="B15" s="103" t="str">
        <f>DATOS!B18</f>
        <v>CASA TASINCHANA MARIA MERCEDES</v>
      </c>
      <c r="C15" s="156">
        <f>'J.CURSO 1ER TRIMESTRE'!Q22</f>
        <v>8.5150000000000006</v>
      </c>
      <c r="D15" s="184">
        <f t="shared" si="5"/>
        <v>9</v>
      </c>
      <c r="E15" s="185" t="str">
        <f>'J.CURSO 1ER TRIMESTRE'!S22</f>
        <v>A-</v>
      </c>
      <c r="F15" s="90">
        <f t="shared" si="6"/>
        <v>2.5545</v>
      </c>
      <c r="G15" s="159">
        <f>'J.CURSO 2DO TRIMESTRE '!Q22</f>
        <v>7.0409999999999995</v>
      </c>
      <c r="H15" s="184">
        <f t="shared" si="7"/>
        <v>7</v>
      </c>
      <c r="I15" s="185" t="str">
        <f>'J.CURSO 2DO TRIMESTRE '!S22</f>
        <v>B-</v>
      </c>
      <c r="J15" s="91">
        <f t="shared" si="8"/>
        <v>2.1122999999999998</v>
      </c>
      <c r="K15" s="156">
        <f>'J.CURSO 3 ER TRIMESTRE'!Q22</f>
        <v>7.25</v>
      </c>
      <c r="L15" s="184">
        <f t="shared" si="9"/>
        <v>7</v>
      </c>
      <c r="M15" s="188" t="str">
        <f>'J.CURSO 3 ER TRIMESTRE'!S22</f>
        <v>B-</v>
      </c>
      <c r="N15" s="87">
        <f t="shared" si="10"/>
        <v>2.1749999999999998</v>
      </c>
      <c r="O15" s="113">
        <f t="shared" si="11"/>
        <v>6.84</v>
      </c>
      <c r="P15" s="88">
        <f>('NOTAS 1ER TRIMESTRE'!P21+'NOTAS 2DO TRIMESTRE'!P21+'NOTAS 3 ER TRIMESTRE'!P21)/3</f>
        <v>7.2633333333333328</v>
      </c>
      <c r="Q15" s="89">
        <f t="shared" si="12"/>
        <v>0.36316666666666664</v>
      </c>
      <c r="R15" s="92">
        <v>7.5</v>
      </c>
      <c r="S15" s="92">
        <f t="shared" si="0"/>
        <v>0.375</v>
      </c>
      <c r="T15" s="153">
        <f t="shared" si="1"/>
        <v>7.38</v>
      </c>
      <c r="U15" s="187">
        <f t="shared" si="13"/>
        <v>7</v>
      </c>
      <c r="V15" s="190">
        <f t="shared" si="2"/>
        <v>0.73799999999999999</v>
      </c>
      <c r="W15" s="191" t="str">
        <f t="shared" si="3"/>
        <v>B-</v>
      </c>
      <c r="X15" s="198">
        <f t="shared" si="4"/>
        <v>7.57</v>
      </c>
      <c r="Y15" s="195">
        <f t="shared" si="14"/>
        <v>8</v>
      </c>
      <c r="Z15" s="196" t="str">
        <f t="shared" si="15"/>
        <v>B+</v>
      </c>
      <c r="AA15" s="104" t="str">
        <f t="shared" si="16"/>
        <v>APROBADO</v>
      </c>
      <c r="AB15" s="427"/>
      <c r="AC15" s="428" t="str">
        <f t="shared" si="17"/>
        <v/>
      </c>
      <c r="AD15" s="114" t="str">
        <f t="shared" si="18"/>
        <v>APROBADO</v>
      </c>
    </row>
    <row r="16" spans="1:30">
      <c r="A16" s="99">
        <v>8</v>
      </c>
      <c r="B16" s="103" t="str">
        <f>DATOS!B19</f>
        <v>CASA TUSO KATTY LISETH</v>
      </c>
      <c r="C16" s="156">
        <f>'J.CURSO 1ER TRIMESTRE'!Q23</f>
        <v>9.2324999999999999</v>
      </c>
      <c r="D16" s="184">
        <f t="shared" si="5"/>
        <v>9</v>
      </c>
      <c r="E16" s="185" t="str">
        <f>'J.CURSO 1ER TRIMESTRE'!S23</f>
        <v>A-</v>
      </c>
      <c r="F16" s="90">
        <f t="shared" si="6"/>
        <v>2.7697499999999997</v>
      </c>
      <c r="G16" s="159">
        <f>'J.CURSO 2DO TRIMESTRE '!Q23</f>
        <v>7.0010000000000012</v>
      </c>
      <c r="H16" s="184">
        <f t="shared" si="7"/>
        <v>7</v>
      </c>
      <c r="I16" s="185" t="str">
        <f>'J.CURSO 2DO TRIMESTRE '!S23</f>
        <v>B-</v>
      </c>
      <c r="J16" s="91">
        <f t="shared" si="8"/>
        <v>2.1003000000000003</v>
      </c>
      <c r="K16" s="156">
        <f>'J.CURSO 3 ER TRIMESTRE'!Q23</f>
        <v>6.5000000000000009</v>
      </c>
      <c r="L16" s="184">
        <f t="shared" si="9"/>
        <v>7</v>
      </c>
      <c r="M16" s="188" t="str">
        <f>'J.CURSO 3 ER TRIMESTRE'!S23</f>
        <v>B-</v>
      </c>
      <c r="N16" s="87">
        <f t="shared" si="10"/>
        <v>1.9500000000000002</v>
      </c>
      <c r="O16" s="113">
        <f t="shared" si="11"/>
        <v>6.82</v>
      </c>
      <c r="P16" s="88">
        <f>('NOTAS 1ER TRIMESTRE'!P22+'NOTAS 2DO TRIMESTRE'!P22+'NOTAS 3 ER TRIMESTRE'!P22)/3</f>
        <v>7.4433333333333325</v>
      </c>
      <c r="Q16" s="89">
        <f t="shared" si="12"/>
        <v>0.37216666666666665</v>
      </c>
      <c r="R16" s="92">
        <v>9</v>
      </c>
      <c r="S16" s="92">
        <f t="shared" si="0"/>
        <v>0.45</v>
      </c>
      <c r="T16" s="153">
        <f t="shared" si="1"/>
        <v>8.2200000000000006</v>
      </c>
      <c r="U16" s="187">
        <f t="shared" si="13"/>
        <v>8</v>
      </c>
      <c r="V16" s="190">
        <f t="shared" si="2"/>
        <v>0.82200000000000006</v>
      </c>
      <c r="W16" s="191" t="str">
        <f t="shared" si="3"/>
        <v>B+</v>
      </c>
      <c r="X16" s="198">
        <f t="shared" si="4"/>
        <v>7.64</v>
      </c>
      <c r="Y16" s="195">
        <f t="shared" si="14"/>
        <v>8</v>
      </c>
      <c r="Z16" s="196" t="str">
        <f t="shared" si="15"/>
        <v>B+</v>
      </c>
      <c r="AA16" s="104" t="str">
        <f t="shared" si="16"/>
        <v>APROBADO</v>
      </c>
      <c r="AB16" s="427"/>
      <c r="AC16" s="428" t="str">
        <f t="shared" si="17"/>
        <v/>
      </c>
      <c r="AD16" s="114" t="str">
        <f t="shared" si="18"/>
        <v>APROBADO</v>
      </c>
    </row>
    <row r="17" spans="1:30">
      <c r="A17" s="99">
        <v>9</v>
      </c>
      <c r="B17" s="103" t="str">
        <f>DATOS!B20</f>
        <v>CENTENO GUISÑAN ALISON PAMELA</v>
      </c>
      <c r="C17" s="156">
        <f>'J.CURSO 1ER TRIMESTRE'!Q24</f>
        <v>8.1914999999999996</v>
      </c>
      <c r="D17" s="184">
        <f t="shared" si="5"/>
        <v>8</v>
      </c>
      <c r="E17" s="185" t="str">
        <f>'J.CURSO 1ER TRIMESTRE'!S24</f>
        <v>B+</v>
      </c>
      <c r="F17" s="90">
        <f t="shared" si="6"/>
        <v>2.4574499999999997</v>
      </c>
      <c r="G17" s="159">
        <f>'J.CURSO 2DO TRIMESTRE '!Q24</f>
        <v>8.0540000000000003</v>
      </c>
      <c r="H17" s="184">
        <f t="shared" si="7"/>
        <v>8</v>
      </c>
      <c r="I17" s="185" t="str">
        <f>'J.CURSO 2DO TRIMESTRE '!S24</f>
        <v>B+</v>
      </c>
      <c r="J17" s="91">
        <f t="shared" si="8"/>
        <v>2.4161999999999999</v>
      </c>
      <c r="K17" s="156">
        <f>'J.CURSO 3 ER TRIMESTRE'!Q24</f>
        <v>9.2500000000000018</v>
      </c>
      <c r="L17" s="184">
        <f t="shared" si="9"/>
        <v>9</v>
      </c>
      <c r="M17" s="188" t="str">
        <f>'J.CURSO 3 ER TRIMESTRE'!S24</f>
        <v>A-</v>
      </c>
      <c r="N17" s="87">
        <f t="shared" si="10"/>
        <v>2.7750000000000004</v>
      </c>
      <c r="O17" s="113">
        <f t="shared" si="11"/>
        <v>7.64</v>
      </c>
      <c r="P17" s="88">
        <f>('NOTAS 1ER TRIMESTRE'!P23+'NOTAS 2DO TRIMESTRE'!P23+'NOTAS 3 ER TRIMESTRE'!P23)/3</f>
        <v>8.1066666666666674</v>
      </c>
      <c r="Q17" s="89">
        <f t="shared" si="12"/>
        <v>0.40533333333333338</v>
      </c>
      <c r="R17" s="92">
        <v>8.5</v>
      </c>
      <c r="S17" s="92">
        <f t="shared" si="0"/>
        <v>0.42500000000000004</v>
      </c>
      <c r="T17" s="153">
        <f t="shared" si="1"/>
        <v>8.3000000000000007</v>
      </c>
      <c r="U17" s="187">
        <f t="shared" si="13"/>
        <v>8</v>
      </c>
      <c r="V17" s="190">
        <f t="shared" si="2"/>
        <v>0.83000000000000007</v>
      </c>
      <c r="W17" s="191" t="str">
        <f t="shared" si="3"/>
        <v>B+</v>
      </c>
      <c r="X17" s="198">
        <f t="shared" si="4"/>
        <v>8.4700000000000006</v>
      </c>
      <c r="Y17" s="195">
        <f t="shared" si="14"/>
        <v>8</v>
      </c>
      <c r="Z17" s="196" t="str">
        <f t="shared" si="15"/>
        <v>B+</v>
      </c>
      <c r="AA17" s="104" t="str">
        <f t="shared" si="16"/>
        <v>APROBADO</v>
      </c>
      <c r="AB17" s="427"/>
      <c r="AC17" s="428" t="str">
        <f t="shared" si="17"/>
        <v/>
      </c>
      <c r="AD17" s="114" t="str">
        <f t="shared" si="18"/>
        <v>APROBADO</v>
      </c>
    </row>
    <row r="18" spans="1:30">
      <c r="A18" s="99">
        <v>10</v>
      </c>
      <c r="B18" s="103" t="str">
        <f>DATOS!B21</f>
        <v>CHANCUSIG CHILIQUINGA NORMA NICOLE</v>
      </c>
      <c r="C18" s="156">
        <f>'J.CURSO 1ER TRIMESTRE'!Q25</f>
        <v>7.9</v>
      </c>
      <c r="D18" s="184">
        <f t="shared" si="5"/>
        <v>8</v>
      </c>
      <c r="E18" s="185" t="str">
        <f>'J.CURSO 1ER TRIMESTRE'!S25</f>
        <v>B+</v>
      </c>
      <c r="F18" s="90">
        <f t="shared" si="6"/>
        <v>2.37</v>
      </c>
      <c r="G18" s="159">
        <f>'J.CURSO 2DO TRIMESTRE '!Q25</f>
        <v>8.4280000000000008</v>
      </c>
      <c r="H18" s="184">
        <f t="shared" si="7"/>
        <v>8</v>
      </c>
      <c r="I18" s="185" t="str">
        <f>'J.CURSO 2DO TRIMESTRE '!S25</f>
        <v>B+</v>
      </c>
      <c r="J18" s="91">
        <f t="shared" si="8"/>
        <v>2.5284</v>
      </c>
      <c r="K18" s="156">
        <f>'J.CURSO 3 ER TRIMESTRE'!Q25</f>
        <v>8.5</v>
      </c>
      <c r="L18" s="184">
        <f t="shared" si="9"/>
        <v>9</v>
      </c>
      <c r="M18" s="188" t="str">
        <f>'J.CURSO 3 ER TRIMESTRE'!S25</f>
        <v>A-</v>
      </c>
      <c r="N18" s="87">
        <f t="shared" si="10"/>
        <v>2.5499999999999998</v>
      </c>
      <c r="O18" s="113">
        <f t="shared" si="11"/>
        <v>7.44</v>
      </c>
      <c r="P18" s="88">
        <f>('NOTAS 1ER TRIMESTRE'!P24+'NOTAS 2DO TRIMESTRE'!P24+'NOTAS 3 ER TRIMESTRE'!P24)/3</f>
        <v>7.6033333333333326</v>
      </c>
      <c r="Q18" s="89">
        <f t="shared" si="12"/>
        <v>0.38016666666666665</v>
      </c>
      <c r="R18" s="92">
        <v>5</v>
      </c>
      <c r="S18" s="92">
        <f t="shared" si="0"/>
        <v>0.25</v>
      </c>
      <c r="T18" s="153">
        <f t="shared" si="1"/>
        <v>6.3</v>
      </c>
      <c r="U18" s="187">
        <f t="shared" si="13"/>
        <v>6</v>
      </c>
      <c r="V18" s="190">
        <f t="shared" si="2"/>
        <v>0.63</v>
      </c>
      <c r="W18" s="191" t="str">
        <f t="shared" si="3"/>
        <v>C+</v>
      </c>
      <c r="X18" s="198">
        <f t="shared" si="4"/>
        <v>8.07</v>
      </c>
      <c r="Y18" s="195">
        <f t="shared" si="14"/>
        <v>8</v>
      </c>
      <c r="Z18" s="196" t="str">
        <f t="shared" si="15"/>
        <v>B+</v>
      </c>
      <c r="AA18" s="104" t="str">
        <f t="shared" si="16"/>
        <v>APROBADO</v>
      </c>
      <c r="AB18" s="427"/>
      <c r="AC18" s="428" t="str">
        <f t="shared" si="17"/>
        <v/>
      </c>
      <c r="AD18" s="114" t="str">
        <f t="shared" si="18"/>
        <v>APROBADO</v>
      </c>
    </row>
    <row r="19" spans="1:30">
      <c r="A19" s="99">
        <v>11</v>
      </c>
      <c r="B19" s="103" t="str">
        <f>DATOS!B22</f>
        <v>CHASI CHANCUSIG JORGE LUIS</v>
      </c>
      <c r="C19" s="156">
        <f>'J.CURSO 1ER TRIMESTRE'!Q26</f>
        <v>7.2805000000000009</v>
      </c>
      <c r="D19" s="184">
        <f t="shared" si="5"/>
        <v>7</v>
      </c>
      <c r="E19" s="185" t="str">
        <f>'J.CURSO 1ER TRIMESTRE'!S26</f>
        <v>B-</v>
      </c>
      <c r="F19" s="90">
        <f t="shared" si="6"/>
        <v>2.1841500000000003</v>
      </c>
      <c r="G19" s="159">
        <f>'J.CURSO 2DO TRIMESTRE '!Q26</f>
        <v>7.032</v>
      </c>
      <c r="H19" s="184">
        <f t="shared" si="7"/>
        <v>7</v>
      </c>
      <c r="I19" s="185" t="str">
        <f>'J.CURSO 2DO TRIMESTRE '!S26</f>
        <v>B-</v>
      </c>
      <c r="J19" s="91">
        <f t="shared" si="8"/>
        <v>2.1095999999999999</v>
      </c>
      <c r="K19" s="156">
        <f>'J.CURSO 3 ER TRIMESTRE'!Q26</f>
        <v>7.1205000000000007</v>
      </c>
      <c r="L19" s="184">
        <f t="shared" si="9"/>
        <v>7</v>
      </c>
      <c r="M19" s="188" t="str">
        <f>'J.CURSO 3 ER TRIMESTRE'!S26</f>
        <v>B-</v>
      </c>
      <c r="N19" s="87">
        <f t="shared" si="10"/>
        <v>2.1361500000000002</v>
      </c>
      <c r="O19" s="113">
        <f t="shared" si="11"/>
        <v>6.42</v>
      </c>
      <c r="P19" s="88">
        <f>('NOTAS 1ER TRIMESTRE'!P25+'NOTAS 2DO TRIMESTRE'!P25+'NOTAS 3 ER TRIMESTRE'!P25)/3</f>
        <v>7.3166666666666664</v>
      </c>
      <c r="Q19" s="89">
        <f t="shared" si="12"/>
        <v>0.36583333333333334</v>
      </c>
      <c r="R19" s="92">
        <v>9.5</v>
      </c>
      <c r="S19" s="92">
        <f t="shared" si="0"/>
        <v>0.47500000000000003</v>
      </c>
      <c r="T19" s="153">
        <f t="shared" si="1"/>
        <v>8.4</v>
      </c>
      <c r="U19" s="187">
        <f t="shared" si="13"/>
        <v>8</v>
      </c>
      <c r="V19" s="190">
        <f t="shared" si="2"/>
        <v>0.84000000000000008</v>
      </c>
      <c r="W19" s="191" t="str">
        <f t="shared" si="3"/>
        <v>B+</v>
      </c>
      <c r="X19" s="198">
        <f t="shared" si="4"/>
        <v>7.26</v>
      </c>
      <c r="Y19" s="195">
        <f t="shared" si="14"/>
        <v>7</v>
      </c>
      <c r="Z19" s="196" t="str">
        <f t="shared" si="15"/>
        <v>B-</v>
      </c>
      <c r="AA19" s="104" t="str">
        <f t="shared" si="16"/>
        <v>APROBADO</v>
      </c>
      <c r="AB19" s="427"/>
      <c r="AC19" s="428" t="str">
        <f t="shared" si="17"/>
        <v/>
      </c>
      <c r="AD19" s="114" t="str">
        <f t="shared" si="18"/>
        <v>APROBADO</v>
      </c>
    </row>
    <row r="20" spans="1:30">
      <c r="A20" s="99">
        <v>12</v>
      </c>
      <c r="B20" s="103" t="str">
        <f>DATOS!B23</f>
        <v>CHUQUI PASSO BRITHANY SOLANGE</v>
      </c>
      <c r="C20" s="156">
        <f>'J.CURSO 1ER TRIMESTRE'!Q27</f>
        <v>8.6594999999999995</v>
      </c>
      <c r="D20" s="184">
        <f t="shared" si="5"/>
        <v>9</v>
      </c>
      <c r="E20" s="185" t="str">
        <f>'J.CURSO 1ER TRIMESTRE'!S27</f>
        <v>A-</v>
      </c>
      <c r="F20" s="90">
        <f t="shared" si="6"/>
        <v>2.5978499999999998</v>
      </c>
      <c r="G20" s="159">
        <f>'J.CURSO 2DO TRIMESTRE '!Q27</f>
        <v>9.1539999999999999</v>
      </c>
      <c r="H20" s="184">
        <f t="shared" si="7"/>
        <v>9</v>
      </c>
      <c r="I20" s="185" t="str">
        <f>'J.CURSO 2DO TRIMESTRE '!S27</f>
        <v>A-</v>
      </c>
      <c r="J20" s="91">
        <f t="shared" si="8"/>
        <v>2.7462</v>
      </c>
      <c r="K20" s="156">
        <f>'J.CURSO 3 ER TRIMESTRE'!Q27</f>
        <v>9.5</v>
      </c>
      <c r="L20" s="184">
        <f t="shared" si="9"/>
        <v>10</v>
      </c>
      <c r="M20" s="188" t="str">
        <f>'J.CURSO 3 ER TRIMESTRE'!S27</f>
        <v>A+</v>
      </c>
      <c r="N20" s="87">
        <f t="shared" si="10"/>
        <v>2.85</v>
      </c>
      <c r="O20" s="113">
        <f t="shared" si="11"/>
        <v>8.19</v>
      </c>
      <c r="P20" s="88">
        <f>('NOTAS 1ER TRIMESTRE'!P26+'NOTAS 2DO TRIMESTRE'!P26+'NOTAS 3 ER TRIMESTRE'!P26)/3</f>
        <v>9.01</v>
      </c>
      <c r="Q20" s="89">
        <f t="shared" si="12"/>
        <v>0.45050000000000001</v>
      </c>
      <c r="R20" s="92">
        <v>10</v>
      </c>
      <c r="S20" s="92">
        <f t="shared" si="0"/>
        <v>0.5</v>
      </c>
      <c r="T20" s="153">
        <f t="shared" si="1"/>
        <v>9.5</v>
      </c>
      <c r="U20" s="187">
        <f t="shared" si="13"/>
        <v>10</v>
      </c>
      <c r="V20" s="190">
        <f t="shared" si="2"/>
        <v>0.95000000000000007</v>
      </c>
      <c r="W20" s="191" t="str">
        <f t="shared" si="3"/>
        <v>A+</v>
      </c>
      <c r="X20" s="198">
        <f t="shared" si="4"/>
        <v>9.14</v>
      </c>
      <c r="Y20" s="195">
        <f t="shared" si="14"/>
        <v>9</v>
      </c>
      <c r="Z20" s="196" t="str">
        <f t="shared" si="15"/>
        <v>A-</v>
      </c>
      <c r="AA20" s="104" t="str">
        <f t="shared" si="16"/>
        <v>APROBADO</v>
      </c>
      <c r="AB20" s="427"/>
      <c r="AC20" s="428" t="str">
        <f t="shared" si="17"/>
        <v/>
      </c>
      <c r="AD20" s="114" t="str">
        <f t="shared" si="18"/>
        <v>APROBADO</v>
      </c>
    </row>
    <row r="21" spans="1:30">
      <c r="A21" s="99">
        <v>13</v>
      </c>
      <c r="B21" s="103" t="str">
        <f>DATOS!B24</f>
        <v>CUCHIPARTE CASA KARLA CAROLINA</v>
      </c>
      <c r="C21" s="156">
        <f>'J.CURSO 1ER TRIMESTRE'!Q28</f>
        <v>9.2880000000000003</v>
      </c>
      <c r="D21" s="184">
        <f t="shared" si="5"/>
        <v>9</v>
      </c>
      <c r="E21" s="185" t="str">
        <f>'J.CURSO 1ER TRIMESTRE'!S28</f>
        <v>A-</v>
      </c>
      <c r="F21" s="90">
        <f t="shared" si="6"/>
        <v>2.7864</v>
      </c>
      <c r="G21" s="159">
        <f>'J.CURSO 2DO TRIMESTRE '!Q28</f>
        <v>8.9945000000000004</v>
      </c>
      <c r="H21" s="184">
        <f t="shared" si="7"/>
        <v>9</v>
      </c>
      <c r="I21" s="185" t="str">
        <f>'J.CURSO 2DO TRIMESTRE '!S28</f>
        <v>A-</v>
      </c>
      <c r="J21" s="91">
        <f t="shared" si="8"/>
        <v>2.69835</v>
      </c>
      <c r="K21" s="156">
        <f>'J.CURSO 3 ER TRIMESTRE'!Q28</f>
        <v>8.75</v>
      </c>
      <c r="L21" s="184">
        <f t="shared" si="9"/>
        <v>9</v>
      </c>
      <c r="M21" s="188" t="str">
        <f>'J.CURSO 3 ER TRIMESTRE'!S28</f>
        <v>A-</v>
      </c>
      <c r="N21" s="87">
        <f t="shared" si="10"/>
        <v>2.625</v>
      </c>
      <c r="O21" s="113">
        <f t="shared" si="11"/>
        <v>8.1</v>
      </c>
      <c r="P21" s="88">
        <f>('NOTAS 1ER TRIMESTRE'!P27+'NOTAS 2DO TRIMESTRE'!P27+'NOTAS 3 ER TRIMESTRE'!P27)/3</f>
        <v>9.1266666666666669</v>
      </c>
      <c r="Q21" s="89">
        <f t="shared" si="12"/>
        <v>0.45633333333333337</v>
      </c>
      <c r="R21" s="92">
        <v>10</v>
      </c>
      <c r="S21" s="92">
        <f t="shared" si="0"/>
        <v>0.5</v>
      </c>
      <c r="T21" s="153">
        <f t="shared" si="1"/>
        <v>9.56</v>
      </c>
      <c r="U21" s="187">
        <f t="shared" si="13"/>
        <v>10</v>
      </c>
      <c r="V21" s="190">
        <f t="shared" si="2"/>
        <v>0.95600000000000007</v>
      </c>
      <c r="W21" s="191" t="str">
        <f t="shared" si="3"/>
        <v>A+</v>
      </c>
      <c r="X21" s="198">
        <f t="shared" si="4"/>
        <v>9.0500000000000007</v>
      </c>
      <c r="Y21" s="195">
        <f t="shared" si="14"/>
        <v>9</v>
      </c>
      <c r="Z21" s="196" t="str">
        <f t="shared" si="15"/>
        <v>A-</v>
      </c>
      <c r="AA21" s="104" t="str">
        <f t="shared" si="16"/>
        <v>APROBADO</v>
      </c>
      <c r="AB21" s="427"/>
      <c r="AC21" s="428" t="str">
        <f t="shared" si="17"/>
        <v/>
      </c>
      <c r="AD21" s="114" t="str">
        <f t="shared" si="18"/>
        <v>APROBADO</v>
      </c>
    </row>
    <row r="22" spans="1:30">
      <c r="A22" s="99">
        <v>14</v>
      </c>
      <c r="B22" s="103" t="str">
        <f>DATOS!B25</f>
        <v>GUAÑA CHINGO EDGAR ISMAEL</v>
      </c>
      <c r="C22" s="156">
        <f>'J.CURSO 1ER TRIMESTRE'!Q29</f>
        <v>8.0229999999999997</v>
      </c>
      <c r="D22" s="184">
        <f t="shared" si="5"/>
        <v>8</v>
      </c>
      <c r="E22" s="185" t="str">
        <f>'J.CURSO 1ER TRIMESTRE'!S29</f>
        <v>B+</v>
      </c>
      <c r="F22" s="90">
        <f t="shared" si="6"/>
        <v>2.4068999999999998</v>
      </c>
      <c r="G22" s="159">
        <f>'J.CURSO 2DO TRIMESTRE '!Q29</f>
        <v>7.6254999999999997</v>
      </c>
      <c r="H22" s="184">
        <f t="shared" si="7"/>
        <v>8</v>
      </c>
      <c r="I22" s="185" t="str">
        <f>'J.CURSO 2DO TRIMESTRE '!S29</f>
        <v>B+</v>
      </c>
      <c r="J22" s="91">
        <f t="shared" si="8"/>
        <v>2.2876499999999997</v>
      </c>
      <c r="K22" s="156">
        <f>'J.CURSO 3 ER TRIMESTRE'!Q29</f>
        <v>7</v>
      </c>
      <c r="L22" s="184">
        <f t="shared" si="9"/>
        <v>7</v>
      </c>
      <c r="M22" s="188" t="str">
        <f>'J.CURSO 3 ER TRIMESTRE'!S29</f>
        <v>B-</v>
      </c>
      <c r="N22" s="87">
        <f t="shared" si="10"/>
        <v>2.1</v>
      </c>
      <c r="O22" s="113">
        <f t="shared" si="11"/>
        <v>6.79</v>
      </c>
      <c r="P22" s="88">
        <f>('NOTAS 1ER TRIMESTRE'!P28+'NOTAS 2DO TRIMESTRE'!P28+'NOTAS 3 ER TRIMESTRE'!P28)/3</f>
        <v>7.13</v>
      </c>
      <c r="Q22" s="89">
        <f t="shared" si="12"/>
        <v>0.35650000000000004</v>
      </c>
      <c r="R22" s="92">
        <v>6</v>
      </c>
      <c r="S22" s="92">
        <f t="shared" si="0"/>
        <v>0.30000000000000004</v>
      </c>
      <c r="T22" s="153">
        <f t="shared" si="1"/>
        <v>6.56</v>
      </c>
      <c r="U22" s="187">
        <f t="shared" si="13"/>
        <v>7</v>
      </c>
      <c r="V22" s="190">
        <f t="shared" si="2"/>
        <v>0.65600000000000003</v>
      </c>
      <c r="W22" s="191" t="str">
        <f t="shared" si="3"/>
        <v>B-</v>
      </c>
      <c r="X22" s="198">
        <f t="shared" si="4"/>
        <v>7.44</v>
      </c>
      <c r="Y22" s="195">
        <f t="shared" si="14"/>
        <v>7</v>
      </c>
      <c r="Z22" s="196" t="str">
        <f t="shared" si="15"/>
        <v>B-</v>
      </c>
      <c r="AA22" s="104" t="str">
        <f t="shared" si="16"/>
        <v>APROBADO</v>
      </c>
      <c r="AB22" s="427"/>
      <c r="AC22" s="428" t="str">
        <f t="shared" si="17"/>
        <v/>
      </c>
      <c r="AD22" s="114" t="str">
        <f t="shared" si="18"/>
        <v>APROBADO</v>
      </c>
    </row>
    <row r="23" spans="1:30">
      <c r="A23" s="99">
        <v>15</v>
      </c>
      <c r="B23" s="103" t="str">
        <f>DATOS!B26</f>
        <v>IZA CASA ANGEL DAVID</v>
      </c>
      <c r="C23" s="156">
        <f>'J.CURSO 1ER TRIMESTRE'!Q30</f>
        <v>8.144499999999999</v>
      </c>
      <c r="D23" s="184">
        <f t="shared" si="5"/>
        <v>8</v>
      </c>
      <c r="E23" s="185" t="str">
        <f>'J.CURSO 1ER TRIMESTRE'!S30</f>
        <v>B+</v>
      </c>
      <c r="F23" s="90">
        <f t="shared" si="6"/>
        <v>2.4433499999999997</v>
      </c>
      <c r="G23" s="159">
        <f>'J.CURSO 2DO TRIMESTRE '!Q30</f>
        <v>7.0134999999999996</v>
      </c>
      <c r="H23" s="184">
        <f t="shared" si="7"/>
        <v>7</v>
      </c>
      <c r="I23" s="185" t="str">
        <f>'J.CURSO 2DO TRIMESTRE '!S30</f>
        <v>B-</v>
      </c>
      <c r="J23" s="91">
        <f t="shared" si="8"/>
        <v>2.10405</v>
      </c>
      <c r="K23" s="156">
        <f>'J.CURSO 3 ER TRIMESTRE'!Q30</f>
        <v>7</v>
      </c>
      <c r="L23" s="184">
        <f t="shared" si="9"/>
        <v>7</v>
      </c>
      <c r="M23" s="188" t="str">
        <f>'J.CURSO 3 ER TRIMESTRE'!S30</f>
        <v>B-</v>
      </c>
      <c r="N23" s="87">
        <f t="shared" si="10"/>
        <v>2.1</v>
      </c>
      <c r="O23" s="113">
        <f t="shared" si="11"/>
        <v>6.64</v>
      </c>
      <c r="P23" s="88">
        <f>('NOTAS 1ER TRIMESTRE'!P29+'NOTAS 2DO TRIMESTRE'!P29+'NOTAS 3 ER TRIMESTRE'!P29)/3</f>
        <v>7.93</v>
      </c>
      <c r="Q23" s="89">
        <f t="shared" si="12"/>
        <v>0.39650000000000002</v>
      </c>
      <c r="R23" s="92">
        <v>8</v>
      </c>
      <c r="S23" s="92">
        <f t="shared" si="0"/>
        <v>0.4</v>
      </c>
      <c r="T23" s="153">
        <f t="shared" si="1"/>
        <v>7.96</v>
      </c>
      <c r="U23" s="187">
        <f t="shared" si="13"/>
        <v>8</v>
      </c>
      <c r="V23" s="190">
        <f t="shared" si="2"/>
        <v>0.79600000000000004</v>
      </c>
      <c r="W23" s="191" t="str">
        <f t="shared" si="3"/>
        <v>B+</v>
      </c>
      <c r="X23" s="198">
        <f t="shared" si="4"/>
        <v>7.43</v>
      </c>
      <c r="Y23" s="195">
        <f t="shared" si="14"/>
        <v>7</v>
      </c>
      <c r="Z23" s="196" t="str">
        <f t="shared" si="15"/>
        <v>B-</v>
      </c>
      <c r="AA23" s="104" t="str">
        <f t="shared" si="16"/>
        <v>APROBADO</v>
      </c>
      <c r="AB23" s="427"/>
      <c r="AC23" s="428" t="str">
        <f t="shared" si="17"/>
        <v/>
      </c>
      <c r="AD23" s="114" t="str">
        <f t="shared" si="18"/>
        <v>APROBADO</v>
      </c>
    </row>
    <row r="24" spans="1:30">
      <c r="A24" s="99">
        <v>16</v>
      </c>
      <c r="B24" s="103" t="str">
        <f>DATOS!B27</f>
        <v>IZA PEREZ ERICK ISMAEL</v>
      </c>
      <c r="C24" s="156">
        <f>'J.CURSO 1ER TRIMESTRE'!Q31</f>
        <v>7.5540000000000003</v>
      </c>
      <c r="D24" s="184">
        <f t="shared" si="5"/>
        <v>8</v>
      </c>
      <c r="E24" s="185" t="str">
        <f>'J.CURSO 1ER TRIMESTRE'!S31</f>
        <v>B+</v>
      </c>
      <c r="F24" s="90">
        <f t="shared" si="6"/>
        <v>2.2662</v>
      </c>
      <c r="G24" s="159">
        <f>'J.CURSO 2DO TRIMESTRE '!Q31</f>
        <v>7.0389999999999997</v>
      </c>
      <c r="H24" s="184">
        <f t="shared" si="7"/>
        <v>7</v>
      </c>
      <c r="I24" s="185" t="str">
        <f>'J.CURSO 2DO TRIMESTRE '!S31</f>
        <v>B-</v>
      </c>
      <c r="J24" s="91">
        <f t="shared" si="8"/>
        <v>2.1116999999999999</v>
      </c>
      <c r="K24" s="156">
        <f>'J.CURSO 3 ER TRIMESTRE'!Q31</f>
        <v>7.25</v>
      </c>
      <c r="L24" s="184">
        <f t="shared" si="9"/>
        <v>7</v>
      </c>
      <c r="M24" s="188" t="str">
        <f>'J.CURSO 3 ER TRIMESTRE'!S31</f>
        <v>B-</v>
      </c>
      <c r="N24" s="87">
        <f t="shared" si="10"/>
        <v>2.1749999999999998</v>
      </c>
      <c r="O24" s="113">
        <f t="shared" si="11"/>
        <v>6.55</v>
      </c>
      <c r="P24" s="88">
        <f>('NOTAS 1ER TRIMESTRE'!P30+'NOTAS 2DO TRIMESTRE'!P30+'NOTAS 3 ER TRIMESTRE'!P30)/3</f>
        <v>6.9966666666666661</v>
      </c>
      <c r="Q24" s="89">
        <f t="shared" si="12"/>
        <v>0.34983333333333333</v>
      </c>
      <c r="R24" s="92">
        <v>8</v>
      </c>
      <c r="S24" s="92">
        <f t="shared" si="0"/>
        <v>0.4</v>
      </c>
      <c r="T24" s="153">
        <f t="shared" si="1"/>
        <v>7.49</v>
      </c>
      <c r="U24" s="187">
        <f t="shared" si="13"/>
        <v>7</v>
      </c>
      <c r="V24" s="190">
        <f t="shared" si="2"/>
        <v>0.74900000000000011</v>
      </c>
      <c r="W24" s="191" t="str">
        <f t="shared" si="3"/>
        <v>B-</v>
      </c>
      <c r="X24" s="198">
        <f t="shared" si="4"/>
        <v>7.29</v>
      </c>
      <c r="Y24" s="195">
        <f t="shared" si="14"/>
        <v>7</v>
      </c>
      <c r="Z24" s="196" t="str">
        <f t="shared" si="15"/>
        <v>B-</v>
      </c>
      <c r="AA24" s="104" t="str">
        <f t="shared" si="16"/>
        <v>APROBADO</v>
      </c>
      <c r="AB24" s="427"/>
      <c r="AC24" s="428" t="str">
        <f t="shared" si="17"/>
        <v/>
      </c>
      <c r="AD24" s="114" t="str">
        <f t="shared" si="18"/>
        <v>APROBADO</v>
      </c>
    </row>
    <row r="25" spans="1:30">
      <c r="A25" s="99">
        <v>17</v>
      </c>
      <c r="B25" s="103" t="str">
        <f>DATOS!B28</f>
        <v>IZA QUINATOA JOSTIN JOSE</v>
      </c>
      <c r="C25" s="156">
        <f>'J.CURSO 1ER TRIMESTRE'!Q32</f>
        <v>9.0125000000000011</v>
      </c>
      <c r="D25" s="184">
        <f t="shared" si="5"/>
        <v>9</v>
      </c>
      <c r="E25" s="185" t="str">
        <f>'J.CURSO 1ER TRIMESTRE'!S32</f>
        <v>A-</v>
      </c>
      <c r="F25" s="90">
        <f t="shared" si="6"/>
        <v>2.7037500000000003</v>
      </c>
      <c r="G25" s="159">
        <f>'J.CURSO 2DO TRIMESTRE '!Q32</f>
        <v>9.3625000000000007</v>
      </c>
      <c r="H25" s="184">
        <f t="shared" si="7"/>
        <v>9</v>
      </c>
      <c r="I25" s="185" t="str">
        <f>'J.CURSO 2DO TRIMESTRE '!S32</f>
        <v>A-</v>
      </c>
      <c r="J25" s="91">
        <f t="shared" si="8"/>
        <v>2.8087500000000003</v>
      </c>
      <c r="K25" s="156">
        <f>'J.CURSO 3 ER TRIMESTRE'!Q32</f>
        <v>9.5</v>
      </c>
      <c r="L25" s="184">
        <f t="shared" si="9"/>
        <v>10</v>
      </c>
      <c r="M25" s="188" t="str">
        <f>'J.CURSO 3 ER TRIMESTRE'!S32</f>
        <v>A+</v>
      </c>
      <c r="N25" s="87">
        <f t="shared" si="10"/>
        <v>2.85</v>
      </c>
      <c r="O25" s="113">
        <f t="shared" si="11"/>
        <v>8.36</v>
      </c>
      <c r="P25" s="88">
        <f>('NOTAS 1ER TRIMESTRE'!P31+'NOTAS 2DO TRIMESTRE'!P31+'NOTAS 3 ER TRIMESTRE'!P31)/3</f>
        <v>8.6666666666666661</v>
      </c>
      <c r="Q25" s="89">
        <f t="shared" si="12"/>
        <v>0.43333333333333335</v>
      </c>
      <c r="R25" s="92">
        <v>7</v>
      </c>
      <c r="S25" s="92">
        <f t="shared" si="0"/>
        <v>0.35000000000000003</v>
      </c>
      <c r="T25" s="153">
        <f t="shared" si="1"/>
        <v>7.83</v>
      </c>
      <c r="U25" s="187">
        <f t="shared" si="13"/>
        <v>8</v>
      </c>
      <c r="V25" s="190">
        <f t="shared" si="2"/>
        <v>0.78300000000000003</v>
      </c>
      <c r="W25" s="191" t="str">
        <f t="shared" si="3"/>
        <v>B+</v>
      </c>
      <c r="X25" s="198">
        <f t="shared" si="4"/>
        <v>9.14</v>
      </c>
      <c r="Y25" s="195">
        <f t="shared" si="14"/>
        <v>9</v>
      </c>
      <c r="Z25" s="196" t="str">
        <f t="shared" si="15"/>
        <v>A-</v>
      </c>
      <c r="AA25" s="104" t="str">
        <f t="shared" si="16"/>
        <v>APROBADO</v>
      </c>
      <c r="AB25" s="427"/>
      <c r="AC25" s="428" t="str">
        <f t="shared" si="17"/>
        <v/>
      </c>
      <c r="AD25" s="114" t="str">
        <f t="shared" si="18"/>
        <v>APROBADO</v>
      </c>
    </row>
    <row r="26" spans="1:30">
      <c r="A26" s="99">
        <v>18</v>
      </c>
      <c r="B26" s="103" t="str">
        <f>DATOS!B29</f>
        <v xml:space="preserve">JAMI JAMI ANTHONI JOEL                            </v>
      </c>
      <c r="C26" s="156">
        <f>'J.CURSO 1ER TRIMESTRE'!Q33</f>
        <v>8.1095000000000006</v>
      </c>
      <c r="D26" s="184">
        <f t="shared" si="5"/>
        <v>8</v>
      </c>
      <c r="E26" s="185" t="str">
        <f>'J.CURSO 1ER TRIMESTRE'!S33</f>
        <v>B+</v>
      </c>
      <c r="F26" s="90">
        <f t="shared" si="6"/>
        <v>2.4328500000000002</v>
      </c>
      <c r="G26" s="159">
        <f>'J.CURSO 2DO TRIMESTRE '!Q33</f>
        <v>8.4430000000000014</v>
      </c>
      <c r="H26" s="184">
        <f t="shared" si="7"/>
        <v>8</v>
      </c>
      <c r="I26" s="185" t="str">
        <f>'J.CURSO 2DO TRIMESTRE '!S33</f>
        <v>B+</v>
      </c>
      <c r="J26" s="91">
        <f t="shared" si="8"/>
        <v>2.5329000000000002</v>
      </c>
      <c r="K26" s="156">
        <f>'J.CURSO 3 ER TRIMESTRE'!Q33</f>
        <v>8</v>
      </c>
      <c r="L26" s="184">
        <f t="shared" si="9"/>
        <v>8</v>
      </c>
      <c r="M26" s="188" t="str">
        <f>'J.CURSO 3 ER TRIMESTRE'!S33</f>
        <v>B+</v>
      </c>
      <c r="N26" s="87">
        <f t="shared" si="10"/>
        <v>2.4</v>
      </c>
      <c r="O26" s="113">
        <f t="shared" si="11"/>
        <v>7.36</v>
      </c>
      <c r="P26" s="88">
        <f>('NOTAS 1ER TRIMESTRE'!P32+'NOTAS 2DO TRIMESTRE'!P32+'NOTAS 3 ER TRIMESTRE'!P32)/3</f>
        <v>7.8533333333333326</v>
      </c>
      <c r="Q26" s="89">
        <f t="shared" si="12"/>
        <v>0.39266666666666666</v>
      </c>
      <c r="R26" s="92">
        <v>5</v>
      </c>
      <c r="S26" s="92">
        <f t="shared" si="0"/>
        <v>0.25</v>
      </c>
      <c r="T26" s="153">
        <f t="shared" si="1"/>
        <v>6.42</v>
      </c>
      <c r="U26" s="187">
        <f t="shared" si="13"/>
        <v>6</v>
      </c>
      <c r="V26" s="190">
        <f t="shared" si="2"/>
        <v>0.64200000000000002</v>
      </c>
      <c r="W26" s="191" t="str">
        <f t="shared" si="3"/>
        <v>C+</v>
      </c>
      <c r="X26" s="198">
        <f t="shared" si="4"/>
        <v>8</v>
      </c>
      <c r="Y26" s="195">
        <f t="shared" si="14"/>
        <v>8</v>
      </c>
      <c r="Z26" s="196" t="str">
        <f t="shared" si="15"/>
        <v>B+</v>
      </c>
      <c r="AA26" s="104" t="str">
        <f t="shared" si="16"/>
        <v>APROBADO</v>
      </c>
      <c r="AB26" s="427"/>
      <c r="AC26" s="428" t="str">
        <f t="shared" si="17"/>
        <v/>
      </c>
      <c r="AD26" s="114" t="str">
        <f t="shared" si="18"/>
        <v>APROBADO</v>
      </c>
    </row>
    <row r="27" spans="1:30">
      <c r="A27" s="99">
        <v>19</v>
      </c>
      <c r="B27" s="103" t="str">
        <f>DATOS!B30</f>
        <v>LOOR LOPEZ ALEXANDER JEAMPIERRE</v>
      </c>
      <c r="C27" s="156">
        <f>'J.CURSO 1ER TRIMESTRE'!Q34</f>
        <v>8.6430000000000007</v>
      </c>
      <c r="D27" s="184">
        <f t="shared" si="5"/>
        <v>9</v>
      </c>
      <c r="E27" s="185" t="str">
        <f>'J.CURSO 1ER TRIMESTRE'!S34</f>
        <v>A-</v>
      </c>
      <c r="F27" s="90">
        <f t="shared" si="6"/>
        <v>2.5929000000000002</v>
      </c>
      <c r="G27" s="159">
        <f>'J.CURSO 2DO TRIMESTRE '!Q34</f>
        <v>9.4360000000000017</v>
      </c>
      <c r="H27" s="184">
        <f t="shared" si="7"/>
        <v>9</v>
      </c>
      <c r="I27" s="185" t="str">
        <f>'J.CURSO 2DO TRIMESTRE '!S34</f>
        <v>A-</v>
      </c>
      <c r="J27" s="91">
        <f t="shared" si="8"/>
        <v>2.8308000000000004</v>
      </c>
      <c r="K27" s="156">
        <f>'J.CURSO 3 ER TRIMESTRE'!Q34</f>
        <v>9.5</v>
      </c>
      <c r="L27" s="184">
        <f t="shared" si="9"/>
        <v>10</v>
      </c>
      <c r="M27" s="188" t="str">
        <f>'J.CURSO 3 ER TRIMESTRE'!S34</f>
        <v>A+</v>
      </c>
      <c r="N27" s="87">
        <f t="shared" si="10"/>
        <v>2.85</v>
      </c>
      <c r="O27" s="113">
        <f t="shared" si="11"/>
        <v>8.27</v>
      </c>
      <c r="P27" s="88">
        <f>('NOTAS 1ER TRIMESTRE'!P33+'NOTAS 2DO TRIMESTRE'!P33+'NOTAS 3 ER TRIMESTRE'!P33)/3</f>
        <v>9.0966666666666658</v>
      </c>
      <c r="Q27" s="89">
        <f t="shared" si="12"/>
        <v>0.45483333333333331</v>
      </c>
      <c r="R27" s="92">
        <v>9.5</v>
      </c>
      <c r="S27" s="92">
        <f t="shared" si="0"/>
        <v>0.47500000000000003</v>
      </c>
      <c r="T27" s="153">
        <f t="shared" si="1"/>
        <v>9.2899999999999991</v>
      </c>
      <c r="U27" s="187">
        <f t="shared" si="13"/>
        <v>9</v>
      </c>
      <c r="V27" s="190">
        <f t="shared" si="2"/>
        <v>0.92899999999999994</v>
      </c>
      <c r="W27" s="191" t="str">
        <f t="shared" si="3"/>
        <v>A-</v>
      </c>
      <c r="X27" s="198">
        <f t="shared" si="4"/>
        <v>9.19</v>
      </c>
      <c r="Y27" s="195">
        <f t="shared" si="14"/>
        <v>9</v>
      </c>
      <c r="Z27" s="196" t="str">
        <f t="shared" si="15"/>
        <v>A-</v>
      </c>
      <c r="AA27" s="104" t="str">
        <f t="shared" si="16"/>
        <v>APROBADO</v>
      </c>
      <c r="AB27" s="427"/>
      <c r="AC27" s="428" t="str">
        <f t="shared" si="17"/>
        <v/>
      </c>
      <c r="AD27" s="114" t="str">
        <f t="shared" si="18"/>
        <v>APROBADO</v>
      </c>
    </row>
    <row r="28" spans="1:30">
      <c r="A28" s="99">
        <v>20</v>
      </c>
      <c r="B28" s="103" t="str">
        <f>DATOS!B31</f>
        <v>LOPEZ CARRASCO LIA ALEJANDRA</v>
      </c>
      <c r="C28" s="156">
        <f>'J.CURSO 1ER TRIMESTRE'!Q35</f>
        <v>9.3644999999999996</v>
      </c>
      <c r="D28" s="184">
        <f t="shared" si="5"/>
        <v>9</v>
      </c>
      <c r="E28" s="185" t="str">
        <f>'J.CURSO 1ER TRIMESTRE'!S35</f>
        <v>A-</v>
      </c>
      <c r="F28" s="90">
        <f t="shared" si="6"/>
        <v>2.8093499999999998</v>
      </c>
      <c r="G28" s="159">
        <f>'J.CURSO 2DO TRIMESTRE '!Q35</f>
        <v>8.4980000000000011</v>
      </c>
      <c r="H28" s="184">
        <f t="shared" si="7"/>
        <v>8</v>
      </c>
      <c r="I28" s="185" t="str">
        <f>'J.CURSO 2DO TRIMESTRE '!S35</f>
        <v>B+</v>
      </c>
      <c r="J28" s="91">
        <f t="shared" si="8"/>
        <v>2.5494000000000003</v>
      </c>
      <c r="K28" s="156">
        <f>'J.CURSO 3 ER TRIMESTRE'!Q35</f>
        <v>9.5</v>
      </c>
      <c r="L28" s="184">
        <f t="shared" si="9"/>
        <v>10</v>
      </c>
      <c r="M28" s="188" t="str">
        <f>'J.CURSO 3 ER TRIMESTRE'!S35</f>
        <v>A+</v>
      </c>
      <c r="N28" s="87">
        <f t="shared" si="10"/>
        <v>2.85</v>
      </c>
      <c r="O28" s="113">
        <f t="shared" si="11"/>
        <v>8.1999999999999993</v>
      </c>
      <c r="P28" s="88">
        <f>('NOTAS 1ER TRIMESTRE'!P34+'NOTAS 2DO TRIMESTRE'!P34+'NOTAS 3 ER TRIMESTRE'!P34)/3</f>
        <v>8.3866666666666667</v>
      </c>
      <c r="Q28" s="89">
        <f t="shared" si="12"/>
        <v>0.41933333333333334</v>
      </c>
      <c r="R28" s="92">
        <v>8</v>
      </c>
      <c r="S28" s="92">
        <f t="shared" si="0"/>
        <v>0.4</v>
      </c>
      <c r="T28" s="153">
        <f t="shared" si="1"/>
        <v>8.19</v>
      </c>
      <c r="U28" s="187">
        <f t="shared" si="13"/>
        <v>8</v>
      </c>
      <c r="V28" s="190">
        <f t="shared" si="2"/>
        <v>0.81899999999999995</v>
      </c>
      <c r="W28" s="191" t="str">
        <f t="shared" si="3"/>
        <v>B+</v>
      </c>
      <c r="X28" s="198">
        <f t="shared" si="4"/>
        <v>9.01</v>
      </c>
      <c r="Y28" s="195">
        <f t="shared" si="14"/>
        <v>9</v>
      </c>
      <c r="Z28" s="196" t="str">
        <f t="shared" si="15"/>
        <v>A-</v>
      </c>
      <c r="AA28" s="104" t="str">
        <f t="shared" si="16"/>
        <v>APROBADO</v>
      </c>
      <c r="AB28" s="427"/>
      <c r="AC28" s="428" t="str">
        <f t="shared" si="17"/>
        <v/>
      </c>
      <c r="AD28" s="114" t="str">
        <f t="shared" si="18"/>
        <v>APROBADO</v>
      </c>
    </row>
    <row r="29" spans="1:30">
      <c r="A29" s="99">
        <v>21</v>
      </c>
      <c r="B29" s="103" t="str">
        <f>DATOS!B32</f>
        <v>MASAPANTA CASA JUAN MIGUEL</v>
      </c>
      <c r="C29" s="156">
        <f>'J.CURSO 1ER TRIMESTRE'!Q36</f>
        <v>8.1044999999999998</v>
      </c>
      <c r="D29" s="184">
        <f t="shared" si="5"/>
        <v>8</v>
      </c>
      <c r="E29" s="185" t="str">
        <f>'J.CURSO 1ER TRIMESTRE'!S36</f>
        <v>B+</v>
      </c>
      <c r="F29" s="90">
        <f t="shared" si="6"/>
        <v>2.4313499999999997</v>
      </c>
      <c r="G29" s="159">
        <f>'J.CURSO 2DO TRIMESTRE '!Q36</f>
        <v>7.0225</v>
      </c>
      <c r="H29" s="184">
        <f t="shared" si="7"/>
        <v>7</v>
      </c>
      <c r="I29" s="185" t="str">
        <f>'J.CURSO 2DO TRIMESTRE '!S36</f>
        <v>B-</v>
      </c>
      <c r="J29" s="91">
        <f t="shared" si="8"/>
        <v>2.1067499999999999</v>
      </c>
      <c r="K29" s="156">
        <f>'J.CURSO 3 ER TRIMESTRE'!Q36</f>
        <v>7</v>
      </c>
      <c r="L29" s="184">
        <f t="shared" si="9"/>
        <v>7</v>
      </c>
      <c r="M29" s="188" t="str">
        <f>'J.CURSO 3 ER TRIMESTRE'!S36</f>
        <v>B-</v>
      </c>
      <c r="N29" s="87">
        <f t="shared" si="10"/>
        <v>2.1</v>
      </c>
      <c r="O29" s="113">
        <f t="shared" si="11"/>
        <v>6.63</v>
      </c>
      <c r="P29" s="88">
        <f>('NOTAS 1ER TRIMESTRE'!P35+'NOTAS 2DO TRIMESTRE'!P35+'NOTAS 3 ER TRIMESTRE'!P35)/3</f>
        <v>7.57</v>
      </c>
      <c r="Q29" s="89">
        <f t="shared" si="12"/>
        <v>0.37850000000000006</v>
      </c>
      <c r="R29" s="92">
        <v>8.5</v>
      </c>
      <c r="S29" s="92">
        <f t="shared" si="0"/>
        <v>0.42500000000000004</v>
      </c>
      <c r="T29" s="153">
        <f t="shared" si="1"/>
        <v>8.0299999999999994</v>
      </c>
      <c r="U29" s="187">
        <f t="shared" si="13"/>
        <v>8</v>
      </c>
      <c r="V29" s="190">
        <f t="shared" si="2"/>
        <v>0.80299999999999994</v>
      </c>
      <c r="W29" s="191" t="str">
        <f t="shared" si="3"/>
        <v>B+</v>
      </c>
      <c r="X29" s="198">
        <f t="shared" si="4"/>
        <v>7.43</v>
      </c>
      <c r="Y29" s="195">
        <f t="shared" si="14"/>
        <v>7</v>
      </c>
      <c r="Z29" s="196" t="str">
        <f t="shared" si="15"/>
        <v>B-</v>
      </c>
      <c r="AA29" s="104" t="str">
        <f t="shared" si="16"/>
        <v>APROBADO</v>
      </c>
      <c r="AB29" s="427"/>
      <c r="AC29" s="428" t="str">
        <f t="shared" si="17"/>
        <v/>
      </c>
      <c r="AD29" s="114" t="str">
        <f t="shared" si="18"/>
        <v>APROBADO</v>
      </c>
    </row>
    <row r="30" spans="1:30">
      <c r="A30" s="99">
        <v>22</v>
      </c>
      <c r="B30" s="103" t="str">
        <f>DATOS!B33</f>
        <v>MENDOZA TOAPANTA VERONICA MARISOL</v>
      </c>
      <c r="C30" s="156">
        <f>'J.CURSO 1ER TRIMESTRE'!Q37</f>
        <v>9.5440000000000005</v>
      </c>
      <c r="D30" s="184">
        <f t="shared" si="5"/>
        <v>10</v>
      </c>
      <c r="E30" s="185" t="str">
        <f>'J.CURSO 1ER TRIMESTRE'!S37</f>
        <v>A+</v>
      </c>
      <c r="F30" s="90">
        <f t="shared" si="6"/>
        <v>2.8632</v>
      </c>
      <c r="G30" s="159">
        <f>'J.CURSO 2DO TRIMESTRE '!Q37</f>
        <v>9.4025000000000016</v>
      </c>
      <c r="H30" s="184">
        <f t="shared" si="7"/>
        <v>9</v>
      </c>
      <c r="I30" s="185" t="str">
        <f>'J.CURSO 2DO TRIMESTRE '!S37</f>
        <v>A-</v>
      </c>
      <c r="J30" s="91">
        <f t="shared" si="8"/>
        <v>2.8207500000000003</v>
      </c>
      <c r="K30" s="156">
        <f>'J.CURSO 3 ER TRIMESTRE'!Q37</f>
        <v>9.5</v>
      </c>
      <c r="L30" s="184">
        <f t="shared" si="9"/>
        <v>10</v>
      </c>
      <c r="M30" s="188" t="str">
        <f>'J.CURSO 3 ER TRIMESTRE'!S37</f>
        <v>A+</v>
      </c>
      <c r="N30" s="87">
        <f t="shared" si="10"/>
        <v>2.85</v>
      </c>
      <c r="O30" s="113">
        <f t="shared" si="11"/>
        <v>8.5299999999999994</v>
      </c>
      <c r="P30" s="88">
        <f>('NOTAS 1ER TRIMESTRE'!P36+'NOTAS 2DO TRIMESTRE'!P36+'NOTAS 3 ER TRIMESTRE'!P36)/3</f>
        <v>9.3333333333333339</v>
      </c>
      <c r="Q30" s="89">
        <f t="shared" si="12"/>
        <v>0.46666666666666673</v>
      </c>
      <c r="R30" s="92">
        <v>9</v>
      </c>
      <c r="S30" s="92">
        <f t="shared" si="0"/>
        <v>0.45</v>
      </c>
      <c r="T30" s="153">
        <f t="shared" si="1"/>
        <v>9.16</v>
      </c>
      <c r="U30" s="187">
        <f t="shared" si="13"/>
        <v>9</v>
      </c>
      <c r="V30" s="190">
        <f t="shared" si="2"/>
        <v>0.91600000000000004</v>
      </c>
      <c r="W30" s="191" t="str">
        <f t="shared" si="3"/>
        <v>A-</v>
      </c>
      <c r="X30" s="198">
        <f t="shared" si="4"/>
        <v>9.44</v>
      </c>
      <c r="Y30" s="195">
        <f t="shared" si="14"/>
        <v>9</v>
      </c>
      <c r="Z30" s="196" t="str">
        <f t="shared" si="15"/>
        <v>A-</v>
      </c>
      <c r="AA30" s="104" t="str">
        <f t="shared" si="16"/>
        <v>APROBADO</v>
      </c>
      <c r="AB30" s="427"/>
      <c r="AC30" s="428" t="str">
        <f t="shared" si="17"/>
        <v/>
      </c>
      <c r="AD30" s="114" t="str">
        <f t="shared" si="18"/>
        <v>APROBADO</v>
      </c>
    </row>
    <row r="31" spans="1:30">
      <c r="A31" s="99">
        <v>23</v>
      </c>
      <c r="B31" s="103" t="str">
        <f>DATOS!B34</f>
        <v>MONTA CHICAIZA JOSSELYN MICAELA</v>
      </c>
      <c r="C31" s="156">
        <f>'J.CURSO 1ER TRIMESTRE'!Q38</f>
        <v>9.089500000000001</v>
      </c>
      <c r="D31" s="184">
        <f t="shared" si="5"/>
        <v>9</v>
      </c>
      <c r="E31" s="185" t="str">
        <f>'J.CURSO 1ER TRIMESTRE'!S38</f>
        <v>A-</v>
      </c>
      <c r="F31" s="90">
        <f t="shared" si="6"/>
        <v>2.7268500000000002</v>
      </c>
      <c r="G31" s="159">
        <f>'J.CURSO 2DO TRIMESTRE '!Q38</f>
        <v>8.5560000000000009</v>
      </c>
      <c r="H31" s="184">
        <f t="shared" si="7"/>
        <v>9</v>
      </c>
      <c r="I31" s="185" t="str">
        <f>'J.CURSO 2DO TRIMESTRE '!S38</f>
        <v>A-</v>
      </c>
      <c r="J31" s="91">
        <f t="shared" si="8"/>
        <v>2.5668000000000002</v>
      </c>
      <c r="K31" s="156">
        <f>'J.CURSO 3 ER TRIMESTRE'!Q38</f>
        <v>8</v>
      </c>
      <c r="L31" s="184">
        <f t="shared" si="9"/>
        <v>8</v>
      </c>
      <c r="M31" s="188" t="str">
        <f>'J.CURSO 3 ER TRIMESTRE'!S38</f>
        <v>B+</v>
      </c>
      <c r="N31" s="87">
        <f t="shared" si="10"/>
        <v>2.4</v>
      </c>
      <c r="O31" s="113">
        <f t="shared" si="11"/>
        <v>7.69</v>
      </c>
      <c r="P31" s="88">
        <f>('NOTAS 1ER TRIMESTRE'!P37+'NOTAS 2DO TRIMESTRE'!P37+'NOTAS 3 ER TRIMESTRE'!P37)/3</f>
        <v>8.5733333333333324</v>
      </c>
      <c r="Q31" s="89">
        <f t="shared" si="12"/>
        <v>0.42866666666666664</v>
      </c>
      <c r="R31" s="92">
        <v>8</v>
      </c>
      <c r="S31" s="92">
        <f t="shared" si="0"/>
        <v>0.4</v>
      </c>
      <c r="T31" s="153">
        <f t="shared" si="1"/>
        <v>8.2799999999999994</v>
      </c>
      <c r="U31" s="187">
        <f t="shared" si="13"/>
        <v>8</v>
      </c>
      <c r="V31" s="190">
        <f t="shared" si="2"/>
        <v>0.82799999999999996</v>
      </c>
      <c r="W31" s="191" t="str">
        <f t="shared" si="3"/>
        <v>B+</v>
      </c>
      <c r="X31" s="198">
        <f t="shared" si="4"/>
        <v>8.51</v>
      </c>
      <c r="Y31" s="195">
        <f t="shared" si="14"/>
        <v>9</v>
      </c>
      <c r="Z31" s="196" t="str">
        <f t="shared" si="15"/>
        <v>A-</v>
      </c>
      <c r="AA31" s="104" t="str">
        <f t="shared" si="16"/>
        <v>APROBADO</v>
      </c>
      <c r="AB31" s="427"/>
      <c r="AC31" s="428" t="str">
        <f t="shared" si="17"/>
        <v/>
      </c>
      <c r="AD31" s="114" t="str">
        <f t="shared" si="18"/>
        <v>APROBADO</v>
      </c>
    </row>
    <row r="32" spans="1:30">
      <c r="A32" s="99">
        <v>24</v>
      </c>
      <c r="B32" s="103" t="str">
        <f>DATOS!B35</f>
        <v>OTO ABRIL ERICK JAHIR</v>
      </c>
      <c r="C32" s="156">
        <f>'J.CURSO 1ER TRIMESTRE'!Q39</f>
        <v>8.609</v>
      </c>
      <c r="D32" s="184">
        <f t="shared" si="5"/>
        <v>9</v>
      </c>
      <c r="E32" s="185" t="str">
        <f>'J.CURSO 1ER TRIMESTRE'!S39</f>
        <v>A-</v>
      </c>
      <c r="F32" s="90">
        <f t="shared" si="6"/>
        <v>2.5827</v>
      </c>
      <c r="G32" s="159">
        <f>'J.CURSO 2DO TRIMESTRE '!Q39</f>
        <v>7.7584999999999997</v>
      </c>
      <c r="H32" s="184">
        <f t="shared" si="7"/>
        <v>8</v>
      </c>
      <c r="I32" s="185" t="str">
        <f>'J.CURSO 2DO TRIMESTRE '!S39</f>
        <v>B+</v>
      </c>
      <c r="J32" s="91">
        <f t="shared" si="8"/>
        <v>2.32755</v>
      </c>
      <c r="K32" s="156">
        <f>'J.CURSO 3 ER TRIMESTRE'!Q39</f>
        <v>8</v>
      </c>
      <c r="L32" s="184">
        <f t="shared" si="9"/>
        <v>8</v>
      </c>
      <c r="M32" s="188" t="str">
        <f>'J.CURSO 3 ER TRIMESTRE'!S39</f>
        <v>B+</v>
      </c>
      <c r="N32" s="87">
        <f t="shared" si="10"/>
        <v>2.4</v>
      </c>
      <c r="O32" s="113">
        <f t="shared" si="11"/>
        <v>7.31</v>
      </c>
      <c r="P32" s="88">
        <f>('NOTAS 1ER TRIMESTRE'!P38+'NOTAS 2DO TRIMESTRE'!P38+'NOTAS 3 ER TRIMESTRE'!P38)/3</f>
        <v>7.7766666666666664</v>
      </c>
      <c r="Q32" s="89">
        <f t="shared" si="12"/>
        <v>0.38883333333333336</v>
      </c>
      <c r="R32" s="92">
        <v>4.5</v>
      </c>
      <c r="S32" s="92">
        <f t="shared" si="0"/>
        <v>0.22500000000000001</v>
      </c>
      <c r="T32" s="153">
        <f t="shared" si="1"/>
        <v>6.13</v>
      </c>
      <c r="U32" s="187">
        <f t="shared" si="13"/>
        <v>6</v>
      </c>
      <c r="V32" s="190">
        <f t="shared" si="2"/>
        <v>0.61299999999999999</v>
      </c>
      <c r="W32" s="191" t="str">
        <f t="shared" si="3"/>
        <v>C+</v>
      </c>
      <c r="X32" s="198">
        <f t="shared" si="4"/>
        <v>7.92</v>
      </c>
      <c r="Y32" s="195">
        <f t="shared" si="14"/>
        <v>8</v>
      </c>
      <c r="Z32" s="196" t="str">
        <f t="shared" si="15"/>
        <v>B+</v>
      </c>
      <c r="AA32" s="104" t="str">
        <f t="shared" si="16"/>
        <v>APROBADO</v>
      </c>
      <c r="AB32" s="427"/>
      <c r="AC32" s="428" t="str">
        <f t="shared" si="17"/>
        <v/>
      </c>
      <c r="AD32" s="114" t="str">
        <f t="shared" si="18"/>
        <v>APROBADO</v>
      </c>
    </row>
    <row r="33" spans="1:30">
      <c r="A33" s="99">
        <v>25</v>
      </c>
      <c r="B33" s="103" t="str">
        <f>DATOS!B36</f>
        <v>PROAÑO TOAQUIZA FERNANDO JOSUE</v>
      </c>
      <c r="C33" s="156">
        <f>'J.CURSO 1ER TRIMESTRE'!Q40</f>
        <v>9.2469999999999999</v>
      </c>
      <c r="D33" s="184">
        <f t="shared" si="5"/>
        <v>9</v>
      </c>
      <c r="E33" s="185" t="str">
        <f>'J.CURSO 1ER TRIMESTRE'!S40</f>
        <v>A-</v>
      </c>
      <c r="F33" s="90">
        <f t="shared" si="6"/>
        <v>2.7740999999999998</v>
      </c>
      <c r="G33" s="159">
        <f>'J.CURSO 2DO TRIMESTRE '!Q40</f>
        <v>9.8249999999999993</v>
      </c>
      <c r="H33" s="184">
        <f t="shared" si="7"/>
        <v>10</v>
      </c>
      <c r="I33" s="185" t="str">
        <f>'J.CURSO 2DO TRIMESTRE '!S40</f>
        <v>A+</v>
      </c>
      <c r="J33" s="91">
        <f t="shared" si="8"/>
        <v>2.9474999999999998</v>
      </c>
      <c r="K33" s="156">
        <f>'J.CURSO 3 ER TRIMESTRE'!Q40</f>
        <v>10</v>
      </c>
      <c r="L33" s="184">
        <f t="shared" si="9"/>
        <v>10</v>
      </c>
      <c r="M33" s="188" t="str">
        <f>'J.CURSO 3 ER TRIMESTRE'!S40</f>
        <v>A+</v>
      </c>
      <c r="N33" s="87">
        <f t="shared" si="10"/>
        <v>3</v>
      </c>
      <c r="O33" s="113">
        <f t="shared" si="11"/>
        <v>8.7200000000000006</v>
      </c>
      <c r="P33" s="88">
        <f>('NOTAS 1ER TRIMESTRE'!P39+'NOTAS 2DO TRIMESTRE'!P39+'NOTAS 3 ER TRIMESTRE'!P39)/3</f>
        <v>9.5833333333333339</v>
      </c>
      <c r="Q33" s="89">
        <f t="shared" si="12"/>
        <v>0.47916666666666674</v>
      </c>
      <c r="R33" s="92">
        <v>10</v>
      </c>
      <c r="S33" s="92">
        <f t="shared" si="0"/>
        <v>0.5</v>
      </c>
      <c r="T33" s="153">
        <f t="shared" si="1"/>
        <v>9.7899999999999991</v>
      </c>
      <c r="U33" s="187">
        <f t="shared" si="13"/>
        <v>10</v>
      </c>
      <c r="V33" s="190">
        <f t="shared" si="2"/>
        <v>0.97899999999999998</v>
      </c>
      <c r="W33" s="191" t="str">
        <f t="shared" si="3"/>
        <v>A+</v>
      </c>
      <c r="X33" s="198">
        <f t="shared" si="4"/>
        <v>9.69</v>
      </c>
      <c r="Y33" s="195">
        <f t="shared" si="14"/>
        <v>10</v>
      </c>
      <c r="Z33" s="196" t="str">
        <f t="shared" si="15"/>
        <v>A+</v>
      </c>
      <c r="AA33" s="104" t="str">
        <f t="shared" si="16"/>
        <v>APROBADO</v>
      </c>
      <c r="AB33" s="427"/>
      <c r="AC33" s="428" t="str">
        <f t="shared" si="17"/>
        <v/>
      </c>
      <c r="AD33" s="114" t="str">
        <f t="shared" si="18"/>
        <v>APROBADO</v>
      </c>
    </row>
    <row r="34" spans="1:30">
      <c r="A34" s="99">
        <v>26</v>
      </c>
      <c r="B34" s="103" t="str">
        <f>DATOS!B37</f>
        <v>QUILUMBA TOAPANTA ADRIANA CAROLINA</v>
      </c>
      <c r="C34" s="156">
        <f>'J.CURSO 1ER TRIMESTRE'!Q41</f>
        <v>8.9380000000000006</v>
      </c>
      <c r="D34" s="184">
        <f t="shared" si="5"/>
        <v>9</v>
      </c>
      <c r="E34" s="185" t="str">
        <f>'J.CURSO 1ER TRIMESTRE'!S41</f>
        <v>A-</v>
      </c>
      <c r="F34" s="90">
        <f t="shared" si="6"/>
        <v>2.6814</v>
      </c>
      <c r="G34" s="159">
        <f>'J.CURSO 2DO TRIMESTRE '!Q41</f>
        <v>8.756000000000002</v>
      </c>
      <c r="H34" s="184">
        <f t="shared" si="7"/>
        <v>9</v>
      </c>
      <c r="I34" s="185" t="str">
        <f>'J.CURSO 2DO TRIMESTRE '!S41</f>
        <v>A-</v>
      </c>
      <c r="J34" s="91">
        <f t="shared" si="8"/>
        <v>2.6268000000000007</v>
      </c>
      <c r="K34" s="156">
        <f>'J.CURSO 3 ER TRIMESTRE'!Q41</f>
        <v>9.2500000000000018</v>
      </c>
      <c r="L34" s="184">
        <f t="shared" si="9"/>
        <v>9</v>
      </c>
      <c r="M34" s="188" t="str">
        <f>'J.CURSO 3 ER TRIMESTRE'!S41</f>
        <v>A-</v>
      </c>
      <c r="N34" s="87">
        <f t="shared" si="10"/>
        <v>2.7750000000000004</v>
      </c>
      <c r="O34" s="113">
        <f t="shared" si="11"/>
        <v>8.08</v>
      </c>
      <c r="P34" s="88">
        <f>('NOTAS 1ER TRIMESTRE'!P40+'NOTAS 2DO TRIMESTRE'!P40+'NOTAS 3 ER TRIMESTRE'!P40)/3</f>
        <v>8.4799999999999986</v>
      </c>
      <c r="Q34" s="89">
        <f t="shared" si="12"/>
        <v>0.42399999999999993</v>
      </c>
      <c r="R34" s="92">
        <v>7.5</v>
      </c>
      <c r="S34" s="92">
        <f t="shared" si="0"/>
        <v>0.375</v>
      </c>
      <c r="T34" s="153">
        <f t="shared" si="1"/>
        <v>7.99</v>
      </c>
      <c r="U34" s="187">
        <f t="shared" si="13"/>
        <v>8</v>
      </c>
      <c r="V34" s="190">
        <f t="shared" si="2"/>
        <v>0.79900000000000004</v>
      </c>
      <c r="W34" s="191" t="str">
        <f t="shared" si="3"/>
        <v>B+</v>
      </c>
      <c r="X34" s="198">
        <f t="shared" si="4"/>
        <v>8.8699999999999992</v>
      </c>
      <c r="Y34" s="195">
        <f t="shared" si="14"/>
        <v>9</v>
      </c>
      <c r="Z34" s="196" t="str">
        <f t="shared" si="15"/>
        <v>A-</v>
      </c>
      <c r="AA34" s="104" t="str">
        <f t="shared" si="16"/>
        <v>APROBADO</v>
      </c>
      <c r="AB34" s="427"/>
      <c r="AC34" s="428" t="str">
        <f t="shared" si="17"/>
        <v/>
      </c>
      <c r="AD34" s="114" t="str">
        <f t="shared" si="18"/>
        <v>APROBADO</v>
      </c>
    </row>
    <row r="35" spans="1:30">
      <c r="A35" s="99">
        <v>27</v>
      </c>
      <c r="B35" s="103" t="str">
        <f>DATOS!B38</f>
        <v>RENGIFO COLLANTES DANNY SANTIAGO</v>
      </c>
      <c r="C35" s="156">
        <f>'J.CURSO 1ER TRIMESTRE'!Q42</f>
        <v>8.2234999999999996</v>
      </c>
      <c r="D35" s="184">
        <f t="shared" si="5"/>
        <v>8</v>
      </c>
      <c r="E35" s="185" t="str">
        <f>'J.CURSO 1ER TRIMESTRE'!S42</f>
        <v>B+</v>
      </c>
      <c r="F35" s="90">
        <f t="shared" si="6"/>
        <v>2.46705</v>
      </c>
      <c r="G35" s="159">
        <f>'J.CURSO 2DO TRIMESTRE '!Q42</f>
        <v>8.4864999999999995</v>
      </c>
      <c r="H35" s="184">
        <f t="shared" si="7"/>
        <v>8</v>
      </c>
      <c r="I35" s="185" t="str">
        <f>'J.CURSO 2DO TRIMESTRE '!S42</f>
        <v>B+</v>
      </c>
      <c r="J35" s="91">
        <f t="shared" si="8"/>
        <v>2.5459499999999999</v>
      </c>
      <c r="K35" s="156">
        <f>'J.CURSO 3 ER TRIMESTRE'!Q42</f>
        <v>9</v>
      </c>
      <c r="L35" s="184">
        <f t="shared" si="9"/>
        <v>9</v>
      </c>
      <c r="M35" s="188" t="str">
        <f>'J.CURSO 3 ER TRIMESTRE'!S42</f>
        <v>A-</v>
      </c>
      <c r="N35" s="87">
        <f t="shared" si="10"/>
        <v>2.6999999999999997</v>
      </c>
      <c r="O35" s="113">
        <f t="shared" si="11"/>
        <v>7.71</v>
      </c>
      <c r="P35" s="88">
        <f>('NOTAS 1ER TRIMESTRE'!P41+'NOTAS 2DO TRIMESTRE'!P41+'NOTAS 3 ER TRIMESTRE'!P41)/3</f>
        <v>8.1666666666666661</v>
      </c>
      <c r="Q35" s="89">
        <f t="shared" si="12"/>
        <v>0.40833333333333333</v>
      </c>
      <c r="R35" s="92">
        <v>6.5</v>
      </c>
      <c r="S35" s="92">
        <f t="shared" si="0"/>
        <v>0.32500000000000001</v>
      </c>
      <c r="T35" s="153">
        <f t="shared" si="1"/>
        <v>7.33</v>
      </c>
      <c r="U35" s="187">
        <f t="shared" si="13"/>
        <v>7</v>
      </c>
      <c r="V35" s="190">
        <f t="shared" si="2"/>
        <v>0.7330000000000001</v>
      </c>
      <c r="W35" s="191" t="str">
        <f t="shared" si="3"/>
        <v>B-</v>
      </c>
      <c r="X35" s="198">
        <f t="shared" si="4"/>
        <v>8.44</v>
      </c>
      <c r="Y35" s="195">
        <f t="shared" si="14"/>
        <v>8</v>
      </c>
      <c r="Z35" s="196" t="str">
        <f t="shared" si="15"/>
        <v>B+</v>
      </c>
      <c r="AA35" s="104" t="str">
        <f t="shared" si="16"/>
        <v>APROBADO</v>
      </c>
      <c r="AB35" s="427"/>
      <c r="AC35" s="428" t="str">
        <f t="shared" si="17"/>
        <v/>
      </c>
      <c r="AD35" s="114" t="str">
        <f t="shared" si="18"/>
        <v>APROBADO</v>
      </c>
    </row>
    <row r="36" spans="1:30">
      <c r="A36" s="99">
        <v>28</v>
      </c>
      <c r="B36" s="103" t="str">
        <f>DATOS!B39</f>
        <v xml:space="preserve">SIMBAÑA HERNANDEZ JOAO JAVIER                     </v>
      </c>
      <c r="C36" s="156">
        <f>'J.CURSO 1ER TRIMESTRE'!Q43</f>
        <v>7.1125000000000007</v>
      </c>
      <c r="D36" s="184">
        <f t="shared" si="5"/>
        <v>7</v>
      </c>
      <c r="E36" s="185" t="str">
        <f>'J.CURSO 1ER TRIMESTRE'!S43</f>
        <v>B-</v>
      </c>
      <c r="F36" s="90">
        <f t="shared" si="6"/>
        <v>2.13375</v>
      </c>
      <c r="G36" s="159">
        <f>'J.CURSO 2DO TRIMESTRE '!Q43</f>
        <v>8.0124999999999993</v>
      </c>
      <c r="H36" s="184">
        <f t="shared" si="7"/>
        <v>8</v>
      </c>
      <c r="I36" s="185" t="str">
        <f>'J.CURSO 2DO TRIMESTRE '!S43</f>
        <v>B+</v>
      </c>
      <c r="J36" s="91">
        <f t="shared" si="8"/>
        <v>2.4037499999999996</v>
      </c>
      <c r="K36" s="156">
        <f>'J.CURSO 3 ER TRIMESTRE'!Q43</f>
        <v>8</v>
      </c>
      <c r="L36" s="184">
        <f t="shared" si="9"/>
        <v>8</v>
      </c>
      <c r="M36" s="188" t="str">
        <f>'J.CURSO 3 ER TRIMESTRE'!S43</f>
        <v>B+</v>
      </c>
      <c r="N36" s="87">
        <f t="shared" si="10"/>
        <v>2.4</v>
      </c>
      <c r="O36" s="113">
        <f t="shared" si="11"/>
        <v>6.93</v>
      </c>
      <c r="P36" s="88">
        <f>('NOTAS 1ER TRIMESTRE'!P42+'NOTAS 2DO TRIMESTRE'!P42+'NOTAS 3 ER TRIMESTRE'!P42)/3</f>
        <v>6.9266666666666667</v>
      </c>
      <c r="Q36" s="89">
        <f t="shared" si="12"/>
        <v>0.34633333333333338</v>
      </c>
      <c r="R36" s="92">
        <v>7.5</v>
      </c>
      <c r="S36" s="92">
        <f t="shared" si="0"/>
        <v>0.375</v>
      </c>
      <c r="T36" s="153">
        <f t="shared" si="1"/>
        <v>7.21</v>
      </c>
      <c r="U36" s="187">
        <f t="shared" si="13"/>
        <v>7</v>
      </c>
      <c r="V36" s="190">
        <f t="shared" si="2"/>
        <v>0.72100000000000009</v>
      </c>
      <c r="W36" s="191" t="str">
        <f t="shared" si="3"/>
        <v>B-</v>
      </c>
      <c r="X36" s="198">
        <f t="shared" si="4"/>
        <v>7.65</v>
      </c>
      <c r="Y36" s="195">
        <f t="shared" si="14"/>
        <v>8</v>
      </c>
      <c r="Z36" s="196" t="str">
        <f t="shared" si="15"/>
        <v>B+</v>
      </c>
      <c r="AA36" s="104" t="str">
        <f t="shared" si="16"/>
        <v>APROBADO</v>
      </c>
      <c r="AB36" s="427"/>
      <c r="AC36" s="428" t="str">
        <f t="shared" si="17"/>
        <v/>
      </c>
      <c r="AD36" s="114" t="str">
        <f t="shared" si="18"/>
        <v>APROBADO</v>
      </c>
    </row>
    <row r="37" spans="1:30">
      <c r="A37" s="99">
        <v>29</v>
      </c>
      <c r="B37" s="103" t="str">
        <f>DATOS!B40</f>
        <v>TOAPANTA CHICAIZA JENNY ESTEFANIA</v>
      </c>
      <c r="C37" s="156">
        <f>'J.CURSO 1ER TRIMESTRE'!Q44</f>
        <v>8.8644999999999996</v>
      </c>
      <c r="D37" s="184">
        <f t="shared" si="5"/>
        <v>9</v>
      </c>
      <c r="E37" s="185" t="str">
        <f>'J.CURSO 1ER TRIMESTRE'!S44</f>
        <v>A-</v>
      </c>
      <c r="F37" s="90">
        <f t="shared" si="6"/>
        <v>2.6593499999999999</v>
      </c>
      <c r="G37" s="159">
        <f>'J.CURSO 2DO TRIMESTRE '!Q44</f>
        <v>7.0145</v>
      </c>
      <c r="H37" s="184">
        <f t="shared" si="7"/>
        <v>7</v>
      </c>
      <c r="I37" s="185" t="str">
        <f>'J.CURSO 2DO TRIMESTRE '!S44</f>
        <v>B-</v>
      </c>
      <c r="J37" s="91">
        <f t="shared" si="8"/>
        <v>2.1043499999999997</v>
      </c>
      <c r="K37" s="156">
        <f>'J.CURSO 3 ER TRIMESTRE'!Q44</f>
        <v>7</v>
      </c>
      <c r="L37" s="184">
        <f t="shared" si="9"/>
        <v>7</v>
      </c>
      <c r="M37" s="188" t="str">
        <f>'J.CURSO 3 ER TRIMESTRE'!S44</f>
        <v>B-</v>
      </c>
      <c r="N37" s="87">
        <f t="shared" si="10"/>
        <v>2.1</v>
      </c>
      <c r="O37" s="113">
        <f t="shared" si="11"/>
        <v>6.86</v>
      </c>
      <c r="P37" s="88">
        <f>('NOTAS 1ER TRIMESTRE'!P43+'NOTAS 2DO TRIMESTRE'!P43+'NOTAS 3 ER TRIMESTRE'!P43)/3</f>
        <v>6.793333333333333</v>
      </c>
      <c r="Q37" s="89">
        <f t="shared" si="12"/>
        <v>0.33966666666666667</v>
      </c>
      <c r="R37" s="92">
        <v>8</v>
      </c>
      <c r="S37" s="92">
        <f t="shared" si="0"/>
        <v>0.4</v>
      </c>
      <c r="T37" s="153">
        <f t="shared" si="1"/>
        <v>7.39</v>
      </c>
      <c r="U37" s="187">
        <f t="shared" si="13"/>
        <v>7</v>
      </c>
      <c r="V37" s="190">
        <f t="shared" si="2"/>
        <v>0.73899999999999999</v>
      </c>
      <c r="W37" s="191" t="str">
        <f t="shared" si="3"/>
        <v>B-</v>
      </c>
      <c r="X37" s="198">
        <f t="shared" si="4"/>
        <v>7.59</v>
      </c>
      <c r="Y37" s="195">
        <f t="shared" si="14"/>
        <v>8</v>
      </c>
      <c r="Z37" s="196" t="str">
        <f t="shared" si="15"/>
        <v>B+</v>
      </c>
      <c r="AA37" s="104" t="str">
        <f t="shared" si="16"/>
        <v>APROBADO</v>
      </c>
      <c r="AB37" s="427"/>
      <c r="AC37" s="428" t="str">
        <f t="shared" si="17"/>
        <v/>
      </c>
      <c r="AD37" s="114" t="str">
        <f t="shared" si="18"/>
        <v>APROBADO</v>
      </c>
    </row>
    <row r="38" spans="1:30">
      <c r="A38" s="99">
        <v>30</v>
      </c>
      <c r="B38" s="103" t="str">
        <f>DATOS!B41</f>
        <v>TOAQUIZA CATOTA DENNIS ALEXANDER</v>
      </c>
      <c r="C38" s="156">
        <f>'J.CURSO 1ER TRIMESTRE'!Q45</f>
        <v>8.1705000000000005</v>
      </c>
      <c r="D38" s="184">
        <f t="shared" si="5"/>
        <v>8</v>
      </c>
      <c r="E38" s="185" t="str">
        <f>'J.CURSO 1ER TRIMESTRE'!S45</f>
        <v>B+</v>
      </c>
      <c r="F38" s="90">
        <f t="shared" si="6"/>
        <v>2.4511500000000002</v>
      </c>
      <c r="G38" s="159">
        <f>'J.CURSO 2DO TRIMESTRE '!Q45</f>
        <v>7.9820000000000002</v>
      </c>
      <c r="H38" s="184">
        <f t="shared" si="7"/>
        <v>8</v>
      </c>
      <c r="I38" s="185" t="str">
        <f>'J.CURSO 2DO TRIMESTRE '!S45</f>
        <v>B+</v>
      </c>
      <c r="J38" s="91">
        <f t="shared" si="8"/>
        <v>2.3946000000000001</v>
      </c>
      <c r="K38" s="156">
        <f>'J.CURSO 3 ER TRIMESTRE'!Q45</f>
        <v>8.5</v>
      </c>
      <c r="L38" s="184">
        <f t="shared" si="9"/>
        <v>9</v>
      </c>
      <c r="M38" s="188" t="str">
        <f>'J.CURSO 3 ER TRIMESTRE'!S45</f>
        <v>A-</v>
      </c>
      <c r="N38" s="87">
        <f t="shared" si="10"/>
        <v>2.5499999999999998</v>
      </c>
      <c r="O38" s="113">
        <f t="shared" si="11"/>
        <v>7.39</v>
      </c>
      <c r="P38" s="88">
        <f>('NOTAS 1ER TRIMESTRE'!P44+'NOTAS 2DO TRIMESTRE'!P44+'NOTAS 3 ER TRIMESTRE'!P44)/3</f>
        <v>7.3633333333333333</v>
      </c>
      <c r="Q38" s="89">
        <f t="shared" si="12"/>
        <v>0.3681666666666667</v>
      </c>
      <c r="R38" s="92">
        <v>6.5</v>
      </c>
      <c r="S38" s="92">
        <f t="shared" si="0"/>
        <v>0.32500000000000001</v>
      </c>
      <c r="T38" s="153">
        <f t="shared" si="1"/>
        <v>6.93</v>
      </c>
      <c r="U38" s="187">
        <f t="shared" si="13"/>
        <v>7</v>
      </c>
      <c r="V38" s="190">
        <f t="shared" si="2"/>
        <v>0.69300000000000006</v>
      </c>
      <c r="W38" s="191" t="str">
        <f t="shared" si="3"/>
        <v>B-</v>
      </c>
      <c r="X38" s="198">
        <f t="shared" si="4"/>
        <v>8.08</v>
      </c>
      <c r="Y38" s="195">
        <f t="shared" si="14"/>
        <v>8</v>
      </c>
      <c r="Z38" s="196" t="str">
        <f t="shared" si="15"/>
        <v>B+</v>
      </c>
      <c r="AA38" s="104" t="str">
        <f t="shared" si="16"/>
        <v>APROBADO</v>
      </c>
      <c r="AB38" s="427"/>
      <c r="AC38" s="428" t="str">
        <f t="shared" si="17"/>
        <v/>
      </c>
      <c r="AD38" s="114" t="str">
        <f t="shared" si="18"/>
        <v>APROBADO</v>
      </c>
    </row>
    <row r="39" spans="1:30">
      <c r="A39" s="99">
        <v>31</v>
      </c>
      <c r="B39" s="103" t="str">
        <f>DATOS!B42</f>
        <v>TOAQUIZA LEMA MELANY ANAHI</v>
      </c>
      <c r="C39" s="156">
        <f>'J.CURSO 1ER TRIMESTRE'!Q46</f>
        <v>9.4254999999999995</v>
      </c>
      <c r="D39" s="184">
        <f t="shared" si="5"/>
        <v>9</v>
      </c>
      <c r="E39" s="185" t="str">
        <f>'J.CURSO 1ER TRIMESTRE'!S46</f>
        <v>A-</v>
      </c>
      <c r="F39" s="90">
        <f t="shared" si="6"/>
        <v>2.8276499999999998</v>
      </c>
      <c r="G39" s="159">
        <f>'J.CURSO 2DO TRIMESTRE '!Q46</f>
        <v>8.6</v>
      </c>
      <c r="H39" s="184">
        <f t="shared" si="7"/>
        <v>9</v>
      </c>
      <c r="I39" s="185" t="str">
        <f>'J.CURSO 2DO TRIMESTRE '!S46</f>
        <v>A-</v>
      </c>
      <c r="J39" s="91">
        <f t="shared" si="8"/>
        <v>2.5799999999999996</v>
      </c>
      <c r="K39" s="156">
        <f>'J.CURSO 3 ER TRIMESTRE'!Q46</f>
        <v>8.5</v>
      </c>
      <c r="L39" s="184">
        <f t="shared" si="9"/>
        <v>9</v>
      </c>
      <c r="M39" s="188" t="str">
        <f>'J.CURSO 3 ER TRIMESTRE'!S46</f>
        <v>A-</v>
      </c>
      <c r="N39" s="87">
        <f t="shared" si="10"/>
        <v>2.5499999999999998</v>
      </c>
      <c r="O39" s="113">
        <f t="shared" si="11"/>
        <v>7.95</v>
      </c>
      <c r="P39" s="88">
        <f>('NOTAS 1ER TRIMESTRE'!P45+'NOTAS 2DO TRIMESTRE'!P45+'NOTAS 3 ER TRIMESTRE'!P45)/3</f>
        <v>9.1066666666666674</v>
      </c>
      <c r="Q39" s="89">
        <f t="shared" si="12"/>
        <v>0.45533333333333337</v>
      </c>
      <c r="R39" s="92">
        <v>7</v>
      </c>
      <c r="S39" s="92">
        <f t="shared" si="0"/>
        <v>0.35000000000000003</v>
      </c>
      <c r="T39" s="153">
        <f t="shared" si="1"/>
        <v>8.0500000000000007</v>
      </c>
      <c r="U39" s="187">
        <f t="shared" si="13"/>
        <v>8</v>
      </c>
      <c r="V39" s="190">
        <f t="shared" si="2"/>
        <v>0.80500000000000016</v>
      </c>
      <c r="W39" s="191" t="str">
        <f t="shared" si="3"/>
        <v>B+</v>
      </c>
      <c r="X39" s="198">
        <f t="shared" si="4"/>
        <v>8.75</v>
      </c>
      <c r="Y39" s="195">
        <f t="shared" si="14"/>
        <v>9</v>
      </c>
      <c r="Z39" s="196" t="str">
        <f t="shared" si="15"/>
        <v>A-</v>
      </c>
      <c r="AA39" s="104" t="str">
        <f t="shared" si="16"/>
        <v>APROBADO</v>
      </c>
      <c r="AB39" s="427"/>
      <c r="AC39" s="428" t="str">
        <f t="shared" si="17"/>
        <v/>
      </c>
      <c r="AD39" s="114" t="str">
        <f t="shared" si="18"/>
        <v>APROBADO</v>
      </c>
    </row>
    <row r="40" spans="1:30">
      <c r="A40" s="99">
        <v>32</v>
      </c>
      <c r="B40" s="103" t="str">
        <f>DATOS!B43</f>
        <v>TOCTAGUANO TUMBACO MAHOLY GUADALUPE</v>
      </c>
      <c r="C40" s="156">
        <f>'J.CURSO 1ER TRIMESTRE'!Q47</f>
        <v>8.9115000000000002</v>
      </c>
      <c r="D40" s="184">
        <f t="shared" si="5"/>
        <v>9</v>
      </c>
      <c r="E40" s="185" t="str">
        <f>'J.CURSO 1ER TRIMESTRE'!S47</f>
        <v>A-</v>
      </c>
      <c r="F40" s="90">
        <f t="shared" si="6"/>
        <v>2.6734499999999999</v>
      </c>
      <c r="G40" s="159">
        <f>'J.CURSO 2DO TRIMESTRE '!Q47</f>
        <v>8.6325000000000003</v>
      </c>
      <c r="H40" s="184">
        <f t="shared" si="7"/>
        <v>9</v>
      </c>
      <c r="I40" s="185" t="str">
        <f>'J.CURSO 2DO TRIMESTRE '!S47</f>
        <v>A-</v>
      </c>
      <c r="J40" s="91">
        <f t="shared" si="8"/>
        <v>2.58975</v>
      </c>
      <c r="K40" s="156">
        <f>'J.CURSO 3 ER TRIMESTRE'!Q47</f>
        <v>8.5</v>
      </c>
      <c r="L40" s="184">
        <f t="shared" si="9"/>
        <v>9</v>
      </c>
      <c r="M40" s="188" t="str">
        <f>'J.CURSO 3 ER TRIMESTRE'!S47</f>
        <v>A-</v>
      </c>
      <c r="N40" s="87">
        <f t="shared" si="10"/>
        <v>2.5499999999999998</v>
      </c>
      <c r="O40" s="113">
        <f t="shared" si="11"/>
        <v>7.81</v>
      </c>
      <c r="P40" s="88">
        <f>('NOTAS 1ER TRIMESTRE'!P46+'NOTAS 2DO TRIMESTRE'!P46+'NOTAS 3 ER TRIMESTRE'!P46)/3</f>
        <v>9.1166666666666671</v>
      </c>
      <c r="Q40" s="89">
        <f t="shared" si="12"/>
        <v>0.45583333333333337</v>
      </c>
      <c r="R40" s="92">
        <v>10</v>
      </c>
      <c r="S40" s="92">
        <f t="shared" si="0"/>
        <v>0.5</v>
      </c>
      <c r="T40" s="153">
        <f t="shared" si="1"/>
        <v>9.5500000000000007</v>
      </c>
      <c r="U40" s="187">
        <f t="shared" si="13"/>
        <v>10</v>
      </c>
      <c r="V40" s="190">
        <f t="shared" si="2"/>
        <v>0.95500000000000007</v>
      </c>
      <c r="W40" s="191" t="str">
        <f t="shared" si="3"/>
        <v>A+</v>
      </c>
      <c r="X40" s="198">
        <f t="shared" si="4"/>
        <v>8.76</v>
      </c>
      <c r="Y40" s="195">
        <f t="shared" si="14"/>
        <v>9</v>
      </c>
      <c r="Z40" s="196" t="str">
        <f t="shared" si="15"/>
        <v>A-</v>
      </c>
      <c r="AA40" s="104" t="str">
        <f t="shared" si="16"/>
        <v>APROBADO</v>
      </c>
      <c r="AB40" s="427"/>
      <c r="AC40" s="428" t="str">
        <f t="shared" si="17"/>
        <v/>
      </c>
      <c r="AD40" s="114" t="str">
        <f t="shared" si="18"/>
        <v>APROBADO</v>
      </c>
    </row>
    <row r="41" spans="1:30">
      <c r="A41" s="99">
        <v>33</v>
      </c>
      <c r="B41" s="103" t="str">
        <f>DATOS!B44</f>
        <v>TONATO YUGCHA STALIN JOEL</v>
      </c>
      <c r="C41" s="156">
        <f>'J.CURSO 1ER TRIMESTRE'!Q48</f>
        <v>8.4804999999999993</v>
      </c>
      <c r="D41" s="184">
        <f t="shared" si="5"/>
        <v>8</v>
      </c>
      <c r="E41" s="185" t="str">
        <f>'J.CURSO 1ER TRIMESTRE'!S48</f>
        <v>B+</v>
      </c>
      <c r="F41" s="90">
        <f t="shared" si="6"/>
        <v>2.5441499999999997</v>
      </c>
      <c r="G41" s="159">
        <f>'J.CURSO 2DO TRIMESTRE '!Q48</f>
        <v>8.3250000000000011</v>
      </c>
      <c r="H41" s="184">
        <f t="shared" si="7"/>
        <v>8</v>
      </c>
      <c r="I41" s="185" t="str">
        <f>'J.CURSO 2DO TRIMESTRE '!S48</f>
        <v>B+</v>
      </c>
      <c r="J41" s="91">
        <f t="shared" si="8"/>
        <v>2.4975000000000001</v>
      </c>
      <c r="K41" s="156">
        <f>'J.CURSO 3 ER TRIMESTRE'!Q48</f>
        <v>8</v>
      </c>
      <c r="L41" s="184">
        <f t="shared" si="9"/>
        <v>8</v>
      </c>
      <c r="M41" s="188" t="str">
        <f>'J.CURSO 3 ER TRIMESTRE'!S48</f>
        <v>B+</v>
      </c>
      <c r="N41" s="87">
        <f t="shared" si="10"/>
        <v>2.4</v>
      </c>
      <c r="O41" s="113">
        <f t="shared" si="11"/>
        <v>7.44</v>
      </c>
      <c r="P41" s="88">
        <f>('NOTAS 1ER TRIMESTRE'!P47+'NOTAS 2DO TRIMESTRE'!P47+'NOTAS 3 ER TRIMESTRE'!P47)/3</f>
        <v>8.0466666666666669</v>
      </c>
      <c r="Q41" s="89">
        <f t="shared" si="12"/>
        <v>0.40233333333333338</v>
      </c>
      <c r="R41" s="92"/>
      <c r="S41" s="92">
        <f t="shared" si="0"/>
        <v>0</v>
      </c>
      <c r="T41" s="153">
        <f t="shared" si="1"/>
        <v>4.0199999999999996</v>
      </c>
      <c r="U41" s="187">
        <f t="shared" si="13"/>
        <v>4</v>
      </c>
      <c r="V41" s="190">
        <f t="shared" si="2"/>
        <v>0.40199999999999997</v>
      </c>
      <c r="W41" s="191" t="str">
        <f t="shared" si="3"/>
        <v>D+</v>
      </c>
      <c r="X41" s="198">
        <f t="shared" si="4"/>
        <v>7.84</v>
      </c>
      <c r="Y41" s="195">
        <f t="shared" si="14"/>
        <v>8</v>
      </c>
      <c r="Z41" s="196" t="str">
        <f t="shared" si="15"/>
        <v>B+</v>
      </c>
      <c r="AA41" s="104" t="str">
        <f t="shared" si="16"/>
        <v>APROBADO</v>
      </c>
      <c r="AB41" s="427"/>
      <c r="AC41" s="428" t="str">
        <f t="shared" si="17"/>
        <v/>
      </c>
      <c r="AD41" s="114" t="str">
        <f t="shared" si="18"/>
        <v>APROBADO</v>
      </c>
    </row>
    <row r="42" spans="1:30">
      <c r="A42" s="99">
        <v>34</v>
      </c>
      <c r="B42" s="103" t="str">
        <f>DATOS!B45</f>
        <v>VILLACRESES MUÑOZ MARIA LUCRECIA</v>
      </c>
      <c r="C42" s="156">
        <f>'J.CURSO 1ER TRIMESTRE'!Q49</f>
        <v>7.793000000000001</v>
      </c>
      <c r="D42" s="184">
        <f t="shared" si="5"/>
        <v>8</v>
      </c>
      <c r="E42" s="185" t="str">
        <f>'J.CURSO 1ER TRIMESTRE'!S49</f>
        <v>B+</v>
      </c>
      <c r="F42" s="90">
        <f t="shared" si="6"/>
        <v>2.3379000000000003</v>
      </c>
      <c r="G42" s="159">
        <f>'J.CURSO 2DO TRIMESTRE '!Q49</f>
        <v>8.5439999999999987</v>
      </c>
      <c r="H42" s="184">
        <f t="shared" si="7"/>
        <v>9</v>
      </c>
      <c r="I42" s="185" t="str">
        <f>'J.CURSO 2DO TRIMESTRE '!S49</f>
        <v>A-</v>
      </c>
      <c r="J42" s="91">
        <f t="shared" si="8"/>
        <v>2.5631999999999997</v>
      </c>
      <c r="K42" s="156">
        <f>'J.CURSO 3 ER TRIMESTRE'!Q49</f>
        <v>8.75</v>
      </c>
      <c r="L42" s="184">
        <f t="shared" si="9"/>
        <v>9</v>
      </c>
      <c r="M42" s="188" t="str">
        <f>'J.CURSO 3 ER TRIMESTRE'!S49</f>
        <v>A-</v>
      </c>
      <c r="N42" s="87">
        <f t="shared" si="10"/>
        <v>2.625</v>
      </c>
      <c r="O42" s="113">
        <f t="shared" si="11"/>
        <v>7.52</v>
      </c>
      <c r="P42" s="88">
        <f>('NOTAS 1ER TRIMESTRE'!P48+'NOTAS 2DO TRIMESTRE'!P48+'NOTAS 3 ER TRIMESTRE'!P48)/3</f>
        <v>7.3900000000000006</v>
      </c>
      <c r="Q42" s="89">
        <f t="shared" si="12"/>
        <v>0.36950000000000005</v>
      </c>
      <c r="R42" s="92">
        <v>7</v>
      </c>
      <c r="S42" s="92">
        <f t="shared" si="0"/>
        <v>0.35000000000000003</v>
      </c>
      <c r="T42" s="153">
        <f t="shared" si="1"/>
        <v>7.19</v>
      </c>
      <c r="U42" s="187">
        <f t="shared" si="13"/>
        <v>7</v>
      </c>
      <c r="V42" s="190">
        <f t="shared" si="2"/>
        <v>0.71900000000000008</v>
      </c>
      <c r="W42" s="191" t="str">
        <f t="shared" si="3"/>
        <v>B-</v>
      </c>
      <c r="X42" s="198">
        <f t="shared" si="4"/>
        <v>8.23</v>
      </c>
      <c r="Y42" s="195">
        <f t="shared" si="14"/>
        <v>8</v>
      </c>
      <c r="Z42" s="196" t="str">
        <f t="shared" si="15"/>
        <v>B+</v>
      </c>
      <c r="AA42" s="104" t="str">
        <f t="shared" si="16"/>
        <v>APROBADO</v>
      </c>
      <c r="AB42" s="427"/>
      <c r="AC42" s="428" t="str">
        <f t="shared" si="17"/>
        <v/>
      </c>
      <c r="AD42" s="114" t="str">
        <f t="shared" si="18"/>
        <v>APROBADO</v>
      </c>
    </row>
    <row r="43" spans="1:30">
      <c r="A43" s="99">
        <v>35</v>
      </c>
      <c r="B43" s="103" t="str">
        <f>DATOS!B46</f>
        <v>ZAMORA LEAL MAYKEL JOSUE</v>
      </c>
      <c r="C43" s="156">
        <f>'J.CURSO 1ER TRIMESTRE'!Q50</f>
        <v>7.0035000000000007</v>
      </c>
      <c r="D43" s="184">
        <f t="shared" si="5"/>
        <v>7</v>
      </c>
      <c r="E43" s="185" t="str">
        <f>'J.CURSO 1ER TRIMESTRE'!S50</f>
        <v>B-</v>
      </c>
      <c r="F43" s="90">
        <f t="shared" si="6"/>
        <v>2.1010500000000003</v>
      </c>
      <c r="G43" s="159">
        <f>'J.CURSO 2DO TRIMESTRE '!Q50</f>
        <v>7.0780000000000003</v>
      </c>
      <c r="H43" s="184">
        <f t="shared" si="7"/>
        <v>7</v>
      </c>
      <c r="I43" s="185" t="str">
        <f>'J.CURSO 2DO TRIMESTRE '!S50</f>
        <v>B-</v>
      </c>
      <c r="J43" s="91">
        <f t="shared" si="8"/>
        <v>2.1234000000000002</v>
      </c>
      <c r="K43" s="156">
        <f>'J.CURSO 3 ER TRIMESTRE'!Q50</f>
        <v>7.7500000000000009</v>
      </c>
      <c r="L43" s="184">
        <f t="shared" si="9"/>
        <v>8</v>
      </c>
      <c r="M43" s="188" t="str">
        <f>'J.CURSO 3 ER TRIMESTRE'!S50</f>
        <v>B+</v>
      </c>
      <c r="N43" s="87">
        <f t="shared" si="10"/>
        <v>2.3250000000000002</v>
      </c>
      <c r="O43" s="113">
        <f t="shared" si="11"/>
        <v>6.54</v>
      </c>
      <c r="P43" s="88">
        <f>('NOTAS 1ER TRIMESTRE'!P49+'NOTAS 2DO TRIMESTRE'!P49+'NOTAS 3 ER TRIMESTRE'!P49)/3</f>
        <v>6.293333333333333</v>
      </c>
      <c r="Q43" s="89">
        <f t="shared" si="12"/>
        <v>0.31466666666666665</v>
      </c>
      <c r="R43" s="92">
        <v>5</v>
      </c>
      <c r="S43" s="92">
        <f t="shared" si="0"/>
        <v>0.25</v>
      </c>
      <c r="T43" s="153">
        <f t="shared" si="1"/>
        <v>5.64</v>
      </c>
      <c r="U43" s="187">
        <f t="shared" si="13"/>
        <v>6</v>
      </c>
      <c r="V43" s="190">
        <f t="shared" si="2"/>
        <v>0.56399999999999995</v>
      </c>
      <c r="W43" s="191" t="str">
        <f t="shared" si="3"/>
        <v>C+</v>
      </c>
      <c r="X43" s="198">
        <f t="shared" si="4"/>
        <v>7.1</v>
      </c>
      <c r="Y43" s="195">
        <f t="shared" si="14"/>
        <v>7</v>
      </c>
      <c r="Z43" s="196" t="str">
        <f t="shared" si="15"/>
        <v>B-</v>
      </c>
      <c r="AA43" s="104" t="str">
        <f t="shared" si="16"/>
        <v>APROBADO</v>
      </c>
      <c r="AB43" s="427"/>
      <c r="AC43" s="428" t="str">
        <f t="shared" si="17"/>
        <v/>
      </c>
      <c r="AD43" s="114" t="str">
        <f t="shared" si="18"/>
        <v>APROBADO</v>
      </c>
    </row>
    <row r="44" spans="1:30">
      <c r="A44" s="99">
        <v>36</v>
      </c>
      <c r="B44" s="103">
        <f>DATOS!B47</f>
        <v>0</v>
      </c>
      <c r="C44" s="156" t="e">
        <f>'J.CURSO 1ER TRIMESTRE'!Q51</f>
        <v>#DIV/0!</v>
      </c>
      <c r="D44" s="184" t="e">
        <f t="shared" si="5"/>
        <v>#DIV/0!</v>
      </c>
      <c r="E44" s="185" t="e">
        <f>'J.CURSO 1ER TRIMESTRE'!S51</f>
        <v>#DIV/0!</v>
      </c>
      <c r="F44" s="90" t="e">
        <f t="shared" si="6"/>
        <v>#DIV/0!</v>
      </c>
      <c r="G44" s="159" t="e">
        <f>'J.CURSO 2DO TRIMESTRE '!Q51</f>
        <v>#DIV/0!</v>
      </c>
      <c r="H44" s="184" t="e">
        <f t="shared" si="7"/>
        <v>#DIV/0!</v>
      </c>
      <c r="I44" s="185" t="e">
        <f>'J.CURSO 2DO TRIMESTRE '!S51</f>
        <v>#DIV/0!</v>
      </c>
      <c r="J44" s="91" t="e">
        <f t="shared" si="8"/>
        <v>#DIV/0!</v>
      </c>
      <c r="K44" s="156" t="e">
        <f>'J.CURSO 3 ER TRIMESTRE'!Q51</f>
        <v>#DIV/0!</v>
      </c>
      <c r="L44" s="184" t="e">
        <f t="shared" si="9"/>
        <v>#DIV/0!</v>
      </c>
      <c r="M44" s="188" t="e">
        <f>'J.CURSO 3 ER TRIMESTRE'!S51</f>
        <v>#DIV/0!</v>
      </c>
      <c r="N44" s="87" t="e">
        <f t="shared" si="10"/>
        <v>#DIV/0!</v>
      </c>
      <c r="O44" s="113" t="e">
        <f t="shared" si="11"/>
        <v>#DIV/0!</v>
      </c>
      <c r="P44" s="88">
        <f>('NOTAS 1ER TRIMESTRE'!P50+'NOTAS 2DO TRIMESTRE'!P50+'NOTAS 3 ER TRIMESTRE'!P50)/3</f>
        <v>0</v>
      </c>
      <c r="Q44" s="89">
        <f t="shared" si="12"/>
        <v>0</v>
      </c>
      <c r="R44" s="92"/>
      <c r="S44" s="92">
        <f t="shared" si="0"/>
        <v>0</v>
      </c>
      <c r="T44" s="153">
        <f t="shared" si="1"/>
        <v>0</v>
      </c>
      <c r="U44" s="187">
        <f t="shared" si="13"/>
        <v>0</v>
      </c>
      <c r="V44" s="190">
        <f t="shared" si="2"/>
        <v>0</v>
      </c>
      <c r="W44" s="191" t="b">
        <f t="shared" si="3"/>
        <v>0</v>
      </c>
      <c r="X44" s="198" t="e">
        <f t="shared" si="4"/>
        <v>#DIV/0!</v>
      </c>
      <c r="Y44" s="195" t="e">
        <f t="shared" si="14"/>
        <v>#DIV/0!</v>
      </c>
      <c r="Z44" s="196" t="e">
        <f t="shared" si="15"/>
        <v>#DIV/0!</v>
      </c>
      <c r="AA44" s="104" t="e">
        <f t="shared" si="16"/>
        <v>#DIV/0!</v>
      </c>
      <c r="AB44" s="427"/>
      <c r="AC44" s="428" t="str">
        <f t="shared" si="17"/>
        <v/>
      </c>
      <c r="AD44" s="114" t="str">
        <f t="shared" si="18"/>
        <v>APROBADO</v>
      </c>
    </row>
    <row r="45" spans="1:30">
      <c r="A45" s="99">
        <v>37</v>
      </c>
      <c r="B45" s="103">
        <f>DATOS!B48</f>
        <v>0</v>
      </c>
      <c r="C45" s="156" t="e">
        <f>'J.CURSO 1ER TRIMESTRE'!Q52</f>
        <v>#DIV/0!</v>
      </c>
      <c r="D45" s="184" t="e">
        <f t="shared" si="5"/>
        <v>#DIV/0!</v>
      </c>
      <c r="E45" s="185" t="e">
        <f>'J.CURSO 1ER TRIMESTRE'!S52</f>
        <v>#DIV/0!</v>
      </c>
      <c r="F45" s="90" t="e">
        <f t="shared" si="6"/>
        <v>#DIV/0!</v>
      </c>
      <c r="G45" s="159" t="e">
        <f>'J.CURSO 2DO TRIMESTRE '!Q52</f>
        <v>#DIV/0!</v>
      </c>
      <c r="H45" s="184" t="e">
        <f t="shared" si="7"/>
        <v>#DIV/0!</v>
      </c>
      <c r="I45" s="185" t="e">
        <f>'J.CURSO 2DO TRIMESTRE '!S52</f>
        <v>#DIV/0!</v>
      </c>
      <c r="J45" s="91" t="e">
        <f t="shared" si="8"/>
        <v>#DIV/0!</v>
      </c>
      <c r="K45" s="156" t="e">
        <f>'J.CURSO 3 ER TRIMESTRE'!Q52</f>
        <v>#DIV/0!</v>
      </c>
      <c r="L45" s="184" t="e">
        <f t="shared" si="9"/>
        <v>#DIV/0!</v>
      </c>
      <c r="M45" s="188" t="e">
        <f>'J.CURSO 3 ER TRIMESTRE'!S52</f>
        <v>#DIV/0!</v>
      </c>
      <c r="N45" s="87" t="e">
        <f t="shared" si="10"/>
        <v>#DIV/0!</v>
      </c>
      <c r="O45" s="113" t="e">
        <f t="shared" si="11"/>
        <v>#DIV/0!</v>
      </c>
      <c r="P45" s="88">
        <f>('NOTAS 1ER TRIMESTRE'!P51+'NOTAS 2DO TRIMESTRE'!P51+'NOTAS 3 ER TRIMESTRE'!P51)/3</f>
        <v>0</v>
      </c>
      <c r="Q45" s="89">
        <f t="shared" si="12"/>
        <v>0</v>
      </c>
      <c r="R45" s="92"/>
      <c r="S45" s="92">
        <f t="shared" si="0"/>
        <v>0</v>
      </c>
      <c r="T45" s="153">
        <f t="shared" si="1"/>
        <v>0</v>
      </c>
      <c r="U45" s="187">
        <f t="shared" si="13"/>
        <v>0</v>
      </c>
      <c r="V45" s="190">
        <f t="shared" si="2"/>
        <v>0</v>
      </c>
      <c r="W45" s="191" t="b">
        <f t="shared" si="3"/>
        <v>0</v>
      </c>
      <c r="X45" s="198" t="e">
        <f t="shared" si="4"/>
        <v>#DIV/0!</v>
      </c>
      <c r="Y45" s="195" t="e">
        <f t="shared" si="14"/>
        <v>#DIV/0!</v>
      </c>
      <c r="Z45" s="196" t="e">
        <f t="shared" si="15"/>
        <v>#DIV/0!</v>
      </c>
      <c r="AA45" s="104" t="e">
        <f t="shared" si="16"/>
        <v>#DIV/0!</v>
      </c>
      <c r="AB45" s="427"/>
      <c r="AC45" s="428" t="str">
        <f t="shared" si="17"/>
        <v/>
      </c>
      <c r="AD45" s="114" t="str">
        <f t="shared" si="18"/>
        <v>APROBADO</v>
      </c>
    </row>
    <row r="46" spans="1:30">
      <c r="A46" s="99">
        <v>38</v>
      </c>
      <c r="B46" s="103">
        <f>DATOS!B49</f>
        <v>0</v>
      </c>
      <c r="C46" s="156" t="e">
        <f>'J.CURSO 1ER TRIMESTRE'!Q53</f>
        <v>#DIV/0!</v>
      </c>
      <c r="D46" s="184" t="e">
        <f t="shared" si="5"/>
        <v>#DIV/0!</v>
      </c>
      <c r="E46" s="185" t="e">
        <f>'J.CURSO 1ER TRIMESTRE'!S53</f>
        <v>#DIV/0!</v>
      </c>
      <c r="F46" s="90" t="e">
        <f t="shared" si="6"/>
        <v>#DIV/0!</v>
      </c>
      <c r="G46" s="159" t="e">
        <f>'J.CURSO 2DO TRIMESTRE '!Q53</f>
        <v>#DIV/0!</v>
      </c>
      <c r="H46" s="184" t="e">
        <f t="shared" si="7"/>
        <v>#DIV/0!</v>
      </c>
      <c r="I46" s="185" t="e">
        <f>'J.CURSO 2DO TRIMESTRE '!S53</f>
        <v>#DIV/0!</v>
      </c>
      <c r="J46" s="91" t="e">
        <f t="shared" si="8"/>
        <v>#DIV/0!</v>
      </c>
      <c r="K46" s="156" t="e">
        <f>'J.CURSO 3 ER TRIMESTRE'!Q53</f>
        <v>#DIV/0!</v>
      </c>
      <c r="L46" s="184" t="e">
        <f t="shared" si="9"/>
        <v>#DIV/0!</v>
      </c>
      <c r="M46" s="188" t="e">
        <f>'J.CURSO 3 ER TRIMESTRE'!S53</f>
        <v>#DIV/0!</v>
      </c>
      <c r="N46" s="87" t="e">
        <f t="shared" si="10"/>
        <v>#DIV/0!</v>
      </c>
      <c r="O46" s="113" t="e">
        <f t="shared" si="11"/>
        <v>#DIV/0!</v>
      </c>
      <c r="P46" s="88">
        <f>('NOTAS 1ER TRIMESTRE'!P52+'NOTAS 2DO TRIMESTRE'!P52+'NOTAS 3 ER TRIMESTRE'!P52)/3</f>
        <v>0</v>
      </c>
      <c r="Q46" s="89">
        <f t="shared" si="12"/>
        <v>0</v>
      </c>
      <c r="R46" s="92"/>
      <c r="S46" s="92">
        <f t="shared" si="0"/>
        <v>0</v>
      </c>
      <c r="T46" s="153">
        <f t="shared" si="1"/>
        <v>0</v>
      </c>
      <c r="U46" s="187">
        <f t="shared" si="13"/>
        <v>0</v>
      </c>
      <c r="V46" s="190">
        <f t="shared" si="2"/>
        <v>0</v>
      </c>
      <c r="W46" s="191" t="b">
        <f t="shared" si="3"/>
        <v>0</v>
      </c>
      <c r="X46" s="198" t="e">
        <f t="shared" si="4"/>
        <v>#DIV/0!</v>
      </c>
      <c r="Y46" s="195" t="e">
        <f t="shared" si="14"/>
        <v>#DIV/0!</v>
      </c>
      <c r="Z46" s="196" t="e">
        <f t="shared" si="15"/>
        <v>#DIV/0!</v>
      </c>
      <c r="AA46" s="104" t="e">
        <f t="shared" si="16"/>
        <v>#DIV/0!</v>
      </c>
      <c r="AB46" s="427"/>
      <c r="AC46" s="428" t="str">
        <f t="shared" si="17"/>
        <v/>
      </c>
      <c r="AD46" s="114" t="str">
        <f t="shared" si="18"/>
        <v>APROBADO</v>
      </c>
    </row>
    <row r="47" spans="1:30">
      <c r="A47" s="99">
        <v>39</v>
      </c>
      <c r="B47" s="103">
        <f>DATOS!B50</f>
        <v>0</v>
      </c>
      <c r="C47" s="156" t="e">
        <f>'J.CURSO 1ER TRIMESTRE'!Q54</f>
        <v>#DIV/0!</v>
      </c>
      <c r="D47" s="184" t="e">
        <f t="shared" si="5"/>
        <v>#DIV/0!</v>
      </c>
      <c r="E47" s="185" t="e">
        <f>'J.CURSO 1ER TRIMESTRE'!S54</f>
        <v>#DIV/0!</v>
      </c>
      <c r="F47" s="90" t="e">
        <f t="shared" si="6"/>
        <v>#DIV/0!</v>
      </c>
      <c r="G47" s="159" t="e">
        <f>'J.CURSO 2DO TRIMESTRE '!Q54</f>
        <v>#DIV/0!</v>
      </c>
      <c r="H47" s="184" t="e">
        <f t="shared" si="7"/>
        <v>#DIV/0!</v>
      </c>
      <c r="I47" s="185" t="e">
        <f>'J.CURSO 2DO TRIMESTRE '!S54</f>
        <v>#DIV/0!</v>
      </c>
      <c r="J47" s="91" t="e">
        <f t="shared" si="8"/>
        <v>#DIV/0!</v>
      </c>
      <c r="K47" s="156" t="e">
        <f>'J.CURSO 3 ER TRIMESTRE'!Q54</f>
        <v>#DIV/0!</v>
      </c>
      <c r="L47" s="184" t="e">
        <f t="shared" si="9"/>
        <v>#DIV/0!</v>
      </c>
      <c r="M47" s="188" t="e">
        <f>'J.CURSO 3 ER TRIMESTRE'!S54</f>
        <v>#DIV/0!</v>
      </c>
      <c r="N47" s="87" t="e">
        <f t="shared" si="10"/>
        <v>#DIV/0!</v>
      </c>
      <c r="O47" s="113" t="e">
        <f t="shared" si="11"/>
        <v>#DIV/0!</v>
      </c>
      <c r="P47" s="88">
        <f>('NOTAS 1ER TRIMESTRE'!P53+'NOTAS 2DO TRIMESTRE'!P53+'NOTAS 3 ER TRIMESTRE'!P53)/3</f>
        <v>0</v>
      </c>
      <c r="Q47" s="89">
        <f t="shared" si="12"/>
        <v>0</v>
      </c>
      <c r="R47" s="92"/>
      <c r="S47" s="92">
        <f t="shared" si="0"/>
        <v>0</v>
      </c>
      <c r="T47" s="153">
        <f t="shared" si="1"/>
        <v>0</v>
      </c>
      <c r="U47" s="187">
        <f t="shared" si="13"/>
        <v>0</v>
      </c>
      <c r="V47" s="190">
        <f t="shared" si="2"/>
        <v>0</v>
      </c>
      <c r="W47" s="191" t="b">
        <f t="shared" si="3"/>
        <v>0</v>
      </c>
      <c r="X47" s="198" t="e">
        <f t="shared" si="4"/>
        <v>#DIV/0!</v>
      </c>
      <c r="Y47" s="195" t="e">
        <f t="shared" si="14"/>
        <v>#DIV/0!</v>
      </c>
      <c r="Z47" s="196" t="e">
        <f t="shared" si="15"/>
        <v>#DIV/0!</v>
      </c>
      <c r="AA47" s="104" t="e">
        <f t="shared" si="16"/>
        <v>#DIV/0!</v>
      </c>
      <c r="AB47" s="427"/>
      <c r="AC47" s="428" t="str">
        <f t="shared" si="17"/>
        <v/>
      </c>
      <c r="AD47" s="114" t="str">
        <f t="shared" si="18"/>
        <v>APROBADO</v>
      </c>
    </row>
    <row r="48" spans="1:30">
      <c r="A48" s="99">
        <v>40</v>
      </c>
      <c r="B48" s="103">
        <f>DATOS!B51</f>
        <v>0</v>
      </c>
      <c r="C48" s="156" t="e">
        <f>'J.CURSO 1ER TRIMESTRE'!Q55</f>
        <v>#DIV/0!</v>
      </c>
      <c r="D48" s="184" t="e">
        <f t="shared" si="5"/>
        <v>#DIV/0!</v>
      </c>
      <c r="E48" s="185" t="e">
        <f>'J.CURSO 1ER TRIMESTRE'!S55</f>
        <v>#DIV/0!</v>
      </c>
      <c r="F48" s="90" t="e">
        <f t="shared" si="6"/>
        <v>#DIV/0!</v>
      </c>
      <c r="G48" s="159" t="e">
        <f>'J.CURSO 2DO TRIMESTRE '!Q55</f>
        <v>#DIV/0!</v>
      </c>
      <c r="H48" s="184" t="e">
        <f t="shared" si="7"/>
        <v>#DIV/0!</v>
      </c>
      <c r="I48" s="185" t="e">
        <f>'J.CURSO 2DO TRIMESTRE '!S55</f>
        <v>#DIV/0!</v>
      </c>
      <c r="J48" s="91" t="e">
        <f t="shared" si="8"/>
        <v>#DIV/0!</v>
      </c>
      <c r="K48" s="156" t="e">
        <f>'J.CURSO 3 ER TRIMESTRE'!Q55</f>
        <v>#DIV/0!</v>
      </c>
      <c r="L48" s="184" t="e">
        <f t="shared" si="9"/>
        <v>#DIV/0!</v>
      </c>
      <c r="M48" s="188" t="e">
        <f>'J.CURSO 3 ER TRIMESTRE'!S55</f>
        <v>#DIV/0!</v>
      </c>
      <c r="N48" s="87" t="e">
        <f t="shared" si="10"/>
        <v>#DIV/0!</v>
      </c>
      <c r="O48" s="113" t="e">
        <f t="shared" si="11"/>
        <v>#DIV/0!</v>
      </c>
      <c r="P48" s="88">
        <f>('NOTAS 1ER TRIMESTRE'!P54+'NOTAS 2DO TRIMESTRE'!P54+'NOTAS 3 ER TRIMESTRE'!P54)/3</f>
        <v>0</v>
      </c>
      <c r="Q48" s="89">
        <f t="shared" si="12"/>
        <v>0</v>
      </c>
      <c r="R48" s="92"/>
      <c r="S48" s="92">
        <f t="shared" si="0"/>
        <v>0</v>
      </c>
      <c r="T48" s="153">
        <f t="shared" si="1"/>
        <v>0</v>
      </c>
      <c r="U48" s="187">
        <f t="shared" si="13"/>
        <v>0</v>
      </c>
      <c r="V48" s="190">
        <f t="shared" si="2"/>
        <v>0</v>
      </c>
      <c r="W48" s="191" t="b">
        <f t="shared" si="3"/>
        <v>0</v>
      </c>
      <c r="X48" s="198" t="e">
        <f t="shared" si="4"/>
        <v>#DIV/0!</v>
      </c>
      <c r="Y48" s="195" t="e">
        <f t="shared" si="14"/>
        <v>#DIV/0!</v>
      </c>
      <c r="Z48" s="196" t="e">
        <f t="shared" si="15"/>
        <v>#DIV/0!</v>
      </c>
      <c r="AA48" s="104" t="e">
        <f t="shared" si="16"/>
        <v>#DIV/0!</v>
      </c>
      <c r="AB48" s="427"/>
      <c r="AC48" s="428" t="str">
        <f t="shared" si="17"/>
        <v/>
      </c>
      <c r="AD48" s="114" t="str">
        <f t="shared" si="18"/>
        <v>APROBADO</v>
      </c>
    </row>
    <row r="49" spans="1:30">
      <c r="A49" s="99">
        <v>41</v>
      </c>
      <c r="B49" s="103">
        <f>DATOS!B52</f>
        <v>0</v>
      </c>
      <c r="C49" s="156" t="e">
        <f>'J.CURSO 1ER TRIMESTRE'!Q56</f>
        <v>#DIV/0!</v>
      </c>
      <c r="D49" s="184" t="e">
        <f t="shared" si="5"/>
        <v>#DIV/0!</v>
      </c>
      <c r="E49" s="185" t="e">
        <f>'J.CURSO 1ER TRIMESTRE'!S56</f>
        <v>#DIV/0!</v>
      </c>
      <c r="F49" s="90" t="e">
        <f t="shared" si="6"/>
        <v>#DIV/0!</v>
      </c>
      <c r="G49" s="159" t="e">
        <f>'J.CURSO 2DO TRIMESTRE '!Q56</f>
        <v>#DIV/0!</v>
      </c>
      <c r="H49" s="184" t="e">
        <f t="shared" si="7"/>
        <v>#DIV/0!</v>
      </c>
      <c r="I49" s="185" t="e">
        <f>'J.CURSO 2DO TRIMESTRE '!S56</f>
        <v>#DIV/0!</v>
      </c>
      <c r="J49" s="91" t="e">
        <f t="shared" si="8"/>
        <v>#DIV/0!</v>
      </c>
      <c r="K49" s="156" t="e">
        <f>'J.CURSO 3 ER TRIMESTRE'!Q56</f>
        <v>#DIV/0!</v>
      </c>
      <c r="L49" s="184" t="e">
        <f t="shared" si="9"/>
        <v>#DIV/0!</v>
      </c>
      <c r="M49" s="188" t="e">
        <f>'J.CURSO 3 ER TRIMESTRE'!S56</f>
        <v>#DIV/0!</v>
      </c>
      <c r="N49" s="87" t="e">
        <f t="shared" si="10"/>
        <v>#DIV/0!</v>
      </c>
      <c r="O49" s="113" t="e">
        <f t="shared" si="11"/>
        <v>#DIV/0!</v>
      </c>
      <c r="P49" s="88">
        <f>('NOTAS 1ER TRIMESTRE'!P55+'NOTAS 2DO TRIMESTRE'!P55+'NOTAS 3 ER TRIMESTRE'!P55)/3</f>
        <v>0</v>
      </c>
      <c r="Q49" s="89">
        <f t="shared" si="12"/>
        <v>0</v>
      </c>
      <c r="R49" s="92"/>
      <c r="S49" s="92">
        <f t="shared" si="0"/>
        <v>0</v>
      </c>
      <c r="T49" s="153">
        <f t="shared" si="1"/>
        <v>0</v>
      </c>
      <c r="U49" s="187">
        <f t="shared" si="13"/>
        <v>0</v>
      </c>
      <c r="V49" s="190">
        <f t="shared" si="2"/>
        <v>0</v>
      </c>
      <c r="W49" s="191" t="b">
        <f t="shared" si="3"/>
        <v>0</v>
      </c>
      <c r="X49" s="198" t="e">
        <f t="shared" si="4"/>
        <v>#DIV/0!</v>
      </c>
      <c r="Y49" s="195" t="e">
        <f t="shared" si="14"/>
        <v>#DIV/0!</v>
      </c>
      <c r="Z49" s="196" t="e">
        <f t="shared" si="15"/>
        <v>#DIV/0!</v>
      </c>
      <c r="AA49" s="104" t="e">
        <f t="shared" si="16"/>
        <v>#DIV/0!</v>
      </c>
      <c r="AB49" s="427"/>
      <c r="AC49" s="428" t="str">
        <f t="shared" si="17"/>
        <v/>
      </c>
      <c r="AD49" s="114" t="str">
        <f t="shared" si="18"/>
        <v>APROBADO</v>
      </c>
    </row>
    <row r="50" spans="1:30">
      <c r="A50" s="99">
        <v>42</v>
      </c>
      <c r="B50" s="103">
        <f>DATOS!B53</f>
        <v>0</v>
      </c>
      <c r="C50" s="156" t="e">
        <f>'J.CURSO 1ER TRIMESTRE'!Q57</f>
        <v>#DIV/0!</v>
      </c>
      <c r="D50" s="184" t="e">
        <f t="shared" si="5"/>
        <v>#DIV/0!</v>
      </c>
      <c r="E50" s="185" t="e">
        <f>'J.CURSO 1ER TRIMESTRE'!S57</f>
        <v>#DIV/0!</v>
      </c>
      <c r="F50" s="90" t="e">
        <f t="shared" si="6"/>
        <v>#DIV/0!</v>
      </c>
      <c r="G50" s="159" t="e">
        <f>'J.CURSO 2DO TRIMESTRE '!Q57</f>
        <v>#DIV/0!</v>
      </c>
      <c r="H50" s="184" t="e">
        <f t="shared" si="7"/>
        <v>#DIV/0!</v>
      </c>
      <c r="I50" s="185" t="e">
        <f>'J.CURSO 2DO TRIMESTRE '!S57</f>
        <v>#DIV/0!</v>
      </c>
      <c r="J50" s="91" t="e">
        <f t="shared" si="8"/>
        <v>#DIV/0!</v>
      </c>
      <c r="K50" s="156" t="e">
        <f>'J.CURSO 3 ER TRIMESTRE'!Q57</f>
        <v>#DIV/0!</v>
      </c>
      <c r="L50" s="184" t="e">
        <f t="shared" si="9"/>
        <v>#DIV/0!</v>
      </c>
      <c r="M50" s="188" t="e">
        <f>'J.CURSO 3 ER TRIMESTRE'!S57</f>
        <v>#DIV/0!</v>
      </c>
      <c r="N50" s="87" t="e">
        <f t="shared" si="10"/>
        <v>#DIV/0!</v>
      </c>
      <c r="O50" s="113" t="e">
        <f t="shared" si="11"/>
        <v>#DIV/0!</v>
      </c>
      <c r="P50" s="88">
        <f>('NOTAS 1ER TRIMESTRE'!P56+'NOTAS 2DO TRIMESTRE'!P56+'NOTAS 3 ER TRIMESTRE'!P56)/3</f>
        <v>0</v>
      </c>
      <c r="Q50" s="89">
        <f t="shared" si="12"/>
        <v>0</v>
      </c>
      <c r="R50" s="92"/>
      <c r="S50" s="92">
        <f t="shared" si="0"/>
        <v>0</v>
      </c>
      <c r="T50" s="153">
        <f t="shared" si="1"/>
        <v>0</v>
      </c>
      <c r="U50" s="187">
        <f t="shared" si="13"/>
        <v>0</v>
      </c>
      <c r="V50" s="190">
        <f t="shared" si="2"/>
        <v>0</v>
      </c>
      <c r="W50" s="191" t="b">
        <f t="shared" si="3"/>
        <v>0</v>
      </c>
      <c r="X50" s="198" t="e">
        <f t="shared" si="4"/>
        <v>#DIV/0!</v>
      </c>
      <c r="Y50" s="195" t="e">
        <f t="shared" si="14"/>
        <v>#DIV/0!</v>
      </c>
      <c r="Z50" s="196" t="e">
        <f t="shared" si="15"/>
        <v>#DIV/0!</v>
      </c>
      <c r="AA50" s="104" t="e">
        <f t="shared" si="16"/>
        <v>#DIV/0!</v>
      </c>
      <c r="AB50" s="427"/>
      <c r="AC50" s="428" t="str">
        <f t="shared" si="17"/>
        <v/>
      </c>
      <c r="AD50" s="114" t="str">
        <f t="shared" si="18"/>
        <v>APROBADO</v>
      </c>
    </row>
    <row r="51" spans="1:30">
      <c r="A51" s="99">
        <v>43</v>
      </c>
      <c r="B51" s="103">
        <f>DATOS!B54</f>
        <v>0</v>
      </c>
      <c r="C51" s="156" t="e">
        <f>'J.CURSO 1ER TRIMESTRE'!Q58</f>
        <v>#DIV/0!</v>
      </c>
      <c r="D51" s="184" t="e">
        <f t="shared" si="5"/>
        <v>#DIV/0!</v>
      </c>
      <c r="E51" s="185" t="e">
        <f>'J.CURSO 1ER TRIMESTRE'!S58</f>
        <v>#DIV/0!</v>
      </c>
      <c r="F51" s="90" t="e">
        <f t="shared" si="6"/>
        <v>#DIV/0!</v>
      </c>
      <c r="G51" s="159" t="e">
        <f>'J.CURSO 2DO TRIMESTRE '!Q58</f>
        <v>#DIV/0!</v>
      </c>
      <c r="H51" s="184" t="e">
        <f t="shared" si="7"/>
        <v>#DIV/0!</v>
      </c>
      <c r="I51" s="185" t="e">
        <f>'J.CURSO 2DO TRIMESTRE '!S58</f>
        <v>#DIV/0!</v>
      </c>
      <c r="J51" s="91" t="e">
        <f t="shared" si="8"/>
        <v>#DIV/0!</v>
      </c>
      <c r="K51" s="156" t="e">
        <f>'J.CURSO 3 ER TRIMESTRE'!Q58</f>
        <v>#DIV/0!</v>
      </c>
      <c r="L51" s="184" t="e">
        <f t="shared" si="9"/>
        <v>#DIV/0!</v>
      </c>
      <c r="M51" s="188" t="e">
        <f>'J.CURSO 3 ER TRIMESTRE'!S58</f>
        <v>#DIV/0!</v>
      </c>
      <c r="N51" s="87" t="e">
        <f t="shared" si="10"/>
        <v>#DIV/0!</v>
      </c>
      <c r="O51" s="113" t="e">
        <f t="shared" si="11"/>
        <v>#DIV/0!</v>
      </c>
      <c r="P51" s="88">
        <f>('NOTAS 1ER TRIMESTRE'!P57+'NOTAS 2DO TRIMESTRE'!P57+'NOTAS 3 ER TRIMESTRE'!P57)/3</f>
        <v>0</v>
      </c>
      <c r="Q51" s="89">
        <f t="shared" si="12"/>
        <v>0</v>
      </c>
      <c r="R51" s="92"/>
      <c r="S51" s="92">
        <f t="shared" si="0"/>
        <v>0</v>
      </c>
      <c r="T51" s="153">
        <f t="shared" si="1"/>
        <v>0</v>
      </c>
      <c r="U51" s="187">
        <f t="shared" si="13"/>
        <v>0</v>
      </c>
      <c r="V51" s="190">
        <f t="shared" si="2"/>
        <v>0</v>
      </c>
      <c r="W51" s="191" t="b">
        <f t="shared" si="3"/>
        <v>0</v>
      </c>
      <c r="X51" s="198" t="e">
        <f t="shared" si="4"/>
        <v>#DIV/0!</v>
      </c>
      <c r="Y51" s="195" t="e">
        <f t="shared" si="14"/>
        <v>#DIV/0!</v>
      </c>
      <c r="Z51" s="196" t="e">
        <f t="shared" si="15"/>
        <v>#DIV/0!</v>
      </c>
      <c r="AA51" s="104" t="e">
        <f t="shared" si="16"/>
        <v>#DIV/0!</v>
      </c>
      <c r="AB51" s="427"/>
      <c r="AC51" s="428" t="str">
        <f t="shared" si="17"/>
        <v/>
      </c>
      <c r="AD51" s="114" t="str">
        <f t="shared" si="18"/>
        <v>APROBADO</v>
      </c>
    </row>
    <row r="52" spans="1:30">
      <c r="A52" s="99">
        <v>44</v>
      </c>
      <c r="B52" s="103">
        <f>DATOS!B55</f>
        <v>0</v>
      </c>
      <c r="C52" s="156" t="e">
        <f>'J.CURSO 1ER TRIMESTRE'!Q59</f>
        <v>#DIV/0!</v>
      </c>
      <c r="D52" s="184" t="e">
        <f t="shared" si="5"/>
        <v>#DIV/0!</v>
      </c>
      <c r="E52" s="185" t="e">
        <f>'J.CURSO 1ER TRIMESTRE'!S59</f>
        <v>#DIV/0!</v>
      </c>
      <c r="F52" s="90" t="e">
        <f t="shared" si="6"/>
        <v>#DIV/0!</v>
      </c>
      <c r="G52" s="159" t="e">
        <f>'J.CURSO 2DO TRIMESTRE '!Q59</f>
        <v>#DIV/0!</v>
      </c>
      <c r="H52" s="184" t="e">
        <f t="shared" si="7"/>
        <v>#DIV/0!</v>
      </c>
      <c r="I52" s="185" t="e">
        <f>'J.CURSO 2DO TRIMESTRE '!S59</f>
        <v>#DIV/0!</v>
      </c>
      <c r="J52" s="91" t="e">
        <f t="shared" si="8"/>
        <v>#DIV/0!</v>
      </c>
      <c r="K52" s="156" t="e">
        <f>'J.CURSO 3 ER TRIMESTRE'!Q59</f>
        <v>#DIV/0!</v>
      </c>
      <c r="L52" s="184" t="e">
        <f t="shared" si="9"/>
        <v>#DIV/0!</v>
      </c>
      <c r="M52" s="188" t="e">
        <f>'J.CURSO 3 ER TRIMESTRE'!S59</f>
        <v>#DIV/0!</v>
      </c>
      <c r="N52" s="87" t="e">
        <f t="shared" si="10"/>
        <v>#DIV/0!</v>
      </c>
      <c r="O52" s="113" t="e">
        <f t="shared" si="11"/>
        <v>#DIV/0!</v>
      </c>
      <c r="P52" s="88">
        <f>('NOTAS 1ER TRIMESTRE'!P58+'NOTAS 2DO TRIMESTRE'!P58+'NOTAS 3 ER TRIMESTRE'!P58)/3</f>
        <v>0</v>
      </c>
      <c r="Q52" s="89">
        <f t="shared" si="12"/>
        <v>0</v>
      </c>
      <c r="R52" s="92"/>
      <c r="S52" s="92">
        <f t="shared" si="0"/>
        <v>0</v>
      </c>
      <c r="T52" s="153">
        <f t="shared" si="1"/>
        <v>0</v>
      </c>
      <c r="U52" s="187">
        <f t="shared" si="13"/>
        <v>0</v>
      </c>
      <c r="V52" s="190">
        <f t="shared" si="2"/>
        <v>0</v>
      </c>
      <c r="W52" s="191" t="b">
        <f t="shared" si="3"/>
        <v>0</v>
      </c>
      <c r="X52" s="198" t="e">
        <f t="shared" si="4"/>
        <v>#DIV/0!</v>
      </c>
      <c r="Y52" s="195" t="e">
        <f t="shared" si="14"/>
        <v>#DIV/0!</v>
      </c>
      <c r="Z52" s="196" t="e">
        <f t="shared" si="15"/>
        <v>#DIV/0!</v>
      </c>
      <c r="AA52" s="104" t="e">
        <f t="shared" si="16"/>
        <v>#DIV/0!</v>
      </c>
      <c r="AB52" s="427"/>
      <c r="AC52" s="428" t="str">
        <f t="shared" si="17"/>
        <v/>
      </c>
      <c r="AD52" s="114" t="str">
        <f t="shared" si="18"/>
        <v>APROBADO</v>
      </c>
    </row>
    <row r="53" spans="1:30" ht="15.75" thickBot="1">
      <c r="A53" s="100">
        <v>45</v>
      </c>
      <c r="B53" s="117">
        <f>DATOS!B56</f>
        <v>0</v>
      </c>
      <c r="C53" s="157" t="e">
        <f>'J.CURSO 1ER TRIMESTRE'!Q60</f>
        <v>#DIV/0!</v>
      </c>
      <c r="D53" s="184" t="e">
        <f t="shared" si="5"/>
        <v>#DIV/0!</v>
      </c>
      <c r="E53" s="186" t="e">
        <f>'J.CURSO 1ER TRIMESTRE'!S60</f>
        <v>#DIV/0!</v>
      </c>
      <c r="F53" s="119" t="e">
        <f t="shared" si="6"/>
        <v>#DIV/0!</v>
      </c>
      <c r="G53" s="160" t="e">
        <f>'J.CURSO 2DO TRIMESTRE '!Q60</f>
        <v>#DIV/0!</v>
      </c>
      <c r="H53" s="184" t="e">
        <f t="shared" si="7"/>
        <v>#DIV/0!</v>
      </c>
      <c r="I53" s="186" t="e">
        <f>'J.CURSO 2DO TRIMESTRE '!S60</f>
        <v>#DIV/0!</v>
      </c>
      <c r="J53" s="120" t="e">
        <f t="shared" si="8"/>
        <v>#DIV/0!</v>
      </c>
      <c r="K53" s="157" t="e">
        <f>'J.CURSO 3 ER TRIMESTRE'!Q60</f>
        <v>#DIV/0!</v>
      </c>
      <c r="L53" s="184" t="e">
        <f t="shared" si="9"/>
        <v>#DIV/0!</v>
      </c>
      <c r="M53" s="189" t="e">
        <f>'J.CURSO 3 ER TRIMESTRE'!S60</f>
        <v>#DIV/0!</v>
      </c>
      <c r="N53" s="121" t="e">
        <f t="shared" si="10"/>
        <v>#DIV/0!</v>
      </c>
      <c r="O53" s="113" t="e">
        <f t="shared" si="11"/>
        <v>#DIV/0!</v>
      </c>
      <c r="P53" s="122">
        <f>('NOTAS 1ER TRIMESTRE'!P59+'NOTAS 2DO TRIMESTRE'!P59+'NOTAS 3 ER TRIMESTRE'!P59)/3</f>
        <v>0</v>
      </c>
      <c r="Q53" s="118">
        <f t="shared" si="12"/>
        <v>0</v>
      </c>
      <c r="R53" s="92"/>
      <c r="S53" s="123">
        <f t="shared" si="0"/>
        <v>0</v>
      </c>
      <c r="T53" s="153">
        <f t="shared" si="1"/>
        <v>0</v>
      </c>
      <c r="U53" s="187">
        <f t="shared" si="13"/>
        <v>0</v>
      </c>
      <c r="V53" s="190">
        <f t="shared" si="2"/>
        <v>0</v>
      </c>
      <c r="W53" s="191" t="b">
        <f t="shared" si="3"/>
        <v>0</v>
      </c>
      <c r="X53" s="198" t="e">
        <f t="shared" si="4"/>
        <v>#DIV/0!</v>
      </c>
      <c r="Y53" s="195" t="e">
        <f t="shared" si="14"/>
        <v>#DIV/0!</v>
      </c>
      <c r="Z53" s="196" t="e">
        <f t="shared" si="15"/>
        <v>#DIV/0!</v>
      </c>
      <c r="AA53" s="124" t="e">
        <f t="shared" si="16"/>
        <v>#DIV/0!</v>
      </c>
      <c r="AB53" s="429"/>
      <c r="AC53" s="428" t="str">
        <f t="shared" si="17"/>
        <v/>
      </c>
      <c r="AD53" s="125" t="str">
        <f t="shared" si="18"/>
        <v>APROBADO</v>
      </c>
    </row>
    <row r="54" spans="1:30" ht="16.5" thickBot="1">
      <c r="A54" s="116"/>
      <c r="B54" s="126"/>
      <c r="C54" s="420"/>
      <c r="D54" s="420"/>
      <c r="E54" s="420"/>
      <c r="F54" s="127"/>
      <c r="G54" s="421"/>
      <c r="H54" s="422"/>
      <c r="I54" s="128"/>
      <c r="J54" s="128"/>
      <c r="K54" s="128"/>
      <c r="L54" s="423">
        <f t="shared" ref="L54" si="19">TRUNC(K54)</f>
        <v>0</v>
      </c>
      <c r="M54" s="424"/>
      <c r="N54" s="351" t="s">
        <v>116</v>
      </c>
      <c r="O54" s="352"/>
      <c r="P54" s="352"/>
      <c r="Q54" s="352"/>
      <c r="R54" s="352"/>
      <c r="S54" s="352"/>
      <c r="T54" s="352"/>
      <c r="U54" s="353"/>
      <c r="V54" s="352"/>
      <c r="W54" s="354"/>
      <c r="X54" s="199">
        <f>AVERAGEIF(X9:X53,"&gt;0",X9:X53)</f>
        <v>8.1862857142857148</v>
      </c>
      <c r="Y54" s="419">
        <f>ROUND(X54,0)</f>
        <v>8</v>
      </c>
      <c r="Z54" s="197" t="str">
        <f t="shared" ref="Z54" si="20">IF(ROUND(X54,0)=10,"A+",IF(ROUND(X54,0)=9,"A-",IF(ROUND(X54,0)=8,"B+",IF(ROUND(X54,0)=7,"B-",IF(ROUND(X54,0)=6,"C+",IF(ROUND(X54,0)=5,"C-",IF(ROUND(X54,0)=4,"D+",IF(ROUND(X54,0)=3,"D-",IF(ROUND(X54,0)=2,"E+",IF(ROUND(X54,0)=1,"E-"))))))))))</f>
        <v>B+</v>
      </c>
      <c r="AA54" s="130"/>
      <c r="AB54" s="131"/>
      <c r="AC54" s="129"/>
      <c r="AD54" s="130"/>
    </row>
    <row r="55" spans="1:30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</row>
    <row r="56" spans="1:30">
      <c r="A56" s="80"/>
      <c r="B56" s="405" t="s">
        <v>68</v>
      </c>
      <c r="C56" s="406" t="s">
        <v>72</v>
      </c>
      <c r="D56" s="406"/>
      <c r="E56" s="406"/>
      <c r="F56" s="405" t="s">
        <v>73</v>
      </c>
      <c r="G56" s="407" t="s">
        <v>114</v>
      </c>
      <c r="H56" s="407"/>
      <c r="I56" s="407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</row>
    <row r="57" spans="1:30">
      <c r="A57" s="80"/>
      <c r="B57" s="405"/>
      <c r="C57" s="406"/>
      <c r="D57" s="406"/>
      <c r="E57" s="406"/>
      <c r="F57" s="405"/>
      <c r="G57" s="407"/>
      <c r="H57" s="407"/>
      <c r="I57" s="407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</row>
    <row r="58" spans="1:30">
      <c r="A58" s="80"/>
      <c r="B58" s="414" t="s">
        <v>69</v>
      </c>
      <c r="C58" s="414" t="s">
        <v>74</v>
      </c>
      <c r="D58" s="414"/>
      <c r="E58" s="414"/>
      <c r="F58" s="161" t="s">
        <v>70</v>
      </c>
      <c r="G58" s="415">
        <f>COUNTIF(Z9:Z53,"A+")</f>
        <v>1</v>
      </c>
      <c r="H58" s="415"/>
      <c r="I58" s="415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</row>
    <row r="59" spans="1:30">
      <c r="A59" s="80"/>
      <c r="B59" s="414"/>
      <c r="C59" s="414"/>
      <c r="D59" s="414"/>
      <c r="E59" s="414"/>
      <c r="F59" s="161" t="s">
        <v>71</v>
      </c>
      <c r="G59" s="415">
        <f>COUNTIF(Z9:Z53,"A-")</f>
        <v>11</v>
      </c>
      <c r="H59" s="415"/>
      <c r="I59" s="415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</row>
    <row r="60" spans="1:30">
      <c r="A60" s="80"/>
      <c r="B60" s="414" t="s">
        <v>78</v>
      </c>
      <c r="C60" s="414" t="s">
        <v>75</v>
      </c>
      <c r="D60" s="414"/>
      <c r="E60" s="414"/>
      <c r="F60" s="161" t="s">
        <v>83</v>
      </c>
      <c r="G60" s="415">
        <f>COUNTIF(Z9:Z53,"B+")</f>
        <v>15</v>
      </c>
      <c r="H60" s="415"/>
      <c r="I60" s="415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</row>
    <row r="61" spans="1:30">
      <c r="A61" s="80"/>
      <c r="B61" s="414"/>
      <c r="C61" s="414"/>
      <c r="D61" s="414"/>
      <c r="E61" s="414"/>
      <c r="F61" s="161" t="s">
        <v>84</v>
      </c>
      <c r="G61" s="415">
        <f>COUNTIF(Z9:Z53,"B-")</f>
        <v>8</v>
      </c>
      <c r="H61" s="415"/>
      <c r="I61" s="415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</row>
    <row r="62" spans="1:30">
      <c r="A62" s="80"/>
      <c r="B62" s="414" t="s">
        <v>79</v>
      </c>
      <c r="C62" s="414" t="s">
        <v>76</v>
      </c>
      <c r="D62" s="414"/>
      <c r="E62" s="414"/>
      <c r="F62" s="161" t="s">
        <v>85</v>
      </c>
      <c r="G62" s="415">
        <f>COUNTIF(Z9:Z53,"C+")</f>
        <v>0</v>
      </c>
      <c r="H62" s="415"/>
      <c r="I62" s="415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</row>
    <row r="63" spans="1:30">
      <c r="A63" s="80"/>
      <c r="B63" s="414"/>
      <c r="C63" s="414"/>
      <c r="D63" s="414"/>
      <c r="E63" s="414"/>
      <c r="F63" s="161" t="s">
        <v>86</v>
      </c>
      <c r="G63" s="415">
        <f>COUNTIF(Z9:Z53,"C-")</f>
        <v>0</v>
      </c>
      <c r="H63" s="415"/>
      <c r="I63" s="415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</row>
    <row r="64" spans="1:30">
      <c r="A64" s="80"/>
      <c r="B64" s="414" t="s">
        <v>80</v>
      </c>
      <c r="C64" s="418" t="s">
        <v>77</v>
      </c>
      <c r="D64" s="418"/>
      <c r="E64" s="418"/>
      <c r="F64" s="161" t="s">
        <v>87</v>
      </c>
      <c r="G64" s="415">
        <f>COUNTIF(Z9:Z53,"D+")</f>
        <v>0</v>
      </c>
      <c r="H64" s="415"/>
      <c r="I64" s="415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</row>
    <row r="65" spans="1:30">
      <c r="A65" s="80"/>
      <c r="B65" s="414"/>
      <c r="C65" s="418"/>
      <c r="D65" s="418"/>
      <c r="E65" s="418"/>
      <c r="F65" s="161" t="s">
        <v>88</v>
      </c>
      <c r="G65" s="415">
        <f>COUNTIF(Z9:Z53,"D-")</f>
        <v>0</v>
      </c>
      <c r="H65" s="415"/>
      <c r="I65" s="415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</row>
    <row r="66" spans="1:30">
      <c r="A66" s="80"/>
      <c r="B66" s="414"/>
      <c r="C66" s="418"/>
      <c r="D66" s="418"/>
      <c r="E66" s="418"/>
      <c r="F66" s="161" t="s">
        <v>89</v>
      </c>
      <c r="G66" s="415">
        <f>COUNTIF(Z9:Z53,"E+")</f>
        <v>0</v>
      </c>
      <c r="H66" s="415"/>
      <c r="I66" s="415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</row>
    <row r="67" spans="1:30">
      <c r="A67" s="80"/>
      <c r="B67" s="414"/>
      <c r="C67" s="418"/>
      <c r="D67" s="418"/>
      <c r="E67" s="418"/>
      <c r="F67" s="161" t="s">
        <v>90</v>
      </c>
      <c r="G67" s="415">
        <f>COUNTIF(Z9:Z53,"E-")</f>
        <v>0</v>
      </c>
      <c r="H67" s="415"/>
      <c r="I67" s="415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</row>
    <row r="68" spans="1:30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</row>
    <row r="69" spans="1:30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</row>
    <row r="70" spans="1:30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</row>
    <row r="71" spans="1:30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</row>
    <row r="72" spans="1:30">
      <c r="A72" s="8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</row>
    <row r="73" spans="1:30">
      <c r="A73" s="80"/>
      <c r="B73" s="162" t="str">
        <f>DATOS!B7</f>
        <v>Ing. Margarita Ronquillo</v>
      </c>
      <c r="C73" s="30"/>
      <c r="D73" s="30"/>
      <c r="E73" s="30"/>
      <c r="F73" s="416" t="str">
        <f>DATOS!B4</f>
        <v>Msc. Myrian Zurita</v>
      </c>
      <c r="G73" s="416"/>
      <c r="H73" s="416"/>
      <c r="I73" s="416"/>
      <c r="J73" s="416"/>
      <c r="K73" s="416"/>
      <c r="L73" s="17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</row>
    <row r="74" spans="1:30">
      <c r="A74" s="80"/>
      <c r="B74" s="163" t="str">
        <f>DATOS!A7</f>
        <v>Vicerrector/a:</v>
      </c>
      <c r="C74" s="30"/>
      <c r="D74" s="30"/>
      <c r="E74" s="30"/>
      <c r="F74" s="417" t="str">
        <f>DATOS!A4</f>
        <v>Docente:</v>
      </c>
      <c r="G74" s="417"/>
      <c r="H74" s="417"/>
      <c r="I74" s="417"/>
      <c r="J74" s="417"/>
      <c r="K74" s="417"/>
      <c r="L74" s="165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</row>
    <row r="75" spans="1:30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</row>
    <row r="76" spans="1:30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</row>
    <row r="77" spans="1:30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</row>
    <row r="78" spans="1:30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</row>
    <row r="79" spans="1:30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</row>
    <row r="80" spans="1:3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</row>
    <row r="81" spans="1:30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</row>
    <row r="82" spans="1:30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 spans="1:30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</row>
    <row r="84" spans="1:30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</row>
    <row r="85" spans="1:30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</row>
    <row r="86" spans="1:30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</row>
    <row r="87" spans="1:30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</row>
    <row r="88" spans="1:30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</row>
    <row r="89" spans="1:30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</row>
    <row r="90" spans="1:3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</row>
    <row r="91" spans="1:30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</row>
    <row r="92" spans="1:30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</row>
    <row r="93" spans="1:30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</row>
    <row r="94" spans="1:30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</row>
    <row r="95" spans="1:30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</row>
    <row r="96" spans="1:30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</row>
    <row r="97" spans="1:30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</row>
    <row r="98" spans="1:30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</row>
    <row r="99" spans="1:30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</row>
    <row r="100" spans="1:3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</row>
    <row r="101" spans="1:30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</row>
    <row r="102" spans="1:30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</row>
    <row r="103" spans="1:30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</row>
    <row r="104" spans="1:30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</row>
    <row r="105" spans="1:30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</row>
    <row r="106" spans="1:30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</row>
    <row r="107" spans="1:30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</row>
    <row r="108" spans="1:30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</row>
    <row r="109" spans="1:30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</row>
    <row r="110" spans="1:3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</row>
    <row r="111" spans="1:30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</row>
    <row r="112" spans="1:30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</row>
    <row r="113" spans="1:30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</row>
    <row r="114" spans="1:30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</row>
    <row r="115" spans="1:30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</row>
    <row r="116" spans="1:30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</row>
    <row r="117" spans="1:30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</row>
    <row r="118" spans="1:30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</row>
    <row r="119" spans="1:30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</row>
    <row r="120" spans="1:3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</row>
    <row r="121" spans="1:30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</row>
    <row r="122" spans="1:30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</row>
    <row r="123" spans="1:30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</row>
    <row r="124" spans="1:30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</row>
    <row r="125" spans="1:30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</row>
    <row r="126" spans="1:30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</row>
    <row r="127" spans="1:30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</row>
    <row r="128" spans="1:30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</row>
    <row r="129" spans="1:30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</row>
    <row r="130" spans="1: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</row>
    <row r="131" spans="1:30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</row>
    <row r="132" spans="1:30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</row>
    <row r="133" spans="1:30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</row>
    <row r="134" spans="1:30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</row>
    <row r="135" spans="1:30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</row>
    <row r="136" spans="1:30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</row>
    <row r="137" spans="1:30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</row>
    <row r="138" spans="1:30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</row>
    <row r="139" spans="1:30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</row>
    <row r="140" spans="1:3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</row>
    <row r="141" spans="1:30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</row>
    <row r="142" spans="1:30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</row>
    <row r="143" spans="1:30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</row>
    <row r="144" spans="1:30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</row>
    <row r="145" spans="1:30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</row>
    <row r="146" spans="1:30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</row>
    <row r="147" spans="1:30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</row>
    <row r="148" spans="1:30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</row>
    <row r="149" spans="1:30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</row>
    <row r="150" spans="1:3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</row>
    <row r="151" spans="1:30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</row>
    <row r="152" spans="1:30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</row>
    <row r="153" spans="1:30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</row>
    <row r="154" spans="1:30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</row>
    <row r="155" spans="1:30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</row>
    <row r="156" spans="1:30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</row>
    <row r="157" spans="1:30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 spans="1:30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 spans="1:30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 spans="1:3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 spans="1:30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 spans="1:30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 spans="1:30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 spans="1:30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 spans="1:30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 spans="1:30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 spans="1:30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 spans="1:30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 spans="1:30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</row>
    <row r="170" spans="1:3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</row>
    <row r="171" spans="1:30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</row>
    <row r="172" spans="1:30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</row>
    <row r="173" spans="1:30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</row>
    <row r="174" spans="1:30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</row>
    <row r="175" spans="1:30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</row>
    <row r="176" spans="1:30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</row>
    <row r="177" spans="1:30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</row>
    <row r="178" spans="1:30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</row>
    <row r="179" spans="1:30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</row>
    <row r="180" spans="1:3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</row>
    <row r="181" spans="1:30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</row>
    <row r="182" spans="1:30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</row>
    <row r="183" spans="1:30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</row>
    <row r="184" spans="1:30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</row>
    <row r="185" spans="1:30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</row>
    <row r="186" spans="1:30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</row>
    <row r="187" spans="1:30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</row>
    <row r="188" spans="1:30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</row>
    <row r="189" spans="1:30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</row>
    <row r="190" spans="1:3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</row>
    <row r="191" spans="1:30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</row>
    <row r="192" spans="1:30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</row>
    <row r="193" spans="1:30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</row>
    <row r="194" spans="1:30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</row>
    <row r="195" spans="1:30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</row>
    <row r="196" spans="1:30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</row>
    <row r="197" spans="1:30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</row>
    <row r="198" spans="1:30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</row>
    <row r="199" spans="1:30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</row>
    <row r="200" spans="1:3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</row>
    <row r="201" spans="1:30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</row>
    <row r="202" spans="1:30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</row>
    <row r="203" spans="1:30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</row>
    <row r="204" spans="1:30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</row>
    <row r="205" spans="1:30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</row>
    <row r="206" spans="1:30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</row>
    <row r="207" spans="1:30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</row>
    <row r="208" spans="1:30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</row>
    <row r="209" spans="1:30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</row>
    <row r="210" spans="1:3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</row>
    <row r="211" spans="1:30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</row>
    <row r="212" spans="1:30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</row>
    <row r="213" spans="1:30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</row>
    <row r="214" spans="1:30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</row>
    <row r="215" spans="1:30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</row>
    <row r="216" spans="1:30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</row>
    <row r="217" spans="1:30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</row>
    <row r="218" spans="1:30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</row>
    <row r="219" spans="1:30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</row>
    <row r="220" spans="1:3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</row>
    <row r="221" spans="1:30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</row>
    <row r="222" spans="1:30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</row>
    <row r="223" spans="1:30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</row>
    <row r="224" spans="1:30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</row>
    <row r="225" spans="1:30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</row>
    <row r="226" spans="1:30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</row>
    <row r="227" spans="1:30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</row>
    <row r="228" spans="1:30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</row>
    <row r="229" spans="1:30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</row>
    <row r="230" spans="1: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</row>
    <row r="231" spans="1:30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</row>
    <row r="232" spans="1:30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</row>
    <row r="233" spans="1:30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</row>
    <row r="234" spans="1:30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</row>
    <row r="235" spans="1:30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</row>
    <row r="236" spans="1:30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</row>
    <row r="237" spans="1:30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</row>
    <row r="238" spans="1:30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</row>
    <row r="239" spans="1:30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</row>
    <row r="240" spans="1:3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</row>
    <row r="241" spans="1:30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</row>
    <row r="242" spans="1:30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</row>
    <row r="243" spans="1:30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</row>
    <row r="244" spans="1:30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</row>
    <row r="245" spans="1:30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</row>
    <row r="246" spans="1:30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</row>
    <row r="247" spans="1:30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</row>
    <row r="248" spans="1:30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</row>
    <row r="249" spans="1:30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</row>
    <row r="250" spans="1:3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</row>
    <row r="251" spans="1:30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</row>
    <row r="252" spans="1:30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</row>
    <row r="253" spans="1:30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</row>
    <row r="254" spans="1:30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</row>
    <row r="255" spans="1:30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</row>
    <row r="256" spans="1:30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</row>
    <row r="257" spans="1:30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</row>
    <row r="258" spans="1:30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</row>
    <row r="259" spans="1:30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</row>
    <row r="260" spans="1:3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</row>
    <row r="261" spans="1:30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</row>
    <row r="262" spans="1:30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</row>
    <row r="263" spans="1:30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</row>
    <row r="264" spans="1:30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</row>
    <row r="265" spans="1:30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</row>
    <row r="266" spans="1:30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</row>
    <row r="267" spans="1:30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</row>
    <row r="268" spans="1:30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</row>
    <row r="269" spans="1:30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</row>
    <row r="270" spans="1:3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</row>
    <row r="271" spans="1:30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</row>
    <row r="272" spans="1:30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</row>
    <row r="273" spans="1:30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</row>
    <row r="274" spans="1:30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</row>
    <row r="275" spans="1:30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</row>
    <row r="276" spans="1:30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</row>
    <row r="277" spans="1:30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</row>
    <row r="278" spans="1:30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</row>
    <row r="279" spans="1:30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</row>
    <row r="280" spans="1:3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</row>
    <row r="281" spans="1:30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</row>
    <row r="282" spans="1:30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</row>
    <row r="283" spans="1:30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</row>
    <row r="284" spans="1:30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</row>
    <row r="285" spans="1:30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</row>
    <row r="286" spans="1:30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</row>
    <row r="287" spans="1:30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</row>
    <row r="288" spans="1:30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</row>
    <row r="289" spans="1:30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</row>
    <row r="290" spans="1:3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</row>
    <row r="291" spans="1:30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</row>
    <row r="292" spans="1:30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</row>
    <row r="293" spans="1:30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</row>
    <row r="294" spans="1:30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</row>
    <row r="295" spans="1:30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</row>
    <row r="296" spans="1:30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</row>
    <row r="297" spans="1:30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</row>
    <row r="298" spans="1:30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</row>
    <row r="299" spans="1:30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</row>
    <row r="300" spans="1:3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</row>
    <row r="301" spans="1:30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</row>
    <row r="302" spans="1:30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</row>
    <row r="303" spans="1:30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</row>
    <row r="304" spans="1:30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</row>
    <row r="305" spans="1:30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</row>
    <row r="306" spans="1:30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</row>
    <row r="307" spans="1:30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</row>
    <row r="308" spans="1:30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</row>
    <row r="309" spans="1:30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</row>
    <row r="310" spans="1:3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</row>
    <row r="311" spans="1:30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</row>
    <row r="312" spans="1:30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</row>
    <row r="313" spans="1:30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</row>
    <row r="314" spans="1:30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</row>
    <row r="315" spans="1:30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</row>
    <row r="316" spans="1:30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</row>
    <row r="317" spans="1:30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</row>
    <row r="318" spans="1:30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</row>
    <row r="319" spans="1:30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</row>
    <row r="320" spans="1:3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</row>
    <row r="321" spans="1:30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</row>
    <row r="322" spans="1:30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</row>
    <row r="323" spans="1:30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</row>
    <row r="324" spans="1:30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</row>
    <row r="325" spans="1:30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</row>
    <row r="326" spans="1:30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</row>
    <row r="327" spans="1:30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</row>
    <row r="328" spans="1:30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</row>
    <row r="329" spans="1:30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</row>
    <row r="330" spans="1: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</row>
    <row r="331" spans="1:30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</row>
    <row r="332" spans="1:30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</row>
    <row r="333" spans="1:30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</row>
    <row r="334" spans="1:30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</row>
    <row r="335" spans="1:30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</row>
    <row r="336" spans="1:30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</row>
    <row r="337" spans="1:30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</row>
    <row r="338" spans="1:30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</row>
    <row r="339" spans="1:30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</row>
    <row r="340" spans="1:3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</row>
    <row r="341" spans="1:30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</row>
    <row r="342" spans="1:30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</row>
    <row r="343" spans="1:30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</row>
    <row r="344" spans="1:30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</row>
    <row r="345" spans="1:30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</row>
    <row r="346" spans="1:30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</row>
    <row r="347" spans="1:30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</row>
    <row r="348" spans="1:30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</row>
    <row r="349" spans="1:30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</row>
    <row r="350" spans="1:3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</row>
    <row r="351" spans="1:30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</row>
    <row r="352" spans="1:30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</row>
    <row r="353" spans="1:30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</row>
    <row r="354" spans="1:30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</row>
    <row r="355" spans="1:30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</row>
    <row r="356" spans="1:30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</row>
    <row r="357" spans="1:30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</row>
    <row r="358" spans="1:30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</row>
    <row r="359" spans="1:30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</row>
    <row r="360" spans="1:3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</row>
    <row r="361" spans="1:30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</row>
    <row r="362" spans="1:30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</row>
    <row r="363" spans="1:30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</row>
    <row r="364" spans="1:30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</row>
    <row r="365" spans="1:30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</row>
    <row r="366" spans="1:30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</row>
    <row r="367" spans="1:30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</row>
    <row r="368" spans="1:30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</row>
    <row r="369" spans="1:30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</row>
    <row r="370" spans="1:3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</row>
    <row r="371" spans="1:30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</row>
    <row r="372" spans="1:30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</row>
    <row r="373" spans="1:30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</row>
    <row r="374" spans="1:30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</row>
    <row r="375" spans="1:30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</row>
    <row r="376" spans="1:30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</row>
    <row r="377" spans="1:30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</row>
    <row r="378" spans="1:30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</row>
    <row r="379" spans="1:30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</row>
    <row r="380" spans="1:3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</row>
    <row r="381" spans="1:30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</row>
    <row r="382" spans="1:30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</row>
    <row r="383" spans="1:30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</row>
    <row r="384" spans="1:30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</row>
    <row r="385" spans="1:30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</row>
    <row r="386" spans="1:30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</row>
    <row r="387" spans="1:30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</row>
    <row r="388" spans="1:30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</row>
    <row r="389" spans="1:30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</row>
    <row r="390" spans="1:3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</row>
    <row r="391" spans="1:30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</row>
    <row r="392" spans="1:30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</row>
    <row r="393" spans="1:30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</row>
    <row r="394" spans="1:30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</row>
    <row r="395" spans="1:30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</row>
    <row r="396" spans="1:30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</row>
    <row r="397" spans="1:30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</row>
    <row r="398" spans="1:30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</row>
    <row r="399" spans="1:30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</row>
    <row r="400" spans="1:3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</row>
    <row r="401" spans="1:30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</row>
    <row r="402" spans="1:30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</row>
    <row r="403" spans="1:30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</row>
    <row r="404" spans="1:30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</row>
    <row r="405" spans="1:30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</row>
    <row r="406" spans="1:30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</row>
    <row r="407" spans="1:30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</row>
    <row r="408" spans="1:30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</row>
    <row r="409" spans="1:30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</row>
    <row r="410" spans="1:3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</row>
    <row r="411" spans="1:30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</row>
  </sheetData>
  <mergeCells count="57">
    <mergeCell ref="W7:W8"/>
    <mergeCell ref="V7:V8"/>
    <mergeCell ref="T6:W6"/>
    <mergeCell ref="F73:K73"/>
    <mergeCell ref="F74:K74"/>
    <mergeCell ref="B62:B63"/>
    <mergeCell ref="C62:E63"/>
    <mergeCell ref="G62:I62"/>
    <mergeCell ref="G63:I63"/>
    <mergeCell ref="B64:B67"/>
    <mergeCell ref="C64:E67"/>
    <mergeCell ref="G64:I64"/>
    <mergeCell ref="G65:I65"/>
    <mergeCell ref="G66:I66"/>
    <mergeCell ref="G67:I67"/>
    <mergeCell ref="B58:B59"/>
    <mergeCell ref="C58:E59"/>
    <mergeCell ref="G58:I58"/>
    <mergeCell ref="G59:I59"/>
    <mergeCell ref="B60:B61"/>
    <mergeCell ref="C60:E61"/>
    <mergeCell ref="G60:I60"/>
    <mergeCell ref="G61:I61"/>
    <mergeCell ref="A1:AD1"/>
    <mergeCell ref="A2:AD2"/>
    <mergeCell ref="AD6:AD8"/>
    <mergeCell ref="B56:B57"/>
    <mergeCell ref="C56:E57"/>
    <mergeCell ref="F56:F57"/>
    <mergeCell ref="G56:I57"/>
    <mergeCell ref="C3:J3"/>
    <mergeCell ref="C4:J4"/>
    <mergeCell ref="C5:J5"/>
    <mergeCell ref="M3:P3"/>
    <mergeCell ref="Q3:AB3"/>
    <mergeCell ref="M4:P4"/>
    <mergeCell ref="Q4:AB4"/>
    <mergeCell ref="R7:R8"/>
    <mergeCell ref="S7:S8"/>
    <mergeCell ref="C6:F7"/>
    <mergeCell ref="G6:J7"/>
    <mergeCell ref="K6:N7"/>
    <mergeCell ref="O6:O8"/>
    <mergeCell ref="P6:Q6"/>
    <mergeCell ref="P7:P8"/>
    <mergeCell ref="N54:W54"/>
    <mergeCell ref="Q7:Q8"/>
    <mergeCell ref="AC6:AC8"/>
    <mergeCell ref="M5:P5"/>
    <mergeCell ref="Q5:AB5"/>
    <mergeCell ref="R6:S6"/>
    <mergeCell ref="X6:X8"/>
    <mergeCell ref="Z6:Z8"/>
    <mergeCell ref="AA6:AA8"/>
    <mergeCell ref="AB6:AB8"/>
    <mergeCell ref="T7:T8"/>
    <mergeCell ref="U7:U8"/>
  </mergeCells>
  <conditionalFormatting sqref="AA9:AA54">
    <cfRule type="cellIs" dxfId="9" priority="6" operator="equal">
      <formula>"SUPLETORIO"</formula>
    </cfRule>
  </conditionalFormatting>
  <conditionalFormatting sqref="AD9:AD54">
    <cfRule type="cellIs" dxfId="8" priority="3" operator="equal">
      <formula>"REPROBADO"</formula>
    </cfRule>
    <cfRule type="cellIs" dxfId="7" priority="4" operator="equal">
      <formula>"REPROBADO"</formula>
    </cfRule>
    <cfRule type="cellIs" dxfId="6" priority="5" operator="equal">
      <formula>"REPROBADO"</formula>
    </cfRule>
  </conditionalFormatting>
  <pageMargins left="0.13" right="0.12" top="0.12" bottom="0.12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</vt:lpstr>
      <vt:lpstr>NOTAS 1ER TRIMESTRE</vt:lpstr>
      <vt:lpstr>J.CURSO 1ER TRIMESTRE</vt:lpstr>
      <vt:lpstr>NOTAS 2DO TRIMESTRE</vt:lpstr>
      <vt:lpstr>J.CURSO 2DO TRIMESTRE </vt:lpstr>
      <vt:lpstr>NOTAS 3 ER TRIMESTRE</vt:lpstr>
      <vt:lpstr>J.CURSO 3 ER TRIMESTRE</vt:lpstr>
      <vt:lpstr>FINAL 7mo y 10mo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</dc:creator>
  <cp:lastModifiedBy>MYRI</cp:lastModifiedBy>
  <cp:lastPrinted>2024-05-31T02:55:51Z</cp:lastPrinted>
  <dcterms:created xsi:type="dcterms:W3CDTF">2024-05-30T14:15:44Z</dcterms:created>
  <dcterms:modified xsi:type="dcterms:W3CDTF">2024-06-20T16:53:26Z</dcterms:modified>
</cp:coreProperties>
</file>