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Menu" sheetId="1" r:id="rId3"/>
    <sheet state="visible" name="Solo&gt;Levels&gt;Intro" sheetId="2" r:id="rId4"/>
    <sheet state="visible" name="Solo&gt;Levels&gt;N++" sheetId="3" r:id="rId5"/>
    <sheet state="visible" name="Solo&gt;Levels&gt;Ultimate" sheetId="4" r:id="rId6"/>
    <sheet state="visible" name="Solo&gt;Levels&gt;Legacy" sheetId="5" r:id="rId7"/>
    <sheet state="visible" name="Solo&gt;Levels&gt;" sheetId="6" r:id="rId8"/>
    <sheet state="visible" name="Solo&gt;Levels&gt;!" sheetId="7" r:id="rId9"/>
    <sheet state="visible" name="Solo&gt;Episodes&gt;N++" sheetId="8" r:id="rId10"/>
    <sheet state="visible" name="Solo&gt;Episodes&gt;Ultimate" sheetId="9" r:id="rId11"/>
    <sheet state="visible" name="Hardcore&gt;Intro" sheetId="10" r:id="rId12"/>
    <sheet state="visible" name="Hardcore&gt;N++" sheetId="11" r:id="rId13"/>
    <sheet state="visible" name="Hardcore&gt;Ultimate" sheetId="12" r:id="rId14"/>
    <sheet state="visible" name="Hardcore&gt;Legacy" sheetId="13" r:id="rId15"/>
    <sheet state="visible" name="Co-op&gt;Levels&gt;Intro" sheetId="14" r:id="rId16"/>
    <sheet state="visible" name="Co-op&gt;Levels&gt;N++" sheetId="15" r:id="rId17"/>
    <sheet state="visible" name="Co-op&gt;Levels&gt;Legacy" sheetId="16" r:id="rId18"/>
    <sheet state="visible" name="Players&gt;List" sheetId="17" r:id="rId19"/>
    <sheet state="visible" name="Players&gt;Videos" sheetId="18" r:id="rId20"/>
    <sheet state="visible" name="Score&gt;Total" sheetId="19" r:id="rId21"/>
    <sheet state="visible" name="Score&gt;Pre-UE" sheetId="20" r:id="rId22"/>
    <sheet state="visible" name="Score&gt;UE" sheetId="21" r:id="rId23"/>
    <sheet state="visible" name="Score&gt;Secrets" sheetId="22" r:id="rId24"/>
    <sheet state="hidden" name="Copy of Score&gt;Secrets" sheetId="23" r:id="rId25"/>
    <sheet state="hidden" name="Data&gt;Post-UE Score" sheetId="24" r:id="rId26"/>
    <sheet state="hidden" name="Data&gt;Debug&gt;Formulas" sheetId="25" r:id="rId27"/>
    <sheet state="hidden" name="Data&gt;Debug&gt;Icons" sheetId="26" r:id="rId28"/>
    <sheet state="hidden" name="Data&gt;Debug&gt;Levels" sheetId="27" r:id="rId29"/>
  </sheets>
  <definedNames>
    <definedName hidden="1" localSheetId="2" name="Z_8E5E5341_2828_434D_9142_D9EF5A6E9D82_.wvu.FilterData">'Solo&gt;Levels&gt;N++'!$B$6:$O$2381</definedName>
  </definedNames>
  <calcPr/>
  <customWorkbookViews>
    <customWorkbookView activeSheetId="0" maximized="1" tabRatio="600" windowHeight="0" windowWidth="0" guid="{8E5E5341-2828-434D-9142-D9EF5A6E9D82}" name="Filter 1"/>
  </customWorkbookViews>
</workbook>
</file>

<file path=xl/sharedStrings.xml><?xml version="1.0" encoding="utf-8"?>
<sst xmlns="http://schemas.openxmlformats.org/spreadsheetml/2006/main" count="16915" uniqueCount="7164">
  <si>
    <t>Video Library&gt;N++</t>
  </si>
  <si>
    <t>N++&gt;Solo&gt;Levels</t>
  </si>
  <si>
    <t>Intro</t>
  </si>
  <si>
    <t>N++</t>
  </si>
  <si>
    <t>Ultimate</t>
  </si>
  <si>
    <t>Legacy</t>
  </si>
  <si>
    <t>?</t>
  </si>
  <si>
    <t>!</t>
  </si>
  <si>
    <t>Total Number of Videos</t>
  </si>
  <si>
    <t>Secret</t>
  </si>
  <si>
    <t>Video</t>
  </si>
  <si>
    <t>the basics</t>
  </si>
  <si>
    <t>Please send any modifications, corrections, broken links, or new/missing videos to:</t>
  </si>
  <si>
    <t>SI-A-00-00</t>
  </si>
  <si>
    <t>[]</t>
  </si>
  <si>
    <t>walljumptroduction</t>
  </si>
  <si>
    <t>Solo&gt;Levels</t>
  </si>
  <si>
    <t>SI-A-00-01</t>
  </si>
  <si>
    <t>intro to accepting your limitations?</t>
  </si>
  <si>
    <t>SI-A-00-02</t>
  </si>
  <si>
    <t>wall-to-wall</t>
  </si>
  <si>
    <t>Solo&gt;Episodes</t>
  </si>
  <si>
    <t>SI-A-00-03</t>
  </si>
  <si>
    <t>basics redux</t>
  </si>
  <si>
    <t>SI-A-00-04</t>
  </si>
  <si>
    <t>toggley tutor</t>
  </si>
  <si>
    <t>Hardcore</t>
  </si>
  <si>
    <t>SI-B-00-00</t>
  </si>
  <si>
    <t>both flavours of ramp jumping (and the control thereof)</t>
  </si>
  <si>
    <t>SI-B-00-01</t>
  </si>
  <si>
    <t>bounce</t>
  </si>
  <si>
    <t>SI-B-00-02</t>
  </si>
  <si>
    <t>Co-op&gt;Levels</t>
  </si>
  <si>
    <t>the all-powerful golden rainbow of upwards momentum</t>
  </si>
  <si>
    <t>SI-B-00-03</t>
  </si>
  <si>
    <t>a hint of what's to come</t>
  </si>
  <si>
    <t>SI-B-00-04</t>
  </si>
  <si>
    <t>press the suicide button to retry</t>
  </si>
  <si>
    <t>Players</t>
  </si>
  <si>
    <t>List</t>
  </si>
  <si>
    <t>SI-C-00-00</t>
  </si>
  <si>
    <t>Videos</t>
  </si>
  <si>
    <t>Score</t>
  </si>
  <si>
    <t>Total</t>
  </si>
  <si>
    <t>Pre-UE</t>
  </si>
  <si>
    <t>UE</t>
  </si>
  <si>
    <t>balljump</t>
  </si>
  <si>
    <t>Secrets</t>
  </si>
  <si>
    <t>SI-C-00-01</t>
  </si>
  <si>
    <t>News</t>
  </si>
  <si>
    <t>game shover</t>
  </si>
  <si>
    <t>SI-C-00-02</t>
  </si>
  <si>
    <t>thwumpy friends</t>
  </si>
  <si>
    <t>You can now use inne++ on the discord server to look for a specific video. Try it out! (Solo videos only.)</t>
  </si>
  <si>
    <t>Extras</t>
  </si>
  <si>
    <t>SI-C-00-03</t>
  </si>
  <si>
    <t>mine field challenge</t>
  </si>
  <si>
    <t>SI-C-00-04</t>
  </si>
  <si>
    <t>practice makes perp-fect</t>
  </si>
  <si>
    <t>SI-D-00-00</t>
  </si>
  <si>
    <t>launching off of bounceblocks is possible if you time it correctly</t>
  </si>
  <si>
    <t>by: Chebyshevrolet</t>
  </si>
  <si>
    <t>SI-D-00-01</t>
  </si>
  <si>
    <t>they'll chase ya</t>
  </si>
  <si>
    <t>0++</t>
  </si>
  <si>
    <t>SI-D-00-02</t>
  </si>
  <si>
    <t>sideways walljump test</t>
  </si>
  <si>
    <t>SI-D-00-03</t>
  </si>
  <si>
    <t>laser training</t>
  </si>
  <si>
    <t>by: ?</t>
  </si>
  <si>
    <t>SI-D-00-04</t>
  </si>
  <si>
    <t>MEGAJUMP</t>
  </si>
  <si>
    <t>SI-E-00-00</t>
  </si>
  <si>
    <t>laser braces</t>
  </si>
  <si>
    <t>by: Murat Can T</t>
  </si>
  <si>
    <t>SI-E-00-01</t>
  </si>
  <si>
    <t>the art of descent part the fourth</t>
  </si>
  <si>
    <t>SI-E-00-02</t>
  </si>
  <si>
    <t>flateau</t>
  </si>
  <si>
    <t>practical application of theory</t>
  </si>
  <si>
    <t>by: Nahoj-N</t>
  </si>
  <si>
    <t>SI-E-00-03</t>
  </si>
  <si>
    <t>toggley terminus</t>
  </si>
  <si>
    <t>S-A-00-00</t>
  </si>
  <si>
    <t>SI-E-00-04</t>
  </si>
  <si>
    <t>regarding speed and jump control</t>
  </si>
  <si>
    <t>by: MoleTrooper</t>
  </si>
  <si>
    <t>SI-A-01-00</t>
  </si>
  <si>
    <t>G--</t>
  </si>
  <si>
    <t>floor-to-wall vs ramp-to-wall 'double jumping'</t>
  </si>
  <si>
    <t>[!]</t>
  </si>
  <si>
    <t>SI-A-01-01</t>
  </si>
  <si>
    <t>hitting your head</t>
  </si>
  <si>
    <t>by: Fnyt</t>
  </si>
  <si>
    <t>SI-A-01-02</t>
  </si>
  <si>
    <t>wall-to-wall-to-wall-to-wall</t>
  </si>
  <si>
    <t>SI-A-01-03</t>
  </si>
  <si>
    <t>by: ibcamwhobu</t>
  </si>
  <si>
    <t>warmup track</t>
  </si>
  <si>
    <t>SI-A-01-04</t>
  </si>
  <si>
    <t>deadly friend</t>
  </si>
  <si>
    <t>SI-B-01-00</t>
  </si>
  <si>
    <t>a light launch</t>
  </si>
  <si>
    <t>the art of descent part the first</t>
  </si>
  <si>
    <t>S-A-00-01</t>
  </si>
  <si>
    <t>SI-B-01-01</t>
  </si>
  <si>
    <t>on the subject of the navigation of gaps</t>
  </si>
  <si>
    <t>SI-B-01-02</t>
  </si>
  <si>
    <t>G--T--</t>
  </si>
  <si>
    <t>launchers</t>
  </si>
  <si>
    <t>[!!]</t>
  </si>
  <si>
    <t>SI-B-01-03</t>
  </si>
  <si>
    <t>rocketoggle room</t>
  </si>
  <si>
    <t>SI-B-01-04</t>
  </si>
  <si>
    <t>swizzle</t>
  </si>
  <si>
    <t>S-A-00-02</t>
  </si>
  <si>
    <t>laser-wise</t>
  </si>
  <si>
    <t>G--T++</t>
  </si>
  <si>
    <t>SI-C-01-00</t>
  </si>
  <si>
    <t>the art of descent part the second</t>
  </si>
  <si>
    <t>SI-C-01-01</t>
  </si>
  <si>
    <t>temporary platform</t>
  </si>
  <si>
    <t>corridory</t>
  </si>
  <si>
    <t>SI-C-01-02</t>
  </si>
  <si>
    <t>S-A-00-03</t>
  </si>
  <si>
    <t>going up</t>
  </si>
  <si>
    <t>SI-C-01-03</t>
  </si>
  <si>
    <t>a taste of evil</t>
  </si>
  <si>
    <t>SI-C-01-04</t>
  </si>
  <si>
    <t>multimode phase 0</t>
  </si>
  <si>
    <t>SI-D-01-00</t>
  </si>
  <si>
    <t>G++T++</t>
  </si>
  <si>
    <t>[??]</t>
  </si>
  <si>
    <t>multimode phase 1</t>
  </si>
  <si>
    <t>SI-D-01-01</t>
  </si>
  <si>
    <t>multimode phase 2</t>
  </si>
  <si>
    <t>cyberdemon retirement community</t>
  </si>
  <si>
    <t>SI-D-01-02</t>
  </si>
  <si>
    <t>multimode phase 3</t>
  </si>
  <si>
    <t>S-A-00-04</t>
  </si>
  <si>
    <t>SI-D-01-03</t>
  </si>
  <si>
    <t>multimodal</t>
  </si>
  <si>
    <t>SI-D-01-04</t>
  </si>
  <si>
    <t>circular momentum</t>
  </si>
  <si>
    <t>SI-E-01-00</t>
  </si>
  <si>
    <t>encyclopedia of fundamentals vol xxi: the mega-perp</t>
  </si>
  <si>
    <t>SI-E-01-01</t>
  </si>
  <si>
    <t>[?]</t>
  </si>
  <si>
    <t>parkour park prototype</t>
  </si>
  <si>
    <t>T++</t>
  </si>
  <si>
    <t>SI-E-01-02</t>
  </si>
  <si>
    <t>gorge</t>
  </si>
  <si>
    <t>timing tutor</t>
  </si>
  <si>
    <t>S-B-00-00</t>
  </si>
  <si>
    <t>SI-E-01-03</t>
  </si>
  <si>
    <t>tutorial mid-boss</t>
  </si>
  <si>
    <t>SI-E-01-04</t>
  </si>
  <si>
    <t>G++T--</t>
  </si>
  <si>
    <t>double-jumping, of a sort</t>
  </si>
  <si>
    <t>SI-A-02-00</t>
  </si>
  <si>
    <t>bouncers</t>
  </si>
  <si>
    <t>precision ground handling</t>
  </si>
  <si>
    <t>SI-A-02-01</t>
  </si>
  <si>
    <t>S-B-00-01</t>
  </si>
  <si>
    <t>to jump, or not to jump</t>
  </si>
  <si>
    <t>SI-A-02-02</t>
  </si>
  <si>
    <t>G++C++</t>
  </si>
  <si>
    <t>the fine art of not pressing left/right until after pressing and holding the jump button</t>
  </si>
  <si>
    <t>SI-A-02-03</t>
  </si>
  <si>
    <t>freerunning room</t>
  </si>
  <si>
    <t>SI-A-02-04</t>
  </si>
  <si>
    <t>learning process</t>
  </si>
  <si>
    <t>SI-B-02-00</t>
  </si>
  <si>
    <t>pixelightning</t>
  </si>
  <si>
    <t>minefield simulator</t>
  </si>
  <si>
    <t>SI-B-02-01</t>
  </si>
  <si>
    <t>wall-hugging</t>
  </si>
  <si>
    <t>S-B-00-02</t>
  </si>
  <si>
    <t>SI-B-02-02</t>
  </si>
  <si>
    <t>boosting</t>
  </si>
  <si>
    <t>SI-B-02-03</t>
  </si>
  <si>
    <t>greed can be dangerous</t>
  </si>
  <si>
    <t>SI-B-02-04</t>
  </si>
  <si>
    <t>doors galore</t>
  </si>
  <si>
    <t>SI-C-02-00</t>
  </si>
  <si>
    <t>on a long enough timeline, the survival rate for everyone drops to zero</t>
  </si>
  <si>
    <t>zigzaggurat</t>
  </si>
  <si>
    <t>SI-C-02-01</t>
  </si>
  <si>
    <t>velocity multiplication device</t>
  </si>
  <si>
    <t>SI-C-02-02</t>
  </si>
  <si>
    <t>mind-expansion</t>
  </si>
  <si>
    <t>S-B-00-03</t>
  </si>
  <si>
    <t>SI-C-02-03</t>
  </si>
  <si>
    <t>dexterity calibration apparatus II</t>
  </si>
  <si>
    <t>SI-C-02-04</t>
  </si>
  <si>
    <t>temporary wall</t>
  </si>
  <si>
    <t>SI-D-02-00</t>
  </si>
  <si>
    <t>T--</t>
  </si>
  <si>
    <t>the art of descent part the third</t>
  </si>
  <si>
    <t>SI-D-02-01</t>
  </si>
  <si>
    <t>evil echoes</t>
  </si>
  <si>
    <t>SI-D-02-02</t>
  </si>
  <si>
    <t>onesided walljump orientation seminar</t>
  </si>
  <si>
    <t>SI-D-02-03</t>
  </si>
  <si>
    <t>laser struggle</t>
  </si>
  <si>
    <t>SI-D-02-04</t>
  </si>
  <si>
    <t>disallowed</t>
  </si>
  <si>
    <t>S-B-00-04</t>
  </si>
  <si>
    <t>all aboard!</t>
  </si>
  <si>
    <t>SI-E-02-00</t>
  </si>
  <si>
    <t>optionality</t>
  </si>
  <si>
    <t>SI-E-02-01</t>
  </si>
  <si>
    <t>sometimes the best jump is to not jump</t>
  </si>
  <si>
    <t>SI-E-02-02</t>
  </si>
  <si>
    <t>the room 2</t>
  </si>
  <si>
    <t>SI-E-02-03</t>
  </si>
  <si>
    <t>miney movement masterclass</t>
  </si>
  <si>
    <t>SI-E-02-04</t>
  </si>
  <si>
    <t>rectilinear rooms</t>
  </si>
  <si>
    <t>SI-A-03-00</t>
  </si>
  <si>
    <t>inertia control</t>
  </si>
  <si>
    <t>SI-A-03-01</t>
  </si>
  <si>
    <t>traditional landscape</t>
  </si>
  <si>
    <t>SI-A-03-02</t>
  </si>
  <si>
    <t>skydiver</t>
  </si>
  <si>
    <t>SI-A-03-03</t>
  </si>
  <si>
    <t>learning to climb</t>
  </si>
  <si>
    <t>the amount of jump</t>
  </si>
  <si>
    <t>SI-A-03-04</t>
  </si>
  <si>
    <t>S-C-00-00</t>
  </si>
  <si>
    <t>fine-a++ motor skills</t>
  </si>
  <si>
    <t>SI-B-03-00</t>
  </si>
  <si>
    <t>keep it moving</t>
  </si>
  <si>
    <t>G--T--C++</t>
  </si>
  <si>
    <t>[!!!]</t>
  </si>
  <si>
    <t>SI-B-03-01</t>
  </si>
  <si>
    <t>launch guidelines</t>
  </si>
  <si>
    <t>SI-B-03-02</t>
  </si>
  <si>
    <t>bounceblock bridge</t>
  </si>
  <si>
    <t>SI-B-03-03</t>
  </si>
  <si>
    <t>speed limiters</t>
  </si>
  <si>
    <t>SI-B-03-04</t>
  </si>
  <si>
    <t>jumping off ramps can launch you</t>
  </si>
  <si>
    <t>SI-C-03-00</t>
  </si>
  <si>
    <t>getting to know rockets</t>
  </si>
  <si>
    <t>SI-C-03-01</t>
  </si>
  <si>
    <t>booster stage</t>
  </si>
  <si>
    <t>SI-C-03-02</t>
  </si>
  <si>
    <t>chained temptation</t>
  </si>
  <si>
    <t>another one of these contraptions</t>
  </si>
  <si>
    <t>SI-C-03-03</t>
  </si>
  <si>
    <t>the lookers</t>
  </si>
  <si>
    <t>S-C-00-01</t>
  </si>
  <si>
    <t>SI-C-03-04</t>
  </si>
  <si>
    <t>dexterity calibration apparatus III</t>
  </si>
  <si>
    <t>SI-D-03-00</t>
  </si>
  <si>
    <t>live fire training exercise</t>
  </si>
  <si>
    <t>SI-D-03-01</t>
  </si>
  <si>
    <t>tricky toggles</t>
  </si>
  <si>
    <t>SI-D-03-02</t>
  </si>
  <si>
    <t>temporary test</t>
  </si>
  <si>
    <t>SI-D-03-03</t>
  </si>
  <si>
    <t>onesided walljump exit exam</t>
  </si>
  <si>
    <t>SI-D-03-04</t>
  </si>
  <si>
    <t>thrice will suffice</t>
  </si>
  <si>
    <t>SI-E-03-00</t>
  </si>
  <si>
    <t>air control chamber</t>
  </si>
  <si>
    <t>chain of events</t>
  </si>
  <si>
    <t>868-JUMP</t>
  </si>
  <si>
    <t>SI-E-03-01</t>
  </si>
  <si>
    <t>SU-A-00-00</t>
  </si>
  <si>
    <t>S-C-00-02</t>
  </si>
  <si>
    <t>ingenuity opportunity</t>
  </si>
  <si>
    <t>SI-E-03-02</t>
  </si>
  <si>
    <t>walljumptroduction redux</t>
  </si>
  <si>
    <t>SI-E-03-03</t>
  </si>
  <si>
    <t>a taste of real life</t>
  </si>
  <si>
    <t>SI-E-03-04</t>
  </si>
  <si>
    <t>the many uses of ramps</t>
  </si>
  <si>
    <t>einfact</t>
  </si>
  <si>
    <t>conspicuous consumption</t>
  </si>
  <si>
    <t>SU-A-00-01</t>
  </si>
  <si>
    <t>SI-A-04-00</t>
  </si>
  <si>
    <t>various amounts of jump</t>
  </si>
  <si>
    <t>S-C-00-03</t>
  </si>
  <si>
    <t>SI-A-04-01</t>
  </si>
  <si>
    <t>the two methods of ramp jumping and the control thereof (part the second)</t>
  </si>
  <si>
    <t>SI-A-04-02</t>
  </si>
  <si>
    <t>tiny taps</t>
  </si>
  <si>
    <t>SI-A-04-03</t>
  </si>
  <si>
    <t>who has time to get gold?</t>
  </si>
  <si>
    <t>self-directed</t>
  </si>
  <si>
    <t>SU-A-00-02</t>
  </si>
  <si>
    <t>SI-A-04-04</t>
  </si>
  <si>
    <t>the room</t>
  </si>
  <si>
    <t>SI-B-04-00</t>
  </si>
  <si>
    <t>throwing caution to the wind</t>
  </si>
  <si>
    <t>SI-B-04-01</t>
  </si>
  <si>
    <t>dexterity calibration apparatus I</t>
  </si>
  <si>
    <t>cheap thrills</t>
  </si>
  <si>
    <t>ticked off</t>
  </si>
  <si>
    <t>SI-B-04-02</t>
  </si>
  <si>
    <t>who needs floors anyway</t>
  </si>
  <si>
    <t>S-C-00-04</t>
  </si>
  <si>
    <t>SI-B-04-03</t>
  </si>
  <si>
    <t>SU-A-00-03</t>
  </si>
  <si>
    <t>bullet william</t>
  </si>
  <si>
    <t>SI-B-04-04</t>
  </si>
  <si>
    <t>air control towers</t>
  </si>
  <si>
    <t>SI-C-04-00</t>
  </si>
  <si>
    <t>oscillaser</t>
  </si>
  <si>
    <t>SI-C-04-01</t>
  </si>
  <si>
    <t>ride or die</t>
  </si>
  <si>
    <t>SI-C-04-02</t>
  </si>
  <si>
    <t>vertical momentum test</t>
  </si>
  <si>
    <t>SI-C-04-03</t>
  </si>
  <si>
    <t>starting to get the hang of it</t>
  </si>
  <si>
    <t>self restraint</t>
  </si>
  <si>
    <t>SI-C-04-04</t>
  </si>
  <si>
    <t>making your own way</t>
  </si>
  <si>
    <t>rubber room</t>
  </si>
  <si>
    <t>S-D-00-00</t>
  </si>
  <si>
    <t>SU-A-00-04</t>
  </si>
  <si>
    <t>SI-D-04-00</t>
  </si>
  <si>
    <t>good and bad doors</t>
  </si>
  <si>
    <t>SI-D-04-01</t>
  </si>
  <si>
    <t>introduction to ad-libbing</t>
  </si>
  <si>
    <t>T++C++</t>
  </si>
  <si>
    <t>SI-D-04-02</t>
  </si>
  <si>
    <t>movement under fire</t>
  </si>
  <si>
    <t>SI-D-04-03</t>
  </si>
  <si>
    <t>hangtime</t>
  </si>
  <si>
    <t>SI-D-04-04</t>
  </si>
  <si>
    <t>the impossible is possible</t>
  </si>
  <si>
    <t>sleestack</t>
  </si>
  <si>
    <t>C++</t>
  </si>
  <si>
    <t>SI-E-04-00</t>
  </si>
  <si>
    <t>S-D-00-01</t>
  </si>
  <si>
    <t>graduate degree in walljumping</t>
  </si>
  <si>
    <t>brake beats</t>
  </si>
  <si>
    <t>SI-E-04-01</t>
  </si>
  <si>
    <t>SU-B-00-00</t>
  </si>
  <si>
    <t>quote-unquote triple-jumping</t>
  </si>
  <si>
    <t>SI-E-04-02</t>
  </si>
  <si>
    <t>deadly didactic device</t>
  </si>
  <si>
    <t>SI-E-04-03</t>
  </si>
  <si>
    <t>puzzle platformer</t>
  </si>
  <si>
    <t>SI-E-04-04</t>
  </si>
  <si>
    <t>timidity</t>
  </si>
  <si>
    <t>balcon</t>
  </si>
  <si>
    <t>SU-B-00-01</t>
  </si>
  <si>
    <t>S-D-00-02</t>
  </si>
  <si>
    <t>counterclockwise heart</t>
  </si>
  <si>
    <t>fiendishly easy</t>
  </si>
  <si>
    <t>S-D-00-03</t>
  </si>
  <si>
    <t>SU-B-00-02</t>
  </si>
  <si>
    <t>G--T++C--</t>
  </si>
  <si>
    <t>G++T--C--</t>
  </si>
  <si>
    <t>[???]</t>
  </si>
  <si>
    <t>minimum security</t>
  </si>
  <si>
    <t>SU-B-00-03</t>
  </si>
  <si>
    <t>stripes</t>
  </si>
  <si>
    <t>S-D-00-04</t>
  </si>
  <si>
    <t>jumpstyle</t>
  </si>
  <si>
    <t>SU-B-00-04</t>
  </si>
  <si>
    <t>bridge under construction</t>
  </si>
  <si>
    <t>S-E-00-00</t>
  </si>
  <si>
    <t>rotatoes</t>
  </si>
  <si>
    <t>SU-C-00-00</t>
  </si>
  <si>
    <t>silent running</t>
  </si>
  <si>
    <t>SU-C-00-01</t>
  </si>
  <si>
    <t>angler</t>
  </si>
  <si>
    <t>S-E-00-01</t>
  </si>
  <si>
    <t>blammo</t>
  </si>
  <si>
    <t>SU-C-00-02</t>
  </si>
  <si>
    <t>kinetic joy</t>
  </si>
  <si>
    <t>S-E-00-02</t>
  </si>
  <si>
    <t>rock climbing</t>
  </si>
  <si>
    <t>SU-C-00-03</t>
  </si>
  <si>
    <t>G--T--O++C++</t>
  </si>
  <si>
    <t>[!!!!]</t>
  </si>
  <si>
    <t>box slighter</t>
  </si>
  <si>
    <t>S-E-00-03</t>
  </si>
  <si>
    <t>the route of all evil</t>
  </si>
  <si>
    <t>clairvoyage</t>
  </si>
  <si>
    <t>SU-C-00-04</t>
  </si>
  <si>
    <t>S-E-00-04</t>
  </si>
  <si>
    <t>G--E++</t>
  </si>
  <si>
    <t>arc</t>
  </si>
  <si>
    <t>SL-A-00-00</t>
  </si>
  <si>
    <t>take the easy way out</t>
  </si>
  <si>
    <t>no rush</t>
  </si>
  <si>
    <t>SL-A-00-01</t>
  </si>
  <si>
    <t>orbital</t>
  </si>
  <si>
    <t>SU-D-00-00</t>
  </si>
  <si>
    <t>SL-A-00-02</t>
  </si>
  <si>
    <t>what the</t>
  </si>
  <si>
    <t>SL-A-00-03</t>
  </si>
  <si>
    <t>all about thwumps</t>
  </si>
  <si>
    <t>SL-A-00-04</t>
  </si>
  <si>
    <t>G++T++E++</t>
  </si>
  <si>
    <t>rooted</t>
  </si>
  <si>
    <t>SL-B-00-00</t>
  </si>
  <si>
    <t>underground storage facility</t>
  </si>
  <si>
    <t>a brief history of amazing letdowns</t>
  </si>
  <si>
    <t>relative space</t>
  </si>
  <si>
    <t>SL-B-00-01</t>
  </si>
  <si>
    <t>S-A-01-00</t>
  </si>
  <si>
    <t>SU-D-00-01</t>
  </si>
  <si>
    <t>ups and downs</t>
  </si>
  <si>
    <t>SL-B-00-02</t>
  </si>
  <si>
    <t>the machine</t>
  </si>
  <si>
    <t>SL-B-00-03</t>
  </si>
  <si>
    <t>suicidal lust for gold</t>
  </si>
  <si>
    <t>SL-B-00-04</t>
  </si>
  <si>
    <t>the thing that only eats ninjas</t>
  </si>
  <si>
    <t>SL-C-00-00</t>
  </si>
  <si>
    <t>honey bomb</t>
  </si>
  <si>
    <t>goldopolis</t>
  </si>
  <si>
    <t>SU-D-00-02</t>
  </si>
  <si>
    <t>SL-C-00-01</t>
  </si>
  <si>
    <t>acrophobe</t>
  </si>
  <si>
    <t>G++E++</t>
  </si>
  <si>
    <t>SL-C-00-02</t>
  </si>
  <si>
    <t>build that momentum!</t>
  </si>
  <si>
    <t>hatching chambers</t>
  </si>
  <si>
    <t>SL-C-00-03</t>
  </si>
  <si>
    <t>hairpin turns</t>
  </si>
  <si>
    <t>SL-C-00-04</t>
  </si>
  <si>
    <t>megamine</t>
  </si>
  <si>
    <t>S-A-01-01</t>
  </si>
  <si>
    <t>an open and shut case</t>
  </si>
  <si>
    <t>SL-D-00-00</t>
  </si>
  <si>
    <t>rotor</t>
  </si>
  <si>
    <t>SU-D-00-03</t>
  </si>
  <si>
    <t>SL-D-00-01</t>
  </si>
  <si>
    <t>cutting in</t>
  </si>
  <si>
    <t>SL-D-00-02</t>
  </si>
  <si>
    <t>simplicity</t>
  </si>
  <si>
    <t>G--C--</t>
  </si>
  <si>
    <t>SL-D-00-03</t>
  </si>
  <si>
    <t>high water line</t>
  </si>
  <si>
    <t>SL-D-00-04</t>
  </si>
  <si>
    <t>stumbleine</t>
  </si>
  <si>
    <t>C--</t>
  </si>
  <si>
    <t>SL-E-00-00</t>
  </si>
  <si>
    <t>slick</t>
  </si>
  <si>
    <t>abandonware</t>
  </si>
  <si>
    <t>SL-E-00-01</t>
  </si>
  <si>
    <t>hella high water</t>
  </si>
  <si>
    <t>mugen</t>
  </si>
  <si>
    <t>SU-D-00-04</t>
  </si>
  <si>
    <t>S-A-01-02</t>
  </si>
  <si>
    <t>SL-E-00-02</t>
  </si>
  <si>
    <t>trance gate</t>
  </si>
  <si>
    <t>SL-E-00-03</t>
  </si>
  <si>
    <t>superliminal futura</t>
  </si>
  <si>
    <t>G--C++</t>
  </si>
  <si>
    <t>SL-E-00-04</t>
  </si>
  <si>
    <t>learning to fly</t>
  </si>
  <si>
    <t>SL-A-01-00</t>
  </si>
  <si>
    <t>come back zinc!</t>
  </si>
  <si>
    <t>SL-A-01-01</t>
  </si>
  <si>
    <t>suspension bridge</t>
  </si>
  <si>
    <t>delay distortion</t>
  </si>
  <si>
    <t>SL-A-01-02</t>
  </si>
  <si>
    <t>bullish on gold</t>
  </si>
  <si>
    <t>S-A-01-03</t>
  </si>
  <si>
    <t>SL-A-01-03</t>
  </si>
  <si>
    <t>tighten up tighter</t>
  </si>
  <si>
    <t>SL-A-01-04</t>
  </si>
  <si>
    <t>hanging gardens</t>
  </si>
  <si>
    <t>ceil()</t>
  </si>
  <si>
    <t>SL-B-01-00</t>
  </si>
  <si>
    <t>SU-E-00-00</t>
  </si>
  <si>
    <t>slipgate complex</t>
  </si>
  <si>
    <t>SL-B-01-01</t>
  </si>
  <si>
    <t>figure ocho</t>
  </si>
  <si>
    <t>SL-B-01-02</t>
  </si>
  <si>
    <t>shadow play</t>
  </si>
  <si>
    <t>up and around</t>
  </si>
  <si>
    <t>SL-B-01-03</t>
  </si>
  <si>
    <t>S-A-01-04</t>
  </si>
  <si>
    <t>three-ring circus</t>
  </si>
  <si>
    <t>fool's gold</t>
  </si>
  <si>
    <t>SL-B-01-04</t>
  </si>
  <si>
    <t>SU-E-00-01</t>
  </si>
  <si>
    <t>crop rectangles</t>
  </si>
  <si>
    <t>G--T--E++</t>
  </si>
  <si>
    <t>SL-C-01-00</t>
  </si>
  <si>
    <t>nivoc</t>
  </si>
  <si>
    <t>SL-C-01-01</t>
  </si>
  <si>
    <t>hallway to heck</t>
  </si>
  <si>
    <t>SL-C-01-02</t>
  </si>
  <si>
    <t>a sinister undercurrent</t>
  </si>
  <si>
    <t>SL-C-01-03</t>
  </si>
  <si>
    <t>compound fracture</t>
  </si>
  <si>
    <t>trapped in a micro pattern</t>
  </si>
  <si>
    <t>SL-C-01-04</t>
  </si>
  <si>
    <t>heap sort</t>
  </si>
  <si>
    <t>SU-E-00-02</t>
  </si>
  <si>
    <t>SL-D-01-00</t>
  </si>
  <si>
    <t>G--T++E++</t>
  </si>
  <si>
    <t>vertebrae</t>
  </si>
  <si>
    <t>SL-D-01-01</t>
  </si>
  <si>
    <t>dashed hopes</t>
  </si>
  <si>
    <t>SL-D-01-02</t>
  </si>
  <si>
    <t>meerschaum</t>
  </si>
  <si>
    <t>recursive ascent parser</t>
  </si>
  <si>
    <t>simple mountain hike</t>
  </si>
  <si>
    <t>SL-D-01-03</t>
  </si>
  <si>
    <t>industrial zone 4</t>
  </si>
  <si>
    <t>SU-E-00-03</t>
  </si>
  <si>
    <t>SL-D-01-04</t>
  </si>
  <si>
    <t>S-B-01-00</t>
  </si>
  <si>
    <t>spin-a-rama</t>
  </si>
  <si>
    <t>SL-E-01-00</t>
  </si>
  <si>
    <t>take several pills</t>
  </si>
  <si>
    <t>SL-E-01-01</t>
  </si>
  <si>
    <t>able to leap tall robots in a single bound</t>
  </si>
  <si>
    <t>SL-E-01-02</t>
  </si>
  <si>
    <t>brownian motion</t>
  </si>
  <si>
    <t>SL-E-01-03</t>
  </si>
  <si>
    <t>rectilinear drips</t>
  </si>
  <si>
    <t>bifurcation</t>
  </si>
  <si>
    <t>S-B-01-01</t>
  </si>
  <si>
    <t>archetypal</t>
  </si>
  <si>
    <t>SL-E-01-04</t>
  </si>
  <si>
    <t>who dat ninja</t>
  </si>
  <si>
    <t>SL-A-02-00</t>
  </si>
  <si>
    <t>SU-E-00-04</t>
  </si>
  <si>
    <t>mechazawa</t>
  </si>
  <si>
    <t>SL-A-02-01</t>
  </si>
  <si>
    <t>moses supposes</t>
  </si>
  <si>
    <t>SL-A-02-02</t>
  </si>
  <si>
    <t>tip: top</t>
  </si>
  <si>
    <t>evanesce</t>
  </si>
  <si>
    <t>SL-A-02-03</t>
  </si>
  <si>
    <t>SU-A-01-00</t>
  </si>
  <si>
    <t>shortcutlets</t>
  </si>
  <si>
    <t>bamboo battle</t>
  </si>
  <si>
    <t>SL-A-02-04</t>
  </si>
  <si>
    <t>S-B-01-02</t>
  </si>
  <si>
    <t>baby steps</t>
  </si>
  <si>
    <t>SL-B-02-00</t>
  </si>
  <si>
    <t>hand solo</t>
  </si>
  <si>
    <t>SL-B-02-01</t>
  </si>
  <si>
    <t>moving target</t>
  </si>
  <si>
    <t>SL-B-02-02</t>
  </si>
  <si>
    <t>the art of negotiation</t>
  </si>
  <si>
    <t>what are your overheads?!</t>
  </si>
  <si>
    <t>stroopwafel</t>
  </si>
  <si>
    <t>SL-B-02-03</t>
  </si>
  <si>
    <t>SU-A-01-01</t>
  </si>
  <si>
    <t>consumer x</t>
  </si>
  <si>
    <t>S-B-01-03</t>
  </si>
  <si>
    <t>SL-B-02-04</t>
  </si>
  <si>
    <t>hold it</t>
  </si>
  <si>
    <t>SL-C-02-00</t>
  </si>
  <si>
    <t>illusory</t>
  </si>
  <si>
    <t>SL-C-02-01</t>
  </si>
  <si>
    <t>whomping</t>
  </si>
  <si>
    <t>SL-C-02-02</t>
  </si>
  <si>
    <t>leaps and bounds</t>
  </si>
  <si>
    <t>containment area</t>
  </si>
  <si>
    <t>SL-C-02-03</t>
  </si>
  <si>
    <t>S-B-01-04</t>
  </si>
  <si>
    <t>downtown rush hour</t>
  </si>
  <si>
    <t>SL-C-02-04</t>
  </si>
  <si>
    <t>mincome arcology</t>
  </si>
  <si>
    <t>mastabas</t>
  </si>
  <si>
    <t>SL-D-02-00</t>
  </si>
  <si>
    <t>elevation</t>
  </si>
  <si>
    <t>SU-A-01-02</t>
  </si>
  <si>
    <t>SL-D-02-01</t>
  </si>
  <si>
    <t>vertical theory</t>
  </si>
  <si>
    <t>SL-D-02-02</t>
  </si>
  <si>
    <t>soul skimmer</t>
  </si>
  <si>
    <t>SL-D-02-03</t>
  </si>
  <si>
    <t>spin class</t>
  </si>
  <si>
    <t>opportunity costs</t>
  </si>
  <si>
    <t>SL-D-02-04</t>
  </si>
  <si>
    <t>plus pit</t>
  </si>
  <si>
    <t>S-C-01-00</t>
  </si>
  <si>
    <t>SL-E-02-00</t>
  </si>
  <si>
    <t>pokeyman</t>
  </si>
  <si>
    <t>SL-E-02-01</t>
  </si>
  <si>
    <t>please sir, can i not have another?</t>
  </si>
  <si>
    <t>self-potato</t>
  </si>
  <si>
    <t>SL-E-02-02</t>
  </si>
  <si>
    <t>red light/red light</t>
  </si>
  <si>
    <t>circula</t>
  </si>
  <si>
    <t>SU-A-01-03</t>
  </si>
  <si>
    <t>SL-E-02-03</t>
  </si>
  <si>
    <t>S-C-01-01</t>
  </si>
  <si>
    <t>blern!</t>
  </si>
  <si>
    <t>SL-E-02-04</t>
  </si>
  <si>
    <t>honeyed</t>
  </si>
  <si>
    <t>SL-A-03-00</t>
  </si>
  <si>
    <t>you'll die if you try</t>
  </si>
  <si>
    <t>SL-A-03-01</t>
  </si>
  <si>
    <t>propellorhead</t>
  </si>
  <si>
    <t>SL-A-03-02</t>
  </si>
  <si>
    <t>trivium reactor</t>
  </si>
  <si>
    <t>considered harmful</t>
  </si>
  <si>
    <t>the easy way</t>
  </si>
  <si>
    <t>SU-A-01-04</t>
  </si>
  <si>
    <t>S-C-01-02</t>
  </si>
  <si>
    <t>SL-A-03-03</t>
  </si>
  <si>
    <t>optimizer</t>
  </si>
  <si>
    <t>SL-A-03-04</t>
  </si>
  <si>
    <t>ninja's first walljump</t>
  </si>
  <si>
    <t>SL-B-03-00</t>
  </si>
  <si>
    <t>drone race</t>
  </si>
  <si>
    <t>truncated</t>
  </si>
  <si>
    <t>SL-B-03-01</t>
  </si>
  <si>
    <t>SU-B-01-00</t>
  </si>
  <si>
    <t>xenopool</t>
  </si>
  <si>
    <t>SL-B-03-02</t>
  </si>
  <si>
    <t>below the root</t>
  </si>
  <si>
    <t>SL-B-03-03</t>
  </si>
  <si>
    <t>optical smattering</t>
  </si>
  <si>
    <t>the ceiling is bendin</t>
  </si>
  <si>
    <t>SL-B-03-04</t>
  </si>
  <si>
    <t>comfort level</t>
  </si>
  <si>
    <t>S-C-01-03</t>
  </si>
  <si>
    <t>SL-C-03-00</t>
  </si>
  <si>
    <t>taken aback</t>
  </si>
  <si>
    <t>sphere of existence</t>
  </si>
  <si>
    <t>SL-C-03-01</t>
  </si>
  <si>
    <t>SU-B-01-01</t>
  </si>
  <si>
    <t>tailgater</t>
  </si>
  <si>
    <t>SL-C-03-02</t>
  </si>
  <si>
    <t>step on a crack, break your ninja's back</t>
  </si>
  <si>
    <t>SL-C-03-03</t>
  </si>
  <si>
    <t>box-shaped heart</t>
  </si>
  <si>
    <t>a strictly optional haunting</t>
  </si>
  <si>
    <t>SL-C-03-04</t>
  </si>
  <si>
    <t>checkmate</t>
  </si>
  <si>
    <t>S-C-01-04</t>
  </si>
  <si>
    <t>the jumpening</t>
  </si>
  <si>
    <t>SL-D-03-00</t>
  </si>
  <si>
    <t>decoder ring</t>
  </si>
  <si>
    <t>SU-B-01-02</t>
  </si>
  <si>
    <t>SL-D-03-01</t>
  </si>
  <si>
    <t>the jeezly</t>
  </si>
  <si>
    <t>SL-D-03-02</t>
  </si>
  <si>
    <t>return trip</t>
  </si>
  <si>
    <t>SL-D-03-03</t>
  </si>
  <si>
    <t>E++</t>
  </si>
  <si>
    <t>n-key kong</t>
  </si>
  <si>
    <t>SL-D-03-04</t>
  </si>
  <si>
    <t>outrun</t>
  </si>
  <si>
    <t>SL-E-03-00</t>
  </si>
  <si>
    <t>refactory</t>
  </si>
  <si>
    <t>G--T--E--</t>
  </si>
  <si>
    <t>SL-E-03-01</t>
  </si>
  <si>
    <t>there for the taking</t>
  </si>
  <si>
    <t>SL-E-03-02</t>
  </si>
  <si>
    <t>by will alone</t>
  </si>
  <si>
    <t>your basic triangle laser trap</t>
  </si>
  <si>
    <t>SL-E-03-03</t>
  </si>
  <si>
    <t>S-D-01-00</t>
  </si>
  <si>
    <t>a daring daylight raid</t>
  </si>
  <si>
    <t>pavlov's ninja</t>
  </si>
  <si>
    <t>SL-E-03-04</t>
  </si>
  <si>
    <t>SU-B-01-03</t>
  </si>
  <si>
    <t>effervescence</t>
  </si>
  <si>
    <t>G--T++O++</t>
  </si>
  <si>
    <t>SL-A-04-00</t>
  </si>
  <si>
    <t>old-school like a sysop in high-tops</t>
  </si>
  <si>
    <t>G++T--O--</t>
  </si>
  <si>
    <t>SL-A-04-01</t>
  </si>
  <si>
    <t>superstructured</t>
  </si>
  <si>
    <t>the barricades</t>
  </si>
  <si>
    <t>G--O++C++</t>
  </si>
  <si>
    <t>SL-A-04-02</t>
  </si>
  <si>
    <t>knot funny</t>
  </si>
  <si>
    <t>S-D-01-01</t>
  </si>
  <si>
    <t>SL-A-04-03</t>
  </si>
  <si>
    <t>no running in the hallway</t>
  </si>
  <si>
    <t>asterisky</t>
  </si>
  <si>
    <t>SU-B-01-04</t>
  </si>
  <si>
    <t>SL-A-04-04</t>
  </si>
  <si>
    <t>the bends</t>
  </si>
  <si>
    <t>SL-B-04-00</t>
  </si>
  <si>
    <t>variable aitch</t>
  </si>
  <si>
    <t>SL-B-04-01</t>
  </si>
  <si>
    <t>coprocessor</t>
  </si>
  <si>
    <t>SL-B-04-02</t>
  </si>
  <si>
    <t>railings of doom</t>
  </si>
  <si>
    <t>kohoku</t>
  </si>
  <si>
    <t>vector poem</t>
  </si>
  <si>
    <t>SL-B-04-03</t>
  </si>
  <si>
    <t>SU-C-01-00</t>
  </si>
  <si>
    <t>ninja's first whatever the hell that is</t>
  </si>
  <si>
    <t>S-D-01-02</t>
  </si>
  <si>
    <t>SL-B-04-04</t>
  </si>
  <si>
    <t>under the sea</t>
  </si>
  <si>
    <t>SL-C-04-00</t>
  </si>
  <si>
    <t>O my</t>
  </si>
  <si>
    <t>SL-C-04-01</t>
  </si>
  <si>
    <t>maas</t>
  </si>
  <si>
    <t>go fish</t>
  </si>
  <si>
    <t>SL-C-04-02</t>
  </si>
  <si>
    <t>ka-razy</t>
  </si>
  <si>
    <t>S-D-01-03</t>
  </si>
  <si>
    <t>SL-C-04-03</t>
  </si>
  <si>
    <t>danger dance B</t>
  </si>
  <si>
    <t>SL-C-04-04</t>
  </si>
  <si>
    <t>a bit gold-fashioned</t>
  </si>
  <si>
    <t>platform blindness</t>
  </si>
  <si>
    <t>SL-D-04-00</t>
  </si>
  <si>
    <t>out of the blue 2</t>
  </si>
  <si>
    <t>SU-C-01-01</t>
  </si>
  <si>
    <t>SL-D-04-01</t>
  </si>
  <si>
    <t>starscreams</t>
  </si>
  <si>
    <t>SL-D-04-02</t>
  </si>
  <si>
    <t>straylight axis</t>
  </si>
  <si>
    <t>SL-D-04-03</t>
  </si>
  <si>
    <t>data base</t>
  </si>
  <si>
    <t>rather poorly designed killing chambers</t>
  </si>
  <si>
    <t>SL-D-04-04</t>
  </si>
  <si>
    <t>SU-C-01-02</t>
  </si>
  <si>
    <t>jinx malloy</t>
  </si>
  <si>
    <t>SL-E-04-00</t>
  </si>
  <si>
    <t>mazemerizing</t>
  </si>
  <si>
    <t>SL-E-04-01</t>
  </si>
  <si>
    <t>the pit and the n-dulum</t>
  </si>
  <si>
    <t>one got loose</t>
  </si>
  <si>
    <t>cut out</t>
  </si>
  <si>
    <t>SL-E-04-02</t>
  </si>
  <si>
    <t>S-D-01-04</t>
  </si>
  <si>
    <t>SU-C-01-03</t>
  </si>
  <si>
    <t>escarpment</t>
  </si>
  <si>
    <t>SL-E-04-03</t>
  </si>
  <si>
    <t>all your base are belong to their respective owners</t>
  </si>
  <si>
    <t>SL-E-04-04</t>
  </si>
  <si>
    <t>pale grey sky</t>
  </si>
  <si>
    <t>SL-A-05-00</t>
  </si>
  <si>
    <t>inverted access</t>
  </si>
  <si>
    <t>let's hope the giant bees are on vacation</t>
  </si>
  <si>
    <t>SU-C-01-04</t>
  </si>
  <si>
    <t>SL-A-05-01</t>
  </si>
  <si>
    <t>fields, endless fields..</t>
  </si>
  <si>
    <t>alex austin's metaphor of life</t>
  </si>
  <si>
    <t>S-E-01-00</t>
  </si>
  <si>
    <t>super colliders</t>
  </si>
  <si>
    <t>SL-A-05-02</t>
  </si>
  <si>
    <t>ninja's first balancing act</t>
  </si>
  <si>
    <t>SU-D-01-00</t>
  </si>
  <si>
    <t>SL-A-05-03</t>
  </si>
  <si>
    <t>exciting opportunities for advancement</t>
  </si>
  <si>
    <t>SL-A-05-04</t>
  </si>
  <si>
    <t>cave flier</t>
  </si>
  <si>
    <t>stop all the downloadin'</t>
  </si>
  <si>
    <t>S-E-01-01</t>
  </si>
  <si>
    <t>SL-B-05-00</t>
  </si>
  <si>
    <t>dead end</t>
  </si>
  <si>
    <t>metaphysical transporter</t>
  </si>
  <si>
    <t>SL-B-05-01</t>
  </si>
  <si>
    <t>o gymru</t>
  </si>
  <si>
    <t>SU-D-01-01</t>
  </si>
  <si>
    <t>SL-B-05-02</t>
  </si>
  <si>
    <t>near-death experiences</t>
  </si>
  <si>
    <t>SL-B-05-03</t>
  </si>
  <si>
    <t>concentric</t>
  </si>
  <si>
    <t>SL-B-05-04</t>
  </si>
  <si>
    <t>n-tropy</t>
  </si>
  <si>
    <t>voices from the lake</t>
  </si>
  <si>
    <t>SL-C-05-00</t>
  </si>
  <si>
    <t>lithium-ionized</t>
  </si>
  <si>
    <t>SL-C-05-01</t>
  </si>
  <si>
    <t>dead ends</t>
  </si>
  <si>
    <t>S-E-01-02</t>
  </si>
  <si>
    <t>SL-C-05-02</t>
  </si>
  <si>
    <t>no clipping</t>
  </si>
  <si>
    <t>underground</t>
  </si>
  <si>
    <t>SL-C-05-03</t>
  </si>
  <si>
    <t>SU-D-01-02</t>
  </si>
  <si>
    <t>electric avenue</t>
  </si>
  <si>
    <t>SL-C-05-04</t>
  </si>
  <si>
    <t>fort awesome</t>
  </si>
  <si>
    <t>SL-D-05-00</t>
  </si>
  <si>
    <t>neuroscan</t>
  </si>
  <si>
    <t>SL-D-05-01</t>
  </si>
  <si>
    <t>avoidance tactic</t>
  </si>
  <si>
    <t>SL-D-05-02</t>
  </si>
  <si>
    <t>fine-toothed comb-over</t>
  </si>
  <si>
    <t>SL-D-05-03</t>
  </si>
  <si>
    <t>glutney</t>
  </si>
  <si>
    <t>auxiliary patroller</t>
  </si>
  <si>
    <t>SL-D-05-04</t>
  </si>
  <si>
    <t>control</t>
  </si>
  <si>
    <t>SU-D-01-03</t>
  </si>
  <si>
    <t>zingy zaps</t>
  </si>
  <si>
    <t>SL-E-05-00</t>
  </si>
  <si>
    <t>superliminal x</t>
  </si>
  <si>
    <t>S-E-01-03</t>
  </si>
  <si>
    <t>SL-E-05-01</t>
  </si>
  <si>
    <t>loopy</t>
  </si>
  <si>
    <t>SL-E-05-02</t>
  </si>
  <si>
    <t>neural net</t>
  </si>
  <si>
    <t>SL-E-05-03</t>
  </si>
  <si>
    <t>brainial stimulation</t>
  </si>
  <si>
    <t>die trying</t>
  </si>
  <si>
    <t>SL-E-05-04</t>
  </si>
  <si>
    <t>SU-D-01-04</t>
  </si>
  <si>
    <t>everything i long for</t>
  </si>
  <si>
    <t>SL-A-06-00</t>
  </si>
  <si>
    <t>third strike</t>
  </si>
  <si>
    <t>hex sick</t>
  </si>
  <si>
    <t>SL-A-06-01</t>
  </si>
  <si>
    <t>the pits</t>
  </si>
  <si>
    <t>S-E-01-04</t>
  </si>
  <si>
    <t>SL-A-06-02</t>
  </si>
  <si>
    <t>evac d</t>
  </si>
  <si>
    <t>SL-A-06-03</t>
  </si>
  <si>
    <t>deft punk</t>
  </si>
  <si>
    <t>SL-A-06-04</t>
  </si>
  <si>
    <t>the honey tree</t>
  </si>
  <si>
    <t xml:space="preserve"> G--T++</t>
  </si>
  <si>
    <t>SL-B-06-00</t>
  </si>
  <si>
    <t>the noodler</t>
  </si>
  <si>
    <t>death by misadventure</t>
  </si>
  <si>
    <t>SU-E-01-00</t>
  </si>
  <si>
    <t>SL-B-06-01</t>
  </si>
  <si>
    <t>pontifex</t>
  </si>
  <si>
    <t>SL-B-06-02</t>
  </si>
  <si>
    <t>the perfectra</t>
  </si>
  <si>
    <t>sky school</t>
  </si>
  <si>
    <t>SL-B-06-03</t>
  </si>
  <si>
    <t>S-A-02-00</t>
  </si>
  <si>
    <t>lasey</t>
  </si>
  <si>
    <t>SU-E-01-01</t>
  </si>
  <si>
    <t>particulate</t>
  </si>
  <si>
    <t>SL-B-06-04</t>
  </si>
  <si>
    <t>to blave</t>
  </si>
  <si>
    <t>SL-C-06-00</t>
  </si>
  <si>
    <t>it's full of stars</t>
  </si>
  <si>
    <t>stung</t>
  </si>
  <si>
    <t>SL-C-06-01</t>
  </si>
  <si>
    <t>S-A-02-01</t>
  </si>
  <si>
    <t>candy dish</t>
  </si>
  <si>
    <t>SL-C-06-02</t>
  </si>
  <si>
    <t>majestic</t>
  </si>
  <si>
    <t>SL-C-06-03</t>
  </si>
  <si>
    <t>put on your dancing shoes</t>
  </si>
  <si>
    <t>SL-C-06-04</t>
  </si>
  <si>
    <t>oldschool like aztecs but new in other aspects</t>
  </si>
  <si>
    <t>SL-D-06-00</t>
  </si>
  <si>
    <t>the jeezster</t>
  </si>
  <si>
    <t>the year is 199X</t>
  </si>
  <si>
    <t>SL-D-06-01</t>
  </si>
  <si>
    <t>S-A-02-02</t>
  </si>
  <si>
    <t>G++C--</t>
  </si>
  <si>
    <t>sands of time</t>
  </si>
  <si>
    <t>SL-D-06-02</t>
  </si>
  <si>
    <t>serial jump zone</t>
  </si>
  <si>
    <t>good as gold</t>
  </si>
  <si>
    <t>SL-D-06-03</t>
  </si>
  <si>
    <t>the name of the rose</t>
  </si>
  <si>
    <t>SU-E-01-02</t>
  </si>
  <si>
    <t>SL-D-06-04</t>
  </si>
  <si>
    <t>skyfires</t>
  </si>
  <si>
    <t>SL-E-06-00</t>
  </si>
  <si>
    <t>ocean spray</t>
  </si>
  <si>
    <t>dances with rockets</t>
  </si>
  <si>
    <t>SL-E-06-01</t>
  </si>
  <si>
    <t>S-A-02-03</t>
  </si>
  <si>
    <t>integument</t>
  </si>
  <si>
    <t>SL-E-06-02</t>
  </si>
  <si>
    <t>methodical A</t>
  </si>
  <si>
    <t>pocket rocket</t>
  </si>
  <si>
    <t>SL-E-06-03</t>
  </si>
  <si>
    <t>the ultimate</t>
  </si>
  <si>
    <t>SU-E-01-03</t>
  </si>
  <si>
    <t>SL-E-06-04</t>
  </si>
  <si>
    <t>obstacle cores</t>
  </si>
  <si>
    <t>SL-A-07-00</t>
  </si>
  <si>
    <t>ninja's first temptation</t>
  </si>
  <si>
    <t>SL-A-07-01</t>
  </si>
  <si>
    <t>squarangulation</t>
  </si>
  <si>
    <t>b-steps</t>
  </si>
  <si>
    <t>SL-A-07-02</t>
  </si>
  <si>
    <t>S-A-02-04</t>
  </si>
  <si>
    <t>stimulant</t>
  </si>
  <si>
    <t>SL-A-07-03</t>
  </si>
  <si>
    <t>extremely cross</t>
  </si>
  <si>
    <t>SL-A-07-04</t>
  </si>
  <si>
    <t>billesque</t>
  </si>
  <si>
    <t>SL-B-07-00</t>
  </si>
  <si>
    <t>tricksy</t>
  </si>
  <si>
    <t>atmosphere recycler</t>
  </si>
  <si>
    <t>hesitation</t>
  </si>
  <si>
    <t>SL-B-07-01</t>
  </si>
  <si>
    <t>hampered</t>
  </si>
  <si>
    <t>S-B-02-00</t>
  </si>
  <si>
    <t>SU-E-01-04</t>
  </si>
  <si>
    <t>SL-B-07-02</t>
  </si>
  <si>
    <t>hidey holes</t>
  </si>
  <si>
    <t>SL-B-07-03</t>
  </si>
  <si>
    <t>de vermis mysteriis</t>
  </si>
  <si>
    <t>SL-B-07-04</t>
  </si>
  <si>
    <t>product placement</t>
  </si>
  <si>
    <t>over it</t>
  </si>
  <si>
    <t>S-B-02-01</t>
  </si>
  <si>
    <t>the jackpot</t>
  </si>
  <si>
    <t>SU-A-02-00</t>
  </si>
  <si>
    <t>SL-C-07-00</t>
  </si>
  <si>
    <t>choose your own misadventure</t>
  </si>
  <si>
    <t>SL-C-07-01</t>
  </si>
  <si>
    <t>snatch and grab</t>
  </si>
  <si>
    <t>G--T++O++C++E++</t>
  </si>
  <si>
    <t>SL-C-07-02</t>
  </si>
  <si>
    <t>[!!!!!]</t>
  </si>
  <si>
    <t>i am the cancer</t>
  </si>
  <si>
    <t>SL-C-07-03</t>
  </si>
  <si>
    <t>docking mechanism</t>
  </si>
  <si>
    <t>SL-C-07-04</t>
  </si>
  <si>
    <t>efficacy</t>
  </si>
  <si>
    <t>carouse hell</t>
  </si>
  <si>
    <t>gate sequencer</t>
  </si>
  <si>
    <t>SL-D-07-00</t>
  </si>
  <si>
    <t>greentone</t>
  </si>
  <si>
    <t>S-B-02-02</t>
  </si>
  <si>
    <t>SL-D-07-01</t>
  </si>
  <si>
    <t>SU-A-02-01</t>
  </si>
  <si>
    <t>postmod</t>
  </si>
  <si>
    <t>SL-D-07-02</t>
  </si>
  <si>
    <t>recurring nightmare</t>
  </si>
  <si>
    <t>SL-D-07-03</t>
  </si>
  <si>
    <t>who knew drones moved with such agonizing sloth?</t>
  </si>
  <si>
    <t>through the habitrails</t>
  </si>
  <si>
    <t>SL-D-07-04</t>
  </si>
  <si>
    <t>take it or grieve it</t>
  </si>
  <si>
    <t>SU-A-02-02</t>
  </si>
  <si>
    <t>SL-E-07-00</t>
  </si>
  <si>
    <t>plaftormer</t>
  </si>
  <si>
    <t>twice round</t>
  </si>
  <si>
    <t>SL-E-07-01</t>
  </si>
  <si>
    <t>S-B-02-03</t>
  </si>
  <si>
    <t>thumb-twister</t>
  </si>
  <si>
    <t>SL-E-07-02</t>
  </si>
  <si>
    <t>ender</t>
  </si>
  <si>
    <t>rocket room</t>
  </si>
  <si>
    <t>SL-E-07-03</t>
  </si>
  <si>
    <t>SU-A-02-03</t>
  </si>
  <si>
    <t>fear the reaper</t>
  </si>
  <si>
    <t>SL-E-07-04</t>
  </si>
  <si>
    <t>golgi apparatchik</t>
  </si>
  <si>
    <t>SL-A-08-00</t>
  </si>
  <si>
    <t>deconstruction set</t>
  </si>
  <si>
    <t>anatomy of a level</t>
  </si>
  <si>
    <t>S-B-02-04</t>
  </si>
  <si>
    <t>sequelitis</t>
  </si>
  <si>
    <t>SL-A-08-01</t>
  </si>
  <si>
    <t>digital distortion</t>
  </si>
  <si>
    <t>SU-A-02-04</t>
  </si>
  <si>
    <t>SL-A-08-02</t>
  </si>
  <si>
    <t>wait for it..</t>
  </si>
  <si>
    <t>SL-A-08-03</t>
  </si>
  <si>
    <t>feathered</t>
  </si>
  <si>
    <t>SL-A-08-04</t>
  </si>
  <si>
    <t>stock prices</t>
  </si>
  <si>
    <t>fractality</t>
  </si>
  <si>
    <t>SL-B-08-00</t>
  </si>
  <si>
    <t>S-C-02-00</t>
  </si>
  <si>
    <t>bunker down</t>
  </si>
  <si>
    <t>SL-B-08-01</t>
  </si>
  <si>
    <t>hypnotic</t>
  </si>
  <si>
    <t>G--T++E--</t>
  </si>
  <si>
    <t>SL-B-08-02</t>
  </si>
  <si>
    <t>G++T--E++</t>
  </si>
  <si>
    <t>shimmy shakes</t>
  </si>
  <si>
    <t>SL-B-08-03</t>
  </si>
  <si>
    <t>en passant</t>
  </si>
  <si>
    <t>vertical loop</t>
  </si>
  <si>
    <t>SL-B-08-04</t>
  </si>
  <si>
    <t>SU-B-02-00</t>
  </si>
  <si>
    <t>slow nerve action</t>
  </si>
  <si>
    <t>SL-C-08-00</t>
  </si>
  <si>
    <t>speedo</t>
  </si>
  <si>
    <t>electroencephalograffiti</t>
  </si>
  <si>
    <t>SL-C-08-01</t>
  </si>
  <si>
    <t>S-C-02-01</t>
  </si>
  <si>
    <t>mu</t>
  </si>
  <si>
    <t>SL-C-08-02</t>
  </si>
  <si>
    <t>shut it down</t>
  </si>
  <si>
    <t>SL-C-08-03</t>
  </si>
  <si>
    <t>solaar</t>
  </si>
  <si>
    <t>that forever empty</t>
  </si>
  <si>
    <t>SL-C-08-04</t>
  </si>
  <si>
    <t>broke n hearted</t>
  </si>
  <si>
    <t>SU-B-02-01</t>
  </si>
  <si>
    <t>SL-D-08-00</t>
  </si>
  <si>
    <t>Droids 'B' Us</t>
  </si>
  <si>
    <t>galorb</t>
  </si>
  <si>
    <t>SL-D-08-01</t>
  </si>
  <si>
    <t>S-C-02-02</t>
  </si>
  <si>
    <t>keep away</t>
  </si>
  <si>
    <t>SL-D-08-02</t>
  </si>
  <si>
    <t>industrial zone X</t>
  </si>
  <si>
    <t>SL-D-08-03</t>
  </si>
  <si>
    <t>hill complex</t>
  </si>
  <si>
    <t>abandoned facility</t>
  </si>
  <si>
    <t>SL-D-08-04</t>
  </si>
  <si>
    <t>S-C-02-03</t>
  </si>
  <si>
    <t>somewhere over the greynbow</t>
  </si>
  <si>
    <t>SL-E-08-00</t>
  </si>
  <si>
    <t>flexibility</t>
  </si>
  <si>
    <t>teeth</t>
  </si>
  <si>
    <t>SU-B-02-02</t>
  </si>
  <si>
    <t>SL-E-08-01</t>
  </si>
  <si>
    <t>jumping someone else's train</t>
  </si>
  <si>
    <t>hallway monitor</t>
  </si>
  <si>
    <t>SL-E-08-02</t>
  </si>
  <si>
    <t>S-C-02-04</t>
  </si>
  <si>
    <t>rooftop</t>
  </si>
  <si>
    <t>SL-E-08-03</t>
  </si>
  <si>
    <t>daredevil</t>
  </si>
  <si>
    <t>SL-E-08-04</t>
  </si>
  <si>
    <t>8-bit canyon</t>
  </si>
  <si>
    <t>nanotechnological space flower</t>
  </si>
  <si>
    <t>fract'd</t>
  </si>
  <si>
    <t>SL-A-09-00</t>
  </si>
  <si>
    <t>unstable</t>
  </si>
  <si>
    <t>SU-B-02-03</t>
  </si>
  <si>
    <t>S-D-02-00</t>
  </si>
  <si>
    <t>SL-A-09-01</t>
  </si>
  <si>
    <t>superliminal</t>
  </si>
  <si>
    <t>SL-A-09-02</t>
  </si>
  <si>
    <t>ramen brother</t>
  </si>
  <si>
    <t>G++T++E--</t>
  </si>
  <si>
    <t>SL-A-09-03</t>
  </si>
  <si>
    <t>asymptote</t>
  </si>
  <si>
    <t>SL-A-09-04</t>
  </si>
  <si>
    <t>gauss darn it</t>
  </si>
  <si>
    <t>concrete garden</t>
  </si>
  <si>
    <t>SL-B-09-00</t>
  </si>
  <si>
    <t>creeping closer</t>
  </si>
  <si>
    <t>SU-B-02-04</t>
  </si>
  <si>
    <t>bypass</t>
  </si>
  <si>
    <t>S-D-02-01</t>
  </si>
  <si>
    <t>SL-B-09-01</t>
  </si>
  <si>
    <t>knackered</t>
  </si>
  <si>
    <t>SL-B-09-02</t>
  </si>
  <si>
    <t>i'm going to marry a caret</t>
  </si>
  <si>
    <t>SL-B-09-03</t>
  </si>
  <si>
    <t>Level 5, Detention Block AA-23</t>
  </si>
  <si>
    <t>SL-B-09-04</t>
  </si>
  <si>
    <t>improv</t>
  </si>
  <si>
    <t>SL-C-09-00</t>
  </si>
  <si>
    <t>self-serve</t>
  </si>
  <si>
    <t>a little too light on the hippity hop</t>
  </si>
  <si>
    <t>SL-C-09-01</t>
  </si>
  <si>
    <t>fancy footwork</t>
  </si>
  <si>
    <t>G(old) turns to D(eath)</t>
  </si>
  <si>
    <t>SU-C-02-00</t>
  </si>
  <si>
    <t>SL-C-09-02</t>
  </si>
  <si>
    <t>S-D-02-02</t>
  </si>
  <si>
    <t>smoothsteps</t>
  </si>
  <si>
    <t>SL-C-09-03</t>
  </si>
  <si>
    <t>river run</t>
  </si>
  <si>
    <t>SL-C-09-04</t>
  </si>
  <si>
    <t>fribbulus xax</t>
  </si>
  <si>
    <t>SL-D-09-00</t>
  </si>
  <si>
    <t>daring do</t>
  </si>
  <si>
    <t>SL-D-09-01</t>
  </si>
  <si>
    <t>barglers</t>
  </si>
  <si>
    <t>scaffolded</t>
  </si>
  <si>
    <t>a real gold-getter</t>
  </si>
  <si>
    <t>SL-D-09-02</t>
  </si>
  <si>
    <t>S-D-02-03</t>
  </si>
  <si>
    <t>made muck of</t>
  </si>
  <si>
    <t>SU-C-02-01</t>
  </si>
  <si>
    <t>SL-D-09-03</t>
  </si>
  <si>
    <t>rotary club</t>
  </si>
  <si>
    <t>SL-D-09-04</t>
  </si>
  <si>
    <t>a thousand times no</t>
  </si>
  <si>
    <t>loose</t>
  </si>
  <si>
    <t>SL-E-09-00</t>
  </si>
  <si>
    <t>stantastic</t>
  </si>
  <si>
    <t>SU-C-02-02</t>
  </si>
  <si>
    <t>alien wreck</t>
  </si>
  <si>
    <t>SL-E-09-01</t>
  </si>
  <si>
    <t>all is full of love</t>
  </si>
  <si>
    <t>S-D-02-04</t>
  </si>
  <si>
    <t>SL-E-09-02</t>
  </si>
  <si>
    <t>interlocking</t>
  </si>
  <si>
    <t>SL-E-09-03</t>
  </si>
  <si>
    <t>master control</t>
  </si>
  <si>
    <t>sharded</t>
  </si>
  <si>
    <t>SL-E-09-04</t>
  </si>
  <si>
    <t>pipeworks</t>
  </si>
  <si>
    <t>metallic tang</t>
  </si>
  <si>
    <t>SL-A-10-00</t>
  </si>
  <si>
    <t>S-E-02-00</t>
  </si>
  <si>
    <t>round and round</t>
  </si>
  <si>
    <t>SU-C-02-03</t>
  </si>
  <si>
    <t>SL-A-10-01</t>
  </si>
  <si>
    <t>crammy plus</t>
  </si>
  <si>
    <t>SL-A-10-02</t>
  </si>
  <si>
    <t>rhomba</t>
  </si>
  <si>
    <t>SL-A-10-03</t>
  </si>
  <si>
    <t>accidentally quadratic</t>
  </si>
  <si>
    <t>mild rumpus</t>
  </si>
  <si>
    <t>rhetorical device</t>
  </si>
  <si>
    <t>SU-C-02-04</t>
  </si>
  <si>
    <t>S-E-02-01</t>
  </si>
  <si>
    <t>SL-A-10-04</t>
  </si>
  <si>
    <t>chandeliers</t>
  </si>
  <si>
    <t>meat tornado</t>
  </si>
  <si>
    <t>SU-D-02-00</t>
  </si>
  <si>
    <t>deep within the mine mines</t>
  </si>
  <si>
    <t>SL-B-10-00</t>
  </si>
  <si>
    <t>blocky</t>
  </si>
  <si>
    <t>S-E-02-02</t>
  </si>
  <si>
    <t>SL-B-10-01</t>
  </si>
  <si>
    <t>headspace</t>
  </si>
  <si>
    <t>SL-B-10-02</t>
  </si>
  <si>
    <t>tooth skin</t>
  </si>
  <si>
    <t>SL-B-10-03</t>
  </si>
  <si>
    <t>invasive maneuvers</t>
  </si>
  <si>
    <t>please securely fasten the controller wrist strap</t>
  </si>
  <si>
    <t>SU-D-02-01</t>
  </si>
  <si>
    <t>slim odds</t>
  </si>
  <si>
    <t>SL-B-10-04</t>
  </si>
  <si>
    <t>interior node</t>
  </si>
  <si>
    <t>S-E-02-03</t>
  </si>
  <si>
    <t>SL-C-10-00</t>
  </si>
  <si>
    <t>precursor</t>
  </si>
  <si>
    <t>SL-C-10-01</t>
  </si>
  <si>
    <t>rough around the edges</t>
  </si>
  <si>
    <t>SL-C-10-02</t>
  </si>
  <si>
    <t>blokus'd</t>
  </si>
  <si>
    <t>disposable training wheels</t>
  </si>
  <si>
    <t>two trick pony</t>
  </si>
  <si>
    <t>S-E-02-04</t>
  </si>
  <si>
    <t>SU-D-02-02</t>
  </si>
  <si>
    <t>SL-C-10-03</t>
  </si>
  <si>
    <t>snaggy cleft</t>
  </si>
  <si>
    <t>G--C++E++</t>
  </si>
  <si>
    <t>SL-C-10-04</t>
  </si>
  <si>
    <t>just keep it moving</t>
  </si>
  <si>
    <t>SL-D-10-00</t>
  </si>
  <si>
    <t>it's more scared of you than you are of it</t>
  </si>
  <si>
    <t>G--O++</t>
  </si>
  <si>
    <t>SL-D-10-01</t>
  </si>
  <si>
    <t>it's not a race. oh wait, it is.</t>
  </si>
  <si>
    <t>SL-D-10-02</t>
  </si>
  <si>
    <t>interference pattern</t>
  </si>
  <si>
    <t>SL-D-10-03</t>
  </si>
  <si>
    <t>quadruple jeopardy</t>
  </si>
  <si>
    <t>a bang and a whimper</t>
  </si>
  <si>
    <t>SU-D-02-03</t>
  </si>
  <si>
    <t>galaxeasy</t>
  </si>
  <si>
    <t>SL-D-10-04</t>
  </si>
  <si>
    <t>S-A-03-00</t>
  </si>
  <si>
    <t>the return of forever</t>
  </si>
  <si>
    <t>SL-E-10-00</t>
  </si>
  <si>
    <t>fear is the little-death</t>
  </si>
  <si>
    <t>SL-E-10-01</t>
  </si>
  <si>
    <t>concealed</t>
  </si>
  <si>
    <t>spirogyrations</t>
  </si>
  <si>
    <t>SL-E-10-02</t>
  </si>
  <si>
    <t>hungry, hungry ninjas</t>
  </si>
  <si>
    <t>SU-D-02-04</t>
  </si>
  <si>
    <t>SL-E-10-03</t>
  </si>
  <si>
    <t>the larch</t>
  </si>
  <si>
    <t>strolly</t>
  </si>
  <si>
    <t>SL-E-10-04</t>
  </si>
  <si>
    <t>I hope that someone gets my ninja in a bottle</t>
  </si>
  <si>
    <t>S-A-03-01</t>
  </si>
  <si>
    <t>SL-A-11-00</t>
  </si>
  <si>
    <t>watch</t>
  </si>
  <si>
    <t>dizzy spell</t>
  </si>
  <si>
    <t>SU-E-02-00</t>
  </si>
  <si>
    <t>SL-A-11-01</t>
  </si>
  <si>
    <t>unfinished business</t>
  </si>
  <si>
    <t>SL-A-11-02</t>
  </si>
  <si>
    <t>chev</t>
  </si>
  <si>
    <t>deathtrap?</t>
  </si>
  <si>
    <t>SL-A-11-03</t>
  </si>
  <si>
    <t>sudden valley</t>
  </si>
  <si>
    <t>S-A-03-02</t>
  </si>
  <si>
    <t>SL-A-11-04</t>
  </si>
  <si>
    <t>undersampling</t>
  </si>
  <si>
    <t>crest</t>
  </si>
  <si>
    <t>SL-B-11-00</t>
  </si>
  <si>
    <t>SU-E-02-01</t>
  </si>
  <si>
    <t>blatant danger</t>
  </si>
  <si>
    <t>SL-B-11-01</t>
  </si>
  <si>
    <t>blue-grey cross</t>
  </si>
  <si>
    <t>SL-B-11-02</t>
  </si>
  <si>
    <t>softshoe</t>
  </si>
  <si>
    <t>SL-B-11-03</t>
  </si>
  <si>
    <t>shell game</t>
  </si>
  <si>
    <t>SL-B-11-04</t>
  </si>
  <si>
    <t>things that make you go boom</t>
  </si>
  <si>
    <t>SL-C-11-00</t>
  </si>
  <si>
    <t>electric jellyfish</t>
  </si>
  <si>
    <t>SL-C-11-01</t>
  </si>
  <si>
    <t>killswitch</t>
  </si>
  <si>
    <t>monoceros</t>
  </si>
  <si>
    <t>takes time</t>
  </si>
  <si>
    <t>SL-C-11-02</t>
  </si>
  <si>
    <t>SU-E-02-02</t>
  </si>
  <si>
    <t>you needn't worry about your reward</t>
  </si>
  <si>
    <t>S-A-03-03</t>
  </si>
  <si>
    <t>SL-C-11-03</t>
  </si>
  <si>
    <t>snuff box</t>
  </si>
  <si>
    <t>SL-C-11-04</t>
  </si>
  <si>
    <t>spot the differences</t>
  </si>
  <si>
    <t>SL-D-11-00</t>
  </si>
  <si>
    <t>dilated</t>
  </si>
  <si>
    <t>scared of your own shadow</t>
  </si>
  <si>
    <t>SL-D-11-01</t>
  </si>
  <si>
    <t>SU-E-02-03</t>
  </si>
  <si>
    <t>trungie</t>
  </si>
  <si>
    <t>twice removed</t>
  </si>
  <si>
    <t>S-A-03-04</t>
  </si>
  <si>
    <t>SL-D-11-02</t>
  </si>
  <si>
    <t>smattering x</t>
  </si>
  <si>
    <t>SL-D-11-03</t>
  </si>
  <si>
    <t>access tunnel</t>
  </si>
  <si>
    <t>SL-D-11-04</t>
  </si>
  <si>
    <t>creation</t>
  </si>
  <si>
    <t>a precipice for disaster</t>
  </si>
  <si>
    <t>SU-E-02-04</t>
  </si>
  <si>
    <t>SL-E-11-00</t>
  </si>
  <si>
    <t>back to school</t>
  </si>
  <si>
    <t>SL-E-11-01</t>
  </si>
  <si>
    <t>attrition</t>
  </si>
  <si>
    <t>SL-E-11-02</t>
  </si>
  <si>
    <t>prickly pete</t>
  </si>
  <si>
    <t>unsuperimpossible</t>
  </si>
  <si>
    <t>S-B-03-00</t>
  </si>
  <si>
    <t>SL-E-11-03</t>
  </si>
  <si>
    <t>the almighty lorg</t>
  </si>
  <si>
    <t>C++E++</t>
  </si>
  <si>
    <t>SL-E-11-04</t>
  </si>
  <si>
    <t>gronnick</t>
  </si>
  <si>
    <t>SL-A-12-00</t>
  </si>
  <si>
    <t>mine-altering substance</t>
  </si>
  <si>
    <t>deku</t>
  </si>
  <si>
    <t>S-B-03-01</t>
  </si>
  <si>
    <t>SL-A-12-01</t>
  </si>
  <si>
    <t>unsafe passage</t>
  </si>
  <si>
    <t>SL-A-12-02</t>
  </si>
  <si>
    <t>blast ceiling</t>
  </si>
  <si>
    <t>SL-A-12-03</t>
  </si>
  <si>
    <t>mille plateaux</t>
  </si>
  <si>
    <t>fort cut</t>
  </si>
  <si>
    <t>SU-A-03-00</t>
  </si>
  <si>
    <t>SL-A-12-04</t>
  </si>
  <si>
    <t>binary star</t>
  </si>
  <si>
    <t>SL-B-12-00</t>
  </si>
  <si>
    <t>strange growth</t>
  </si>
  <si>
    <t>SL-B-12-01</t>
  </si>
  <si>
    <t>tiny problems</t>
  </si>
  <si>
    <t>fire eater</t>
  </si>
  <si>
    <t>SU-A-03-01</t>
  </si>
  <si>
    <t>SL-B-12-02</t>
  </si>
  <si>
    <t>meandering</t>
  </si>
  <si>
    <t>SL-B-12-03</t>
  </si>
  <si>
    <t>the jaggies</t>
  </si>
  <si>
    <t>completionist's dilemma</t>
  </si>
  <si>
    <t>SL-B-12-04</t>
  </si>
  <si>
    <t>artifactory</t>
  </si>
  <si>
    <t>extra credit hallway</t>
  </si>
  <si>
    <t>S-B-03-02</t>
  </si>
  <si>
    <t>SL-C-12-00</t>
  </si>
  <si>
    <t>SU-A-03-02</t>
  </si>
  <si>
    <t>metaphysical</t>
  </si>
  <si>
    <t>SL-C-12-01</t>
  </si>
  <si>
    <t>sandtraps</t>
  </si>
  <si>
    <t>microgues</t>
  </si>
  <si>
    <t>SU-A-03-03</t>
  </si>
  <si>
    <t>SL-C-12-02</t>
  </si>
  <si>
    <t>prescience</t>
  </si>
  <si>
    <t>SL-C-12-03</t>
  </si>
  <si>
    <t>gobias industries</t>
  </si>
  <si>
    <t>SL-C-12-04</t>
  </si>
  <si>
    <t>oh my frangible heart</t>
  </si>
  <si>
    <t>goldaholics anonymous</t>
  </si>
  <si>
    <t>SU-A-03-04</t>
  </si>
  <si>
    <t>SL-D-12-00</t>
  </si>
  <si>
    <t>roguish</t>
  </si>
  <si>
    <t>ode to a small lump of green putty</t>
  </si>
  <si>
    <t>S-B-03-03</t>
  </si>
  <si>
    <t>SL-D-12-01</t>
  </si>
  <si>
    <t>stratego</t>
  </si>
  <si>
    <t>SL-D-12-02</t>
  </si>
  <si>
    <t>the valley of the shadow</t>
  </si>
  <si>
    <t>hella quids</t>
  </si>
  <si>
    <t>SL-D-12-03</t>
  </si>
  <si>
    <t>S-B-03-04</t>
  </si>
  <si>
    <t>central processing south</t>
  </si>
  <si>
    <t>SL-D-12-04</t>
  </si>
  <si>
    <t>there's no i in teamocil...</t>
  </si>
  <si>
    <t>singles</t>
  </si>
  <si>
    <t>SL-E-12-00</t>
  </si>
  <si>
    <t>both sides of the brobe</t>
  </si>
  <si>
    <t>control freak</t>
  </si>
  <si>
    <t>SU-B-03-00</t>
  </si>
  <si>
    <t>S-C-03-00</t>
  </si>
  <si>
    <t>SL-E-12-01</t>
  </si>
  <si>
    <t>remain calm</t>
  </si>
  <si>
    <t>SL-E-12-02</t>
  </si>
  <si>
    <t>losing control</t>
  </si>
  <si>
    <t>SL-E-12-03</t>
  </si>
  <si>
    <t>deathophobia</t>
  </si>
  <si>
    <t>SL-E-12-04</t>
  </si>
  <si>
    <t>cumulonimble</t>
  </si>
  <si>
    <t>erosive design</t>
  </si>
  <si>
    <t>SL-A-13-00</t>
  </si>
  <si>
    <t>floored</t>
  </si>
  <si>
    <t>SU-B-03-01</t>
  </si>
  <si>
    <t>feeding time</t>
  </si>
  <si>
    <t>S-C-03-01</t>
  </si>
  <si>
    <t>SL-A-13-01</t>
  </si>
  <si>
    <t>hither and yon</t>
  </si>
  <si>
    <t>SL-A-13-02</t>
  </si>
  <si>
    <t>bluffs</t>
  </si>
  <si>
    <t>SL-A-13-03</t>
  </si>
  <si>
    <t>sku</t>
  </si>
  <si>
    <t>chipset</t>
  </si>
  <si>
    <t>SU-B-03-02</t>
  </si>
  <si>
    <t>blorbity fjords</t>
  </si>
  <si>
    <t>SL-A-13-04</t>
  </si>
  <si>
    <t>sabot-n-der</t>
  </si>
  <si>
    <t>S-C-03-02</t>
  </si>
  <si>
    <t>SL-B-13-00</t>
  </si>
  <si>
    <t>all-terrain flow</t>
  </si>
  <si>
    <t>SL-B-13-01</t>
  </si>
  <si>
    <t>dizzing</t>
  </si>
  <si>
    <t>time is just a measurement of life</t>
  </si>
  <si>
    <t>favourite turret</t>
  </si>
  <si>
    <t>SL-B-13-02</t>
  </si>
  <si>
    <t>SU-B-03-03</t>
  </si>
  <si>
    <t>the minerals</t>
  </si>
  <si>
    <t>S-C-03-03</t>
  </si>
  <si>
    <t>SL-B-13-03</t>
  </si>
  <si>
    <t>slinky wizard</t>
  </si>
  <si>
    <t>SL-B-13-04</t>
  </si>
  <si>
    <t>rocket cacciatore</t>
  </si>
  <si>
    <t>SL-C-13-00</t>
  </si>
  <si>
    <t>cavern</t>
  </si>
  <si>
    <t>SL-C-13-01</t>
  </si>
  <si>
    <t>do it yourself</t>
  </si>
  <si>
    <t>plurality</t>
  </si>
  <si>
    <t>SL-C-13-02</t>
  </si>
  <si>
    <t>barriers to entry</t>
  </si>
  <si>
    <t>i set my mind in motion</t>
  </si>
  <si>
    <t>SU-B-03-04</t>
  </si>
  <si>
    <t>S-C-03-04</t>
  </si>
  <si>
    <t>SL-C-13-03</t>
  </si>
  <si>
    <t>mo' mentum</t>
  </si>
  <si>
    <t>SL-C-13-04</t>
  </si>
  <si>
    <t>left branch</t>
  </si>
  <si>
    <t>queasy</t>
  </si>
  <si>
    <t>SL-D-13-00</t>
  </si>
  <si>
    <t>pear-shaped</t>
  </si>
  <si>
    <t>S-D-03-00</t>
  </si>
  <si>
    <t>SL-D-13-01</t>
  </si>
  <si>
    <t>solar power</t>
  </si>
  <si>
    <t>SL-D-13-02</t>
  </si>
  <si>
    <t>stacks of wax</t>
  </si>
  <si>
    <t>SL-D-13-03</t>
  </si>
  <si>
    <t>explosivo</t>
  </si>
  <si>
    <t>platformative years</t>
  </si>
  <si>
    <t>two times</t>
  </si>
  <si>
    <t>SU-C-03-00</t>
  </si>
  <si>
    <t>SL-D-13-04</t>
  </si>
  <si>
    <t>S-D-03-01</t>
  </si>
  <si>
    <t>leptons</t>
  </si>
  <si>
    <t>SL-E-13-00</t>
  </si>
  <si>
    <t>spy row die rah</t>
  </si>
  <si>
    <t>SL-E-13-01</t>
  </si>
  <si>
    <t>exposed faces</t>
  </si>
  <si>
    <t>detourette</t>
  </si>
  <si>
    <t>SL-E-13-02</t>
  </si>
  <si>
    <t>flying circus</t>
  </si>
  <si>
    <t>SU-C-03-01</t>
  </si>
  <si>
    <t>G++E--</t>
  </si>
  <si>
    <t>SL-E-13-03</t>
  </si>
  <si>
    <t>don't fear the reaper</t>
  </si>
  <si>
    <t>SL-E-13-04</t>
  </si>
  <si>
    <t>funjtables</t>
  </si>
  <si>
    <t>SL-A-14-00</t>
  </si>
  <si>
    <t>command and conquer</t>
  </si>
  <si>
    <t>diamond caves</t>
  </si>
  <si>
    <t>be-shot-em-up</t>
  </si>
  <si>
    <t>SL-A-14-01</t>
  </si>
  <si>
    <t>S-D-03-02</t>
  </si>
  <si>
    <t>vitamin yay</t>
  </si>
  <si>
    <t>SU-C-03-02</t>
  </si>
  <si>
    <t>SL-A-14-02</t>
  </si>
  <si>
    <t>timing 101</t>
  </si>
  <si>
    <t>SL-A-14-03</t>
  </si>
  <si>
    <t>alignment</t>
  </si>
  <si>
    <t>SL-A-14-04</t>
  </si>
  <si>
    <t>in the heat of the ninja</t>
  </si>
  <si>
    <t>post-cyberpocalypse</t>
  </si>
  <si>
    <t>SL-B-14-00</t>
  </si>
  <si>
    <t>S-D-03-03</t>
  </si>
  <si>
    <t>jumping through hoops</t>
  </si>
  <si>
    <t>florbity blorbs</t>
  </si>
  <si>
    <t>SL-B-14-01</t>
  </si>
  <si>
    <t>swirl</t>
  </si>
  <si>
    <t>SU-C-03-03</t>
  </si>
  <si>
    <t>T++O++E++</t>
  </si>
  <si>
    <t>SL-B-14-02</t>
  </si>
  <si>
    <t>serenity now</t>
  </si>
  <si>
    <t>SL-B-14-03</t>
  </si>
  <si>
    <t>vaguely satanic chamber</t>
  </si>
  <si>
    <t>G++T--O--E--</t>
  </si>
  <si>
    <t>[????]</t>
  </si>
  <si>
    <t>SL-B-14-04</t>
  </si>
  <si>
    <t>simplicity itself</t>
  </si>
  <si>
    <t>SL-C-14-00</t>
  </si>
  <si>
    <t>bloodjet eye</t>
  </si>
  <si>
    <t>target</t>
  </si>
  <si>
    <t>reiteration</t>
  </si>
  <si>
    <t>S-D-03-04</t>
  </si>
  <si>
    <t>SU-C-03-04</t>
  </si>
  <si>
    <t>SL-C-14-01</t>
  </si>
  <si>
    <t>air matrices</t>
  </si>
  <si>
    <t>SL-C-14-02</t>
  </si>
  <si>
    <t>the longest yard</t>
  </si>
  <si>
    <t>SL-C-14-03</t>
  </si>
  <si>
    <t>hard sync</t>
  </si>
  <si>
    <t>clusterfun</t>
  </si>
  <si>
    <t>SL-C-14-04</t>
  </si>
  <si>
    <t>sheets to the wind</t>
  </si>
  <si>
    <t>by misadventure</t>
  </si>
  <si>
    <t>S-E-03-00</t>
  </si>
  <si>
    <t>SU-D-03-00</t>
  </si>
  <si>
    <t>SL-D-14-00</t>
  </si>
  <si>
    <t>trekker</t>
  </si>
  <si>
    <t>SL-D-14-01</t>
  </si>
  <si>
    <t>like liquid peppermint</t>
  </si>
  <si>
    <t>SL-D-14-02</t>
  </si>
  <si>
    <t>the repository</t>
  </si>
  <si>
    <t>the long and winding road that leads to your death</t>
  </si>
  <si>
    <t>SL-D-14-03</t>
  </si>
  <si>
    <t>S-E-03-01</t>
  </si>
  <si>
    <t>dance</t>
  </si>
  <si>
    <t>double-taps</t>
  </si>
  <si>
    <t>SL-D-14-04</t>
  </si>
  <si>
    <t>SU-D-03-01</t>
  </si>
  <si>
    <t>grudge match</t>
  </si>
  <si>
    <t>SL-E-14-00</t>
  </si>
  <si>
    <t>twinkle twinkle little gold</t>
  </si>
  <si>
    <t>SL-E-14-01</t>
  </si>
  <si>
    <t>rage-o-hol</t>
  </si>
  <si>
    <t>defiance</t>
  </si>
  <si>
    <t>SL-E-14-02</t>
  </si>
  <si>
    <t>original exit strategy</t>
  </si>
  <si>
    <t>S-E-03-02</t>
  </si>
  <si>
    <t>SL-E-14-03</t>
  </si>
  <si>
    <t>heavenly s-word</t>
  </si>
  <si>
    <t>the wobblies part 2</t>
  </si>
  <si>
    <t>SL-E-14-04</t>
  </si>
  <si>
    <t>SU-D-03-02</t>
  </si>
  <si>
    <t>comlink</t>
  </si>
  <si>
    <t>SL-A-15-00</t>
  </si>
  <si>
    <t>descent</t>
  </si>
  <si>
    <t>septentrion</t>
  </si>
  <si>
    <t>SL-A-15-01</t>
  </si>
  <si>
    <t>S-E-03-03</t>
  </si>
  <si>
    <t>glutton for punishment</t>
  </si>
  <si>
    <t>god speed</t>
  </si>
  <si>
    <t>SL-A-15-02</t>
  </si>
  <si>
    <t>SU-D-03-03</t>
  </si>
  <si>
    <t>in the depths of the Slor</t>
  </si>
  <si>
    <t>SL-A-15-03</t>
  </si>
  <si>
    <t>core</t>
  </si>
  <si>
    <t>SL-A-15-04</t>
  </si>
  <si>
    <t>assisted suicide</t>
  </si>
  <si>
    <t>stimulation of chaos</t>
  </si>
  <si>
    <t>SL-B-15-00</t>
  </si>
  <si>
    <t>surprise ending</t>
  </si>
  <si>
    <t>cyclic redundancy</t>
  </si>
  <si>
    <t>S-E-03-04</t>
  </si>
  <si>
    <t>SU-D-03-04</t>
  </si>
  <si>
    <t>SL-B-15-01</t>
  </si>
  <si>
    <t>sumo</t>
  </si>
  <si>
    <t>SL-B-15-02</t>
  </si>
  <si>
    <t>wafflish</t>
  </si>
  <si>
    <t>SL-B-15-03</t>
  </si>
  <si>
    <t>trimounds</t>
  </si>
  <si>
    <t>evac 2</t>
  </si>
  <si>
    <t>toggle time</t>
  </si>
  <si>
    <t>S-A-04-00</t>
  </si>
  <si>
    <t>SL-B-15-04</t>
  </si>
  <si>
    <t>fear is the mind-killer</t>
  </si>
  <si>
    <t>SU-E-03-00</t>
  </si>
  <si>
    <t>SL-C-15-00</t>
  </si>
  <si>
    <t>sucks to your asmar</t>
  </si>
  <si>
    <t>SL-C-15-01</t>
  </si>
  <si>
    <t>spring training</t>
  </si>
  <si>
    <t>SL-C-15-02</t>
  </si>
  <si>
    <t>soft failure</t>
  </si>
  <si>
    <t>skip it</t>
  </si>
  <si>
    <t>cyber decaf</t>
  </si>
  <si>
    <t>SU-E-03-01</t>
  </si>
  <si>
    <t>SL-C-15-03</t>
  </si>
  <si>
    <t>slurmy slonka</t>
  </si>
  <si>
    <t>S-A-04-01</t>
  </si>
  <si>
    <t>SL-C-15-04</t>
  </si>
  <si>
    <t>deep grey sea</t>
  </si>
  <si>
    <t>SL-D-15-00</t>
  </si>
  <si>
    <t>tread on my dreams</t>
  </si>
  <si>
    <t>effective accelerant</t>
  </si>
  <si>
    <t>SU-E-03-02</t>
  </si>
  <si>
    <t>SL-D-15-01</t>
  </si>
  <si>
    <t>monument</t>
  </si>
  <si>
    <t>SL-D-15-02</t>
  </si>
  <si>
    <t>xercise</t>
  </si>
  <si>
    <t>methodical B</t>
  </si>
  <si>
    <t>SL-D-15-03</t>
  </si>
  <si>
    <t>life after deaths</t>
  </si>
  <si>
    <t>S-A-04-02</t>
  </si>
  <si>
    <t>SL-D-15-04</t>
  </si>
  <si>
    <t>angry breadcrumbs</t>
  </si>
  <si>
    <t>mortal pong</t>
  </si>
  <si>
    <t>SU-E-03-03</t>
  </si>
  <si>
    <t>SL-E-15-00</t>
  </si>
  <si>
    <t>level with no name</t>
  </si>
  <si>
    <t>SL-E-15-01</t>
  </si>
  <si>
    <t>the other matrix</t>
  </si>
  <si>
    <t>SL-E-15-02</t>
  </si>
  <si>
    <t>of the thirty-six strategems, fleeing is best</t>
  </si>
  <si>
    <t>like the circles that you find in the windmills of your mind</t>
  </si>
  <si>
    <t>S-A-04-03</t>
  </si>
  <si>
    <t>SL-E-15-03</t>
  </si>
  <si>
    <t>requiem for a ninja</t>
  </si>
  <si>
    <t>SL-E-15-04</t>
  </si>
  <si>
    <t>precariarity</t>
  </si>
  <si>
    <t>SL-A-16-00</t>
  </si>
  <si>
    <t>cavern and shirley</t>
  </si>
  <si>
    <t>primitive drift</t>
  </si>
  <si>
    <t>the lunatic device</t>
  </si>
  <si>
    <t>SL-A-16-01</t>
  </si>
  <si>
    <t>SU-E-03-04</t>
  </si>
  <si>
    <t>trench warfare</t>
  </si>
  <si>
    <t>S-A-04-04</t>
  </si>
  <si>
    <t>SL-A-16-02</t>
  </si>
  <si>
    <t>upstream</t>
  </si>
  <si>
    <t>SL-A-16-03</t>
  </si>
  <si>
    <t>crag</t>
  </si>
  <si>
    <t>SL-A-16-04</t>
  </si>
  <si>
    <t>preschool of hard knocks</t>
  </si>
  <si>
    <t>SL-B-16-00</t>
  </si>
  <si>
    <t>halfway</t>
  </si>
  <si>
    <t>SL-B-16-01</t>
  </si>
  <si>
    <t>introductory jumpventure</t>
  </si>
  <si>
    <t>modus pwnens</t>
  </si>
  <si>
    <t>S-B-04-00</t>
  </si>
  <si>
    <t>SL-B-16-02</t>
  </si>
  <si>
    <t>enclave</t>
  </si>
  <si>
    <t>SL-B-16-03</t>
  </si>
  <si>
    <t>props</t>
  </si>
  <si>
    <t>tremors</t>
  </si>
  <si>
    <t>SU-A-04-00</t>
  </si>
  <si>
    <t>SL-B-16-04</t>
  </si>
  <si>
    <t>inward</t>
  </si>
  <si>
    <t>highly irregular</t>
  </si>
  <si>
    <t>SL-C-16-00</t>
  </si>
  <si>
    <t>polkaroony</t>
  </si>
  <si>
    <t>S-B-04-01</t>
  </si>
  <si>
    <t>SL-C-16-01</t>
  </si>
  <si>
    <t>go for self</t>
  </si>
  <si>
    <t>SL-C-16-02</t>
  </si>
  <si>
    <t>machime learming</t>
  </si>
  <si>
    <t>mine field</t>
  </si>
  <si>
    <t>SU-A-04-01</t>
  </si>
  <si>
    <t>SL-C-16-03</t>
  </si>
  <si>
    <t>what does it mean if your spirit animal is a skeletal fish?</t>
  </si>
  <si>
    <t>brain sliva</t>
  </si>
  <si>
    <t>SL-C-16-04</t>
  </si>
  <si>
    <t>dipsy doodle</t>
  </si>
  <si>
    <t>SL-D-16-00</t>
  </si>
  <si>
    <t>S-B-04-02</t>
  </si>
  <si>
    <t>pincer movement</t>
  </si>
  <si>
    <t>SL-D-16-01</t>
  </si>
  <si>
    <t>grand prix</t>
  </si>
  <si>
    <t>SL-D-16-02</t>
  </si>
  <si>
    <t>wonky</t>
  </si>
  <si>
    <t>confined</t>
  </si>
  <si>
    <t>SU-A-04-02</t>
  </si>
  <si>
    <t>SL-D-16-03</t>
  </si>
  <si>
    <t>pot of gold</t>
  </si>
  <si>
    <t>into the lion's nest</t>
  </si>
  <si>
    <t>SL-D-16-04</t>
  </si>
  <si>
    <t>S-B-04-03</t>
  </si>
  <si>
    <t>mrs. dash</t>
  </si>
  <si>
    <t>SL-E-16-00</t>
  </si>
  <si>
    <t>simplicities</t>
  </si>
  <si>
    <t>SL-E-16-01</t>
  </si>
  <si>
    <t>huckleberry fiend</t>
  </si>
  <si>
    <t>dip down</t>
  </si>
  <si>
    <t>SU-A-04-03</t>
  </si>
  <si>
    <t>SL-E-16-02</t>
  </si>
  <si>
    <t>stalag might</t>
  </si>
  <si>
    <t>SL-E-16-03</t>
  </si>
  <si>
    <t>pit of despair</t>
  </si>
  <si>
    <t>SL-E-16-04</t>
  </si>
  <si>
    <t>laser-assisted haircut</t>
  </si>
  <si>
    <t>on the back of the great ninjasaurus</t>
  </si>
  <si>
    <t>fettuccine afraido</t>
  </si>
  <si>
    <t>SL-A-17-00</t>
  </si>
  <si>
    <t>SU-A-04-04</t>
  </si>
  <si>
    <t>breathing room</t>
  </si>
  <si>
    <t>SL-A-17-01</t>
  </si>
  <si>
    <t>S-B-04-04</t>
  </si>
  <si>
    <t>relearning to fly</t>
  </si>
  <si>
    <t>SL-A-17-02</t>
  </si>
  <si>
    <t>don't go there</t>
  </si>
  <si>
    <t>SL-A-17-03</t>
  </si>
  <si>
    <t>twotone</t>
  </si>
  <si>
    <t>chain reactions</t>
  </si>
  <si>
    <t>SL-A-17-04</t>
  </si>
  <si>
    <t>SU-B-04-00</t>
  </si>
  <si>
    <t>crossfader</t>
  </si>
  <si>
    <t>SL-B-17-00</t>
  </si>
  <si>
    <t>the crucible</t>
  </si>
  <si>
    <t>SL-B-17-01</t>
  </si>
  <si>
    <t>as you dare</t>
  </si>
  <si>
    <t>victory lap</t>
  </si>
  <si>
    <t>S-C-04-00</t>
  </si>
  <si>
    <t>SL-B-17-02</t>
  </si>
  <si>
    <t>infiltrate</t>
  </si>
  <si>
    <t>SL-B-17-03</t>
  </si>
  <si>
    <t>mesmerized</t>
  </si>
  <si>
    <t>the creeper-downer</t>
  </si>
  <si>
    <t>SL-B-17-04</t>
  </si>
  <si>
    <t>SU-B-04-01</t>
  </si>
  <si>
    <t>ninja's first rush job</t>
  </si>
  <si>
    <t>SL-C-17-00</t>
  </si>
  <si>
    <t>band of gold</t>
  </si>
  <si>
    <t>SL-C-17-01</t>
  </si>
  <si>
    <t>MCP</t>
  </si>
  <si>
    <t>SL-C-17-02</t>
  </si>
  <si>
    <t>path planner</t>
  </si>
  <si>
    <t>SL-C-17-03</t>
  </si>
  <si>
    <t>the ringer</t>
  </si>
  <si>
    <t>smoke and bass</t>
  </si>
  <si>
    <t>SL-C-17-04</t>
  </si>
  <si>
    <t>a neural net processor</t>
  </si>
  <si>
    <t>SU-B-04-02</t>
  </si>
  <si>
    <t>SL-D-17-00</t>
  </si>
  <si>
    <t>underground agent</t>
  </si>
  <si>
    <t>SL-D-17-01</t>
  </si>
  <si>
    <t>genius</t>
  </si>
  <si>
    <t>SL-D-17-02</t>
  </si>
  <si>
    <t>harried hallway</t>
  </si>
  <si>
    <t>brain slugs</t>
  </si>
  <si>
    <t>S-C-04-01</t>
  </si>
  <si>
    <t>a slight asymmetry</t>
  </si>
  <si>
    <t>SL-D-17-03</t>
  </si>
  <si>
    <t>wrong side of the road</t>
  </si>
  <si>
    <t>SU-B-04-03</t>
  </si>
  <si>
    <t>SL-D-17-04</t>
  </si>
  <si>
    <t>the boxer</t>
  </si>
  <si>
    <t>SL-E-17-00</t>
  </si>
  <si>
    <t>deathtraps</t>
  </si>
  <si>
    <t>SL-E-17-01</t>
  </si>
  <si>
    <t>tantalizingly irresistible</t>
  </si>
  <si>
    <t>SL-E-17-02</t>
  </si>
  <si>
    <t>wabi-sabi</t>
  </si>
  <si>
    <t>pussyfooting</t>
  </si>
  <si>
    <t>short and bittersweet</t>
  </si>
  <si>
    <t>S-C-04-02</t>
  </si>
  <si>
    <t>SL-E-17-03</t>
  </si>
  <si>
    <t>unadulterated (exterior)</t>
  </si>
  <si>
    <t>SU-B-04-04</t>
  </si>
  <si>
    <t>SL-E-17-04</t>
  </si>
  <si>
    <t>the fundamentals</t>
  </si>
  <si>
    <t>SL-A-18-00</t>
  </si>
  <si>
    <t>windswept</t>
  </si>
  <si>
    <t>SL-A-18-01</t>
  </si>
  <si>
    <t>spassable</t>
  </si>
  <si>
    <t>videons</t>
  </si>
  <si>
    <t>SL-A-18-02</t>
  </si>
  <si>
    <t>SU-C-04-00</t>
  </si>
  <si>
    <t>i am a rhombus</t>
  </si>
  <si>
    <t>SL-A-18-03</t>
  </si>
  <si>
    <t>pokey gaps</t>
  </si>
  <si>
    <t>wall to wall</t>
  </si>
  <si>
    <t>S-C-04-03</t>
  </si>
  <si>
    <t>SL-A-18-04</t>
  </si>
  <si>
    <t>picturesque</t>
  </si>
  <si>
    <t>SL-B-18-00</t>
  </si>
  <si>
    <t>crooked</t>
  </si>
  <si>
    <t>substance p</t>
  </si>
  <si>
    <t>SL-B-18-01</t>
  </si>
  <si>
    <t>gibsonesque scenery</t>
  </si>
  <si>
    <t>buzzbomb</t>
  </si>
  <si>
    <t>SU-C-04-01</t>
  </si>
  <si>
    <t>SL-B-18-02</t>
  </si>
  <si>
    <t>S-C-04-04</t>
  </si>
  <si>
    <t>vertizontal</t>
  </si>
  <si>
    <t>SL-B-18-03</t>
  </si>
  <si>
    <t>G--T--O++E++</t>
  </si>
  <si>
    <t>the child out of wedlock</t>
  </si>
  <si>
    <t>SL-B-18-04</t>
  </si>
  <si>
    <t>sgruts</t>
  </si>
  <si>
    <t>SL-C-18-00</t>
  </si>
  <si>
    <t>intelligent systems</t>
  </si>
  <si>
    <t>out of the blue</t>
  </si>
  <si>
    <t>SU-C-04-02</t>
  </si>
  <si>
    <t>SL-C-18-01</t>
  </si>
  <si>
    <t>G--T--O++</t>
  </si>
  <si>
    <t>hanger</t>
  </si>
  <si>
    <t>SL-C-18-02</t>
  </si>
  <si>
    <t>subterfuge</t>
  </si>
  <si>
    <t>G--O--</t>
  </si>
  <si>
    <t>G--T++O--</t>
  </si>
  <si>
    <t>SL-C-18-03</t>
  </si>
  <si>
    <t>ziggurat vertigo</t>
  </si>
  <si>
    <t>SL-C-18-04</t>
  </si>
  <si>
    <t>think of it as a challenge</t>
  </si>
  <si>
    <t>extra effort</t>
  </si>
  <si>
    <t>SL-D-18-00</t>
  </si>
  <si>
    <t>boom</t>
  </si>
  <si>
    <t>SU-C-04-03</t>
  </si>
  <si>
    <t>SL-D-18-01</t>
  </si>
  <si>
    <t>tyrell 2</t>
  </si>
  <si>
    <t>SL-D-18-02</t>
  </si>
  <si>
    <t>rocket run</t>
  </si>
  <si>
    <t>armor shards</t>
  </si>
  <si>
    <t>SL-D-18-03</t>
  </si>
  <si>
    <t>superliminal 6</t>
  </si>
  <si>
    <t>S-D-04-00</t>
  </si>
  <si>
    <t>SL-D-18-04</t>
  </si>
  <si>
    <t>Sakurajima</t>
  </si>
  <si>
    <t>SL-E-18-00</t>
  </si>
  <si>
    <t>synchronize watches</t>
  </si>
  <si>
    <t>automatapaella</t>
  </si>
  <si>
    <t>acen</t>
  </si>
  <si>
    <t>SL-E-18-01</t>
  </si>
  <si>
    <t>SU-C-04-04</t>
  </si>
  <si>
    <t>trench run 2</t>
  </si>
  <si>
    <t>S-D-04-01</t>
  </si>
  <si>
    <t>SL-E-18-02</t>
  </si>
  <si>
    <t>stantasy</t>
  </si>
  <si>
    <t>SL-E-18-03</t>
  </si>
  <si>
    <t>a maze zinger</t>
  </si>
  <si>
    <t>penalty method</t>
  </si>
  <si>
    <t>SL-E-18-04</t>
  </si>
  <si>
    <t>zeb rah</t>
  </si>
  <si>
    <t>SU-D-04-00</t>
  </si>
  <si>
    <t>SL-A-19-00</t>
  </si>
  <si>
    <t>stippled hallway</t>
  </si>
  <si>
    <t>electronic eyes</t>
  </si>
  <si>
    <t>SL-A-19-01</t>
  </si>
  <si>
    <t>you might be on B squad</t>
  </si>
  <si>
    <t>S-D-04-02</t>
  </si>
  <si>
    <t>SL-A-19-02</t>
  </si>
  <si>
    <t>101 damnations</t>
  </si>
  <si>
    <t>not a fan of the pop-ins</t>
  </si>
  <si>
    <t>SU-D-04-01</t>
  </si>
  <si>
    <t>SL-A-19-03</t>
  </si>
  <si>
    <t>coming down is the hardest thing</t>
  </si>
  <si>
    <t>SL-A-19-04</t>
  </si>
  <si>
    <t>zappa</t>
  </si>
  <si>
    <t>SL-B-19-00</t>
  </si>
  <si>
    <t>chaotic constellation</t>
  </si>
  <si>
    <t>SL-B-19-01</t>
  </si>
  <si>
    <t>claustro</t>
  </si>
  <si>
    <t>development</t>
  </si>
  <si>
    <t>expedient</t>
  </si>
  <si>
    <t>SL-B-19-02</t>
  </si>
  <si>
    <t>SU-D-04-02</t>
  </si>
  <si>
    <t>S-D-04-03</t>
  </si>
  <si>
    <t>security grid</t>
  </si>
  <si>
    <t>SL-B-19-03</t>
  </si>
  <si>
    <t>the squigglies</t>
  </si>
  <si>
    <t>SL-B-19-04</t>
  </si>
  <si>
    <t>chock full of crazy</t>
  </si>
  <si>
    <t>the V</t>
  </si>
  <si>
    <t>SU-D-04-03</t>
  </si>
  <si>
    <t>SL-C-19-00</t>
  </si>
  <si>
    <t>ruination</t>
  </si>
  <si>
    <t>buffer underrun</t>
  </si>
  <si>
    <t>SL-C-19-01</t>
  </si>
  <si>
    <t>floating fortress</t>
  </si>
  <si>
    <t>S-D-04-04</t>
  </si>
  <si>
    <t>SL-C-19-02</t>
  </si>
  <si>
    <t>insanity check</t>
  </si>
  <si>
    <t>pinched</t>
  </si>
  <si>
    <t>SU-D-04-04</t>
  </si>
  <si>
    <t>SL-C-19-03</t>
  </si>
  <si>
    <t>central processing</t>
  </si>
  <si>
    <t>G--T--O--</t>
  </si>
  <si>
    <t>SL-C-19-04</t>
  </si>
  <si>
    <t>silverfish</t>
  </si>
  <si>
    <t>leap year</t>
  </si>
  <si>
    <t>SL-D-19-00</t>
  </si>
  <si>
    <t>biphase edit</t>
  </si>
  <si>
    <t>S-E-04-00</t>
  </si>
  <si>
    <t>overview effect</t>
  </si>
  <si>
    <t>SL-D-19-01</t>
  </si>
  <si>
    <t>SU-E-04-00</t>
  </si>
  <si>
    <t>exit strategy iv</t>
  </si>
  <si>
    <t>SL-D-19-02</t>
  </si>
  <si>
    <t>swarm weather</t>
  </si>
  <si>
    <t>SL-D-19-03</t>
  </si>
  <si>
    <t>spaces</t>
  </si>
  <si>
    <t>the tester</t>
  </si>
  <si>
    <t>S-E-04-01</t>
  </si>
  <si>
    <t>SL-D-19-04</t>
  </si>
  <si>
    <t>monster bag</t>
  </si>
  <si>
    <t>plateau</t>
  </si>
  <si>
    <t>SL-E-19-00</t>
  </si>
  <si>
    <t>SU-E-04-01</t>
  </si>
  <si>
    <t>quantic</t>
  </si>
  <si>
    <t>SL-E-19-01</t>
  </si>
  <si>
    <t>never ever</t>
  </si>
  <si>
    <t>SL-E-19-02</t>
  </si>
  <si>
    <t>slopular</t>
  </si>
  <si>
    <t>watch your step</t>
  </si>
  <si>
    <t>S-E-04-02</t>
  </si>
  <si>
    <t>SL-E-19-03</t>
  </si>
  <si>
    <t>insert credit</t>
  </si>
  <si>
    <t>cubish</t>
  </si>
  <si>
    <t>SU-E-04-02</t>
  </si>
  <si>
    <t>SL-E-19-04</t>
  </si>
  <si>
    <t>strongbox</t>
  </si>
  <si>
    <t>SL-X-00-00</t>
  </si>
  <si>
    <t>ruined</t>
  </si>
  <si>
    <t>the griddler</t>
  </si>
  <si>
    <t>SL-X-00-01</t>
  </si>
  <si>
    <t>S-E-04-03</t>
  </si>
  <si>
    <t>b-cakes</t>
  </si>
  <si>
    <t>flumps</t>
  </si>
  <si>
    <t>SU-E-04-03</t>
  </si>
  <si>
    <t>SL-X-00-02</t>
  </si>
  <si>
    <t>a perfectly cromulent world</t>
  </si>
  <si>
    <t>SL-X-00-03</t>
  </si>
  <si>
    <t>ever upward</t>
  </si>
  <si>
    <t>SL-X-00-04</t>
  </si>
  <si>
    <t>sprezzatura</t>
  </si>
  <si>
    <t>SU-E-04-04</t>
  </si>
  <si>
    <t>stitch n ditch</t>
  </si>
  <si>
    <t>central chamber</t>
  </si>
  <si>
    <t>SL-X-01-00</t>
  </si>
  <si>
    <t>runoffs</t>
  </si>
  <si>
    <t>S-E-04-04</t>
  </si>
  <si>
    <t>SL-X-01-01</t>
  </si>
  <si>
    <t>brain n-eurysm</t>
  </si>
  <si>
    <t>SL-X-01-02</t>
  </si>
  <si>
    <t>close encounters</t>
  </si>
  <si>
    <t>rounding up</t>
  </si>
  <si>
    <t>SL-X-01-03</t>
  </si>
  <si>
    <t>pinchy</t>
  </si>
  <si>
    <t>SU-A-05-00</t>
  </si>
  <si>
    <t>SL-X-01-04</t>
  </si>
  <si>
    <t>G++T++C++</t>
  </si>
  <si>
    <t>squarely</t>
  </si>
  <si>
    <t>inordinate</t>
  </si>
  <si>
    <t>SL-X-02-00</t>
  </si>
  <si>
    <t>emptriness</t>
  </si>
  <si>
    <t>spossible</t>
  </si>
  <si>
    <t>SU-A-05-01</t>
  </si>
  <si>
    <t>S-A-05-00</t>
  </si>
  <si>
    <t>tegotae</t>
  </si>
  <si>
    <t>SU-A-05-02</t>
  </si>
  <si>
    <t>grey hill zone</t>
  </si>
  <si>
    <t>S-A-05-01</t>
  </si>
  <si>
    <t>off the deep end</t>
  </si>
  <si>
    <t>SU-A-05-03</t>
  </si>
  <si>
    <t>prosumer</t>
  </si>
  <si>
    <t>SL-X-02-01</t>
  </si>
  <si>
    <t>S-A-05-02</t>
  </si>
  <si>
    <t>lil fizzlers</t>
  </si>
  <si>
    <t>crunch timing</t>
  </si>
  <si>
    <t>SU-A-05-04</t>
  </si>
  <si>
    <t>SL-X-02-02</t>
  </si>
  <si>
    <t>the pillar of dreams</t>
  </si>
  <si>
    <t>SL-X-02-03</t>
  </si>
  <si>
    <t>praise the lorg</t>
  </si>
  <si>
    <t>SL-X-02-04</t>
  </si>
  <si>
    <t>rippled</t>
  </si>
  <si>
    <t>SL-X-03-00</t>
  </si>
  <si>
    <t>manimal lust 2: return of the franchise</t>
  </si>
  <si>
    <t>SL-X-03-01</t>
  </si>
  <si>
    <t>disrecognized space</t>
  </si>
  <si>
    <t>shooting the needle</t>
  </si>
  <si>
    <t>SU-B-05-00</t>
  </si>
  <si>
    <t>SL-X-03-02</t>
  </si>
  <si>
    <t>thank the glord</t>
  </si>
  <si>
    <t>SL-X-03-03</t>
  </si>
  <si>
    <t>scrum</t>
  </si>
  <si>
    <t>SL-X-03-04</t>
  </si>
  <si>
    <t>knurled</t>
  </si>
  <si>
    <t>oubliette</t>
  </si>
  <si>
    <t>a vast oversimplification of the truth</t>
  </si>
  <si>
    <t>SL-X-04-00</t>
  </si>
  <si>
    <t>S-A-05-03</t>
  </si>
  <si>
    <t>SU-B-05-01</t>
  </si>
  <si>
    <t>eruptive</t>
  </si>
  <si>
    <t>SL-X-04-01</t>
  </si>
  <si>
    <t>pattern recognition</t>
  </si>
  <si>
    <t>SL-X-04-02</t>
  </si>
  <si>
    <t>under pressure</t>
  </si>
  <si>
    <t>gamalgamated</t>
  </si>
  <si>
    <t>SL-X-04-03</t>
  </si>
  <si>
    <t>zenith</t>
  </si>
  <si>
    <t>S-A-05-04</t>
  </si>
  <si>
    <t>SL-X-04-04</t>
  </si>
  <si>
    <t>n-trapment</t>
  </si>
  <si>
    <t>SL-X-05-00</t>
  </si>
  <si>
    <t>sibilant S</t>
  </si>
  <si>
    <t>ye roof</t>
  </si>
  <si>
    <t>SL-X-05-01</t>
  </si>
  <si>
    <t>killswitch?</t>
  </si>
  <si>
    <t>SU-B-05-02</t>
  </si>
  <si>
    <t>hoverflysby</t>
  </si>
  <si>
    <t>SL-X-05-02</t>
  </si>
  <si>
    <t>lull fortress</t>
  </si>
  <si>
    <t>S-B-05-00</t>
  </si>
  <si>
    <t>SL-X-05-03</t>
  </si>
  <si>
    <t>the reason you broke your keyboard</t>
  </si>
  <si>
    <t>SL-X-05-04</t>
  </si>
  <si>
    <t>boundish</t>
  </si>
  <si>
    <t>SL-X-06-00</t>
  </si>
  <si>
    <t>platitude</t>
  </si>
  <si>
    <t>SL-X-06-01</t>
  </si>
  <si>
    <t>excuse you</t>
  </si>
  <si>
    <t>the hidden fortress</t>
  </si>
  <si>
    <t>SU-B-05-03</t>
  </si>
  <si>
    <t>SL-X-06-02</t>
  </si>
  <si>
    <t>totally skewed</t>
  </si>
  <si>
    <t>basic shapes</t>
  </si>
  <si>
    <t>SL-X-06-03</t>
  </si>
  <si>
    <t>S-B-05-01</t>
  </si>
  <si>
    <t>fallout</t>
  </si>
  <si>
    <t>SL-X-06-04</t>
  </si>
  <si>
    <t>great expectorations</t>
  </si>
  <si>
    <t>SL-X-07-00</t>
  </si>
  <si>
    <t>enter the bargle</t>
  </si>
  <si>
    <t>lab</t>
  </si>
  <si>
    <t>go</t>
  </si>
  <si>
    <t>SL-X-07-01</t>
  </si>
  <si>
    <t>SU-B-05-04</t>
  </si>
  <si>
    <t>S-B-05-02</t>
  </si>
  <si>
    <t>increnect</t>
  </si>
  <si>
    <t>G++T++C--</t>
  </si>
  <si>
    <t>SL-X-07-02</t>
  </si>
  <si>
    <t>return trap</t>
  </si>
  <si>
    <t>SL-X-07-03</t>
  </si>
  <si>
    <t>natty flow</t>
  </si>
  <si>
    <t>SL-X-07-04</t>
  </si>
  <si>
    <t>get well soon lappy!</t>
  </si>
  <si>
    <t>SL-X-08-00</t>
  </si>
  <si>
    <t>arterial crescendo</t>
  </si>
  <si>
    <t>pac animal</t>
  </si>
  <si>
    <t>SL-X-08-01</t>
  </si>
  <si>
    <t>SU-C-05-00</t>
  </si>
  <si>
    <t>back and forth</t>
  </si>
  <si>
    <t>roguesque</t>
  </si>
  <si>
    <t>SL-X-08-02</t>
  </si>
  <si>
    <t>S-B-05-03</t>
  </si>
  <si>
    <t>Stores of Hell</t>
  </si>
  <si>
    <t>SL-X-08-03</t>
  </si>
  <si>
    <t>hexactly</t>
  </si>
  <si>
    <t>SL-X-08-04</t>
  </si>
  <si>
    <t>pinnacle</t>
  </si>
  <si>
    <t>SL-X-09-00</t>
  </si>
  <si>
    <t>lingering fingerlings</t>
  </si>
  <si>
    <t>heart-shaped blocks</t>
  </si>
  <si>
    <t>SU-C-05-01</t>
  </si>
  <si>
    <t>S-B-05-04</t>
  </si>
  <si>
    <t>striving</t>
  </si>
  <si>
    <t>SL-X-09-01</t>
  </si>
  <si>
    <t>death by murder device</t>
  </si>
  <si>
    <t>appendicide</t>
  </si>
  <si>
    <t>one-sided</t>
  </si>
  <si>
    <t>SL-X-09-02</t>
  </si>
  <si>
    <t>unsafe at any speed</t>
  </si>
  <si>
    <t>S-C-05-00</t>
  </si>
  <si>
    <t>SU-C-05-02</t>
  </si>
  <si>
    <t>SL-X-09-03</t>
  </si>
  <si>
    <t>the guidelines</t>
  </si>
  <si>
    <t>SL-X-09-04</t>
  </si>
  <si>
    <t>astonishingly sane</t>
  </si>
  <si>
    <t>SL-X-10-00</t>
  </si>
  <si>
    <t>your textbook swizzle hallway</t>
  </si>
  <si>
    <t>jumpire</t>
  </si>
  <si>
    <t>fear of flying</t>
  </si>
  <si>
    <t>S-C-05-01</t>
  </si>
  <si>
    <t>SU-C-05-03</t>
  </si>
  <si>
    <t>SL-X-10-01</t>
  </si>
  <si>
    <t>the second-last straw</t>
  </si>
  <si>
    <t>SL-X-10-02</t>
  </si>
  <si>
    <t>your second-worst nightmare</t>
  </si>
  <si>
    <t>anklebiter</t>
  </si>
  <si>
    <t>SL-X-10-03</t>
  </si>
  <si>
    <t>S-C-05-02</t>
  </si>
  <si>
    <t>the punisher</t>
  </si>
  <si>
    <t>SL-X-10-04</t>
  </si>
  <si>
    <t>the lowest highest point</t>
  </si>
  <si>
    <t>SL-X-11-00</t>
  </si>
  <si>
    <t>don't fear the micro reaper</t>
  </si>
  <si>
    <t>intimidation</t>
  </si>
  <si>
    <t>SU-C-05-04</t>
  </si>
  <si>
    <t>SL-X-11-01</t>
  </si>
  <si>
    <t>traction</t>
  </si>
  <si>
    <t>SL-X-11-02</t>
  </si>
  <si>
    <t>beach head</t>
  </si>
  <si>
    <t>the modular</t>
  </si>
  <si>
    <t>SL-X-11-03</t>
  </si>
  <si>
    <t>S-C-05-03</t>
  </si>
  <si>
    <t>insurmountable</t>
  </si>
  <si>
    <t>SL-X-11-04</t>
  </si>
  <si>
    <t>a false sense of security</t>
  </si>
  <si>
    <t>SL-X-12-00</t>
  </si>
  <si>
    <t>nbolism</t>
  </si>
  <si>
    <t>infinite edge</t>
  </si>
  <si>
    <t>SL-X-12-01</t>
  </si>
  <si>
    <t>S-C-05-04</t>
  </si>
  <si>
    <t>funnely</t>
  </si>
  <si>
    <t>SL-X-12-02</t>
  </si>
  <si>
    <t>unadulterated (interior)</t>
  </si>
  <si>
    <t>SL-X-12-03</t>
  </si>
  <si>
    <t>superfluidic</t>
  </si>
  <si>
    <t>paper thin walls</t>
  </si>
  <si>
    <t>descen</t>
  </si>
  <si>
    <t>SU-D-05-00</t>
  </si>
  <si>
    <t>SL-X-12-04</t>
  </si>
  <si>
    <t>defunct</t>
  </si>
  <si>
    <t>S-D-05-00</t>
  </si>
  <si>
    <t>SL-X-13-00</t>
  </si>
  <si>
    <t>danger dance 1</t>
  </si>
  <si>
    <t>the eyes themselves</t>
  </si>
  <si>
    <t>SL-X-13-01</t>
  </si>
  <si>
    <t>SU-D-05-01</t>
  </si>
  <si>
    <t>out of the blue 4</t>
  </si>
  <si>
    <t>SL-X-13-02</t>
  </si>
  <si>
    <t>laccolith</t>
  </si>
  <si>
    <t>peaked</t>
  </si>
  <si>
    <t>SL-X-13-03</t>
  </si>
  <si>
    <t>technique</t>
  </si>
  <si>
    <t>S-D-05-01</t>
  </si>
  <si>
    <t>control yourself</t>
  </si>
  <si>
    <t>SU-D-05-02</t>
  </si>
  <si>
    <t>SL-X-13-04</t>
  </si>
  <si>
    <t>and now, young ninja, you _will_ die.</t>
  </si>
  <si>
    <t>SL-X-14-00</t>
  </si>
  <si>
    <t>contra</t>
  </si>
  <si>
    <t>FALLCAPS</t>
  </si>
  <si>
    <t>SL-X-14-01</t>
  </si>
  <si>
    <t>skeksis</t>
  </si>
  <si>
    <t>SU-D-05-03</t>
  </si>
  <si>
    <t>rhompus</t>
  </si>
  <si>
    <t>SL-X-14-02</t>
  </si>
  <si>
    <t>shear</t>
  </si>
  <si>
    <t>SL-X-14-03</t>
  </si>
  <si>
    <t>S-D-05-02</t>
  </si>
  <si>
    <t>mazer</t>
  </si>
  <si>
    <t>just breathe</t>
  </si>
  <si>
    <t>SL-X-14-04</t>
  </si>
  <si>
    <t>SU-D-05-04</t>
  </si>
  <si>
    <t>portals</t>
  </si>
  <si>
    <t>S-D-05-03</t>
  </si>
  <si>
    <t>blastphemy</t>
  </si>
  <si>
    <t>SL-X-15-00</t>
  </si>
  <si>
    <t>a deadly game of chess</t>
  </si>
  <si>
    <t>miyamojo</t>
  </si>
  <si>
    <t>SL-X-15-01</t>
  </si>
  <si>
    <t>SU-E-05-00</t>
  </si>
  <si>
    <t>i make paintings based on grids just like chuck close</t>
  </si>
  <si>
    <t>SL-X-15-02</t>
  </si>
  <si>
    <t>bullsh++ mountain</t>
  </si>
  <si>
    <t>death star</t>
  </si>
  <si>
    <t>SL-X-15-03</t>
  </si>
  <si>
    <t>S-D-05-04</t>
  </si>
  <si>
    <t>holkham drones</t>
  </si>
  <si>
    <t>losing your mined</t>
  </si>
  <si>
    <t>SU-E-05-01</t>
  </si>
  <si>
    <t>SL-X-15-04</t>
  </si>
  <si>
    <t>amortized</t>
  </si>
  <si>
    <t>SL-X-16-00</t>
  </si>
  <si>
    <t>val-n-tine</t>
  </si>
  <si>
    <t>SL-X-16-01</t>
  </si>
  <si>
    <t>moderately collimated</t>
  </si>
  <si>
    <t>daunting</t>
  </si>
  <si>
    <t>SU-E-05-02</t>
  </si>
  <si>
    <t>SL-X-16-02</t>
  </si>
  <si>
    <t>proof of shove-cept</t>
  </si>
  <si>
    <t>the seven gates of heck</t>
  </si>
  <si>
    <t>S-E-05-00</t>
  </si>
  <si>
    <t>SL-X-16-03</t>
  </si>
  <si>
    <t>the last geometer</t>
  </si>
  <si>
    <t>one heck of a ride</t>
  </si>
  <si>
    <t>SU-E-05-03</t>
  </si>
  <si>
    <t>SL-X-16-04</t>
  </si>
  <si>
    <t>accelera</t>
  </si>
  <si>
    <t>SL-X-17-00</t>
  </si>
  <si>
    <t>hepped up</t>
  </si>
  <si>
    <t>the sound of one hand slow-clapping</t>
  </si>
  <si>
    <t>solvalou</t>
  </si>
  <si>
    <t>SL-X-17-01</t>
  </si>
  <si>
    <t>SU-E-05-04</t>
  </si>
  <si>
    <t>panic chamber</t>
  </si>
  <si>
    <t>S-E-05-01</t>
  </si>
  <si>
    <t>SL-X-17-02</t>
  </si>
  <si>
    <t>a strangely isolated place</t>
  </si>
  <si>
    <t>SL-X-17-03</t>
  </si>
  <si>
    <t>robot heaven</t>
  </si>
  <si>
    <t>SL-X-17-04</t>
  </si>
  <si>
    <t>framed</t>
  </si>
  <si>
    <t>perp hexing</t>
  </si>
  <si>
    <t>S-E-05-02</t>
  </si>
  <si>
    <t>SU-A-06-00</t>
  </si>
  <si>
    <t>shodan</t>
  </si>
  <si>
    <t>trippy j</t>
  </si>
  <si>
    <t>S-E-05-03</t>
  </si>
  <si>
    <t>SU-A-06-01</t>
  </si>
  <si>
    <t>you can't take it with you</t>
  </si>
  <si>
    <t>SL-X-18-00</t>
  </si>
  <si>
    <t>quixotic</t>
  </si>
  <si>
    <t>SL-X-18-01</t>
  </si>
  <si>
    <t>running down like water</t>
  </si>
  <si>
    <t>crabbed and claw-like</t>
  </si>
  <si>
    <t>G--O++C--</t>
  </si>
  <si>
    <t>SU-A-06-02</t>
  </si>
  <si>
    <t>SL-X-18-02</t>
  </si>
  <si>
    <t>pitcher plant</t>
  </si>
  <si>
    <t>tenfold crossing</t>
  </si>
  <si>
    <t>SL-X-18-03</t>
  </si>
  <si>
    <t>the last straw</t>
  </si>
  <si>
    <t>S-E-05-04</t>
  </si>
  <si>
    <t>in a trice</t>
  </si>
  <si>
    <t>SL-X-18-04</t>
  </si>
  <si>
    <t>around the world in 80 ways</t>
  </si>
  <si>
    <t>SU-A-06-03</t>
  </si>
  <si>
    <t>SL-X-19-00</t>
  </si>
  <si>
    <t>a close shave</t>
  </si>
  <si>
    <t>SL-X-19-01</t>
  </si>
  <si>
    <t>starfire</t>
  </si>
  <si>
    <t>SL-X-19-02</t>
  </si>
  <si>
    <t>dig me back in</t>
  </si>
  <si>
    <t>canonical domain</t>
  </si>
  <si>
    <t>SU-A-06-04</t>
  </si>
  <si>
    <t>SL-X-19-03</t>
  </si>
  <si>
    <t>a brief lesson on not jumping (except maybe at the very end (if you know what you're doing))</t>
  </si>
  <si>
    <t>slippery trip hazard</t>
  </si>
  <si>
    <t>SL-X-19-04</t>
  </si>
  <si>
    <t>S-A-06-00</t>
  </si>
  <si>
    <t>zenzizenzizenzic</t>
  </si>
  <si>
    <t>SU-B-06-00</t>
  </si>
  <si>
    <t>cyber lark</t>
  </si>
  <si>
    <t>S-A-06-01</t>
  </si>
  <si>
    <t>today i die repeatedly</t>
  </si>
  <si>
    <t>SU-B-06-01</t>
  </si>
  <si>
    <t>deliberate choices aplenty</t>
  </si>
  <si>
    <t>S-A-06-02</t>
  </si>
  <si>
    <t>G--T++C++</t>
  </si>
  <si>
    <t>optimiserly</t>
  </si>
  <si>
    <t>SU-B-06-02</t>
  </si>
  <si>
    <t>historicity</t>
  </si>
  <si>
    <t>S-A-06-03</t>
  </si>
  <si>
    <t>G++C++E++</t>
  </si>
  <si>
    <t>movez vous</t>
  </si>
  <si>
    <t>SU-B-06-03</t>
  </si>
  <si>
    <t>semi-addled</t>
  </si>
  <si>
    <t>G--T--O--C--</t>
  </si>
  <si>
    <t>S-A-06-04</t>
  </si>
  <si>
    <t>methods of rationality</t>
  </si>
  <si>
    <t>SU-B-06-04</t>
  </si>
  <si>
    <t>base jump</t>
  </si>
  <si>
    <t>S-B-06-00</t>
  </si>
  <si>
    <t>G++T++C++E++</t>
  </si>
  <si>
    <t>loopers</t>
  </si>
  <si>
    <t>robotic circulation</t>
  </si>
  <si>
    <t>S-B-06-01</t>
  </si>
  <si>
    <t>SU-C-06-00</t>
  </si>
  <si>
    <t>G++T--O++C--</t>
  </si>
  <si>
    <t>G++T++O++C++</t>
  </si>
  <si>
    <t>G--T--O++C++E++</t>
  </si>
  <si>
    <t>[?????]</t>
  </si>
  <si>
    <t>bit-rot landscape</t>
  </si>
  <si>
    <t>S-B-06-02</t>
  </si>
  <si>
    <t>diamond eyes</t>
  </si>
  <si>
    <t>SU-C-06-01</t>
  </si>
  <si>
    <t>cutting corners</t>
  </si>
  <si>
    <t>pokaayy</t>
  </si>
  <si>
    <t>S-B-06-03</t>
  </si>
  <si>
    <t>SU-C-06-02</t>
  </si>
  <si>
    <t>die area</t>
  </si>
  <si>
    <t>tuber</t>
  </si>
  <si>
    <t>S-B-06-04</t>
  </si>
  <si>
    <t>SU-C-06-03</t>
  </si>
  <si>
    <t>inter zone</t>
  </si>
  <si>
    <t>every which way but dead</t>
  </si>
  <si>
    <t>?-A-00-00</t>
  </si>
  <si>
    <t>G++T--C++E++</t>
  </si>
  <si>
    <t>SU-C-06-04</t>
  </si>
  <si>
    <t>meldac</t>
  </si>
  <si>
    <t>S-C-06-00</t>
  </si>
  <si>
    <t>shagargamel</t>
  </si>
  <si>
    <t>G--T--C--E++</t>
  </si>
  <si>
    <t>G--T++C++E++</t>
  </si>
  <si>
    <t>SU-D-06-00</t>
  </si>
  <si>
    <t>tutorial flashback</t>
  </si>
  <si>
    <t>SU-D-06-01</t>
  </si>
  <si>
    <t>insert blasstacre</t>
  </si>
  <si>
    <t>E8M2: JP LeBreton</t>
  </si>
  <si>
    <t>O++</t>
  </si>
  <si>
    <t>S-C-06-01</t>
  </si>
  <si>
    <t>?-A-00-01</t>
  </si>
  <si>
    <t>turns for the worse</t>
  </si>
  <si>
    <t>SU-D-06-02</t>
  </si>
  <si>
    <t>local space</t>
  </si>
  <si>
    <t>S-C-06-02</t>
  </si>
  <si>
    <t>future history</t>
  </si>
  <si>
    <t>SU-D-06-03</t>
  </si>
  <si>
    <t>avoid direct eye contact</t>
  </si>
  <si>
    <t>reason is irrelevant</t>
  </si>
  <si>
    <t>SU-D-06-04</t>
  </si>
  <si>
    <t>S-C-06-03</t>
  </si>
  <si>
    <t>G--T--C--</t>
  </si>
  <si>
    <t>jump around</t>
  </si>
  <si>
    <t>SU-E-06-00</t>
  </si>
  <si>
    <t>getRect()</t>
  </si>
  <si>
    <t>SU-E-06-01</t>
  </si>
  <si>
    <t>alert security</t>
  </si>
  <si>
    <t>S-C-06-04</t>
  </si>
  <si>
    <t>chop boxes</t>
  </si>
  <si>
    <t>SU-E-06-02</t>
  </si>
  <si>
    <t>occam's razor's razor</t>
  </si>
  <si>
    <t>shoot it</t>
  </si>
  <si>
    <t>?-A-00-02</t>
  </si>
  <si>
    <t>ear nose and throat of the beholder</t>
  </si>
  <si>
    <t>S-D-06-00</t>
  </si>
  <si>
    <t>SU-E-06-03</t>
  </si>
  <si>
    <t>T++E++</t>
  </si>
  <si>
    <t>click bait</t>
  </si>
  <si>
    <t>on shakey ground</t>
  </si>
  <si>
    <t>monster of symmetry</t>
  </si>
  <si>
    <t>?-A-00-03</t>
  </si>
  <si>
    <t>S-D-06-01</t>
  </si>
  <si>
    <t>SU-E-06-04</t>
  </si>
  <si>
    <t>flaunt the style</t>
  </si>
  <si>
    <t>branch misprediction</t>
  </si>
  <si>
    <t>SU-A-07-00</t>
  </si>
  <si>
    <t>G++O++E++</t>
  </si>
  <si>
    <t>S-D-06-02</t>
  </si>
  <si>
    <t>extemporization</t>
  </si>
  <si>
    <t>SU-A-07-01</t>
  </si>
  <si>
    <t>tindersticks</t>
  </si>
  <si>
    <t>S-D-06-03</t>
  </si>
  <si>
    <t>hoopla</t>
  </si>
  <si>
    <t>hypercomplexity</t>
  </si>
  <si>
    <t>SU-A-07-02</t>
  </si>
  <si>
    <t>?-A-00-04</t>
  </si>
  <si>
    <t>speed test</t>
  </si>
  <si>
    <t>SU-A-07-03</t>
  </si>
  <si>
    <t>the mile-high jellyfish</t>
  </si>
  <si>
    <t>shmaser shmequence</t>
  </si>
  <si>
    <t>S-D-06-04</t>
  </si>
  <si>
    <t>SU-A-07-04</t>
  </si>
  <si>
    <t>commit process</t>
  </si>
  <si>
    <t>now my timeline becomes immaculate</t>
  </si>
  <si>
    <t>SU-B-07-00</t>
  </si>
  <si>
    <t>S-E-06-00</t>
  </si>
  <si>
    <t>G--T++O++E++</t>
  </si>
  <si>
    <t>hands be dexterous</t>
  </si>
  <si>
    <t>SU-B-07-01</t>
  </si>
  <si>
    <t>structural integrity</t>
  </si>
  <si>
    <t>S-E-06-01</t>
  </si>
  <si>
    <t>trapped beneath the surface</t>
  </si>
  <si>
    <t>sleek</t>
  </si>
  <si>
    <t>?-B-00-00</t>
  </si>
  <si>
    <t>mid-spectrum warrior</t>
  </si>
  <si>
    <t>SU-B-07-02</t>
  </si>
  <si>
    <t>S-E-06-02</t>
  </si>
  <si>
    <t>all over the place</t>
  </si>
  <si>
    <t>a scape</t>
  </si>
  <si>
    <t>some backwards bullsh++</t>
  </si>
  <si>
    <t>S-E-06-03</t>
  </si>
  <si>
    <t>SU-B-07-03</t>
  </si>
  <si>
    <t>?-B-00-01</t>
  </si>
  <si>
    <t>T++O++</t>
  </si>
  <si>
    <t>one by one by one by one by one by one by one</t>
  </si>
  <si>
    <t>one who suttns</t>
  </si>
  <si>
    <t>SU-B-07-04</t>
  </si>
  <si>
    <t>S-E-06-04</t>
  </si>
  <si>
    <t>C--E++</t>
  </si>
  <si>
    <t>nested</t>
  </si>
  <si>
    <t>SU-C-07-00</t>
  </si>
  <si>
    <t>G++T++O++</t>
  </si>
  <si>
    <t>raster disaster</t>
  </si>
  <si>
    <t>?-B-00-02</t>
  </si>
  <si>
    <t>G++O--</t>
  </si>
  <si>
    <t>a brief treatise on the evasion of rockets</t>
  </si>
  <si>
    <t>mine mounds</t>
  </si>
  <si>
    <t>SU-C-07-01</t>
  </si>
  <si>
    <t>O++C++</t>
  </si>
  <si>
    <t>S-A-07-00</t>
  </si>
  <si>
    <t>G++O++C++</t>
  </si>
  <si>
    <t>ringsly</t>
  </si>
  <si>
    <t>SU-C-07-02</t>
  </si>
  <si>
    <t>textbook inversion</t>
  </si>
  <si>
    <t>?-B-00-03</t>
  </si>
  <si>
    <t>that is not a safe hidey-hole</t>
  </si>
  <si>
    <t>SU-C-07-03</t>
  </si>
  <si>
    <t>slasher</t>
  </si>
  <si>
    <t>internal decay</t>
  </si>
  <si>
    <t>S-A-07-01</t>
  </si>
  <si>
    <t>SU-C-07-04</t>
  </si>
  <si>
    <t>feats of downward strength</t>
  </si>
  <si>
    <t>S-A-07-02</t>
  </si>
  <si>
    <t>fatal attraction</t>
  </si>
  <si>
    <t>SU-D-07-00</t>
  </si>
  <si>
    <t>gravity</t>
  </si>
  <si>
    <t>second annual nervous breakdown</t>
  </si>
  <si>
    <t>S-A-07-03</t>
  </si>
  <si>
    <t>?-B-00-04</t>
  </si>
  <si>
    <t>ruined ruins</t>
  </si>
  <si>
    <t>SU-D-07-01</t>
  </si>
  <si>
    <t>factory ruins</t>
  </si>
  <si>
    <t>S-A-07-04</t>
  </si>
  <si>
    <t>advance</t>
  </si>
  <si>
    <t>SU-D-07-02</t>
  </si>
  <si>
    <t>mechanic dimensional straight line</t>
  </si>
  <si>
    <t>S-B-07-00</t>
  </si>
  <si>
    <t>run</t>
  </si>
  <si>
    <t>solid metal gold</t>
  </si>
  <si>
    <t>SU-D-07-03</t>
  </si>
  <si>
    <t>?-C-00-00</t>
  </si>
  <si>
    <t>crawlspace</t>
  </si>
  <si>
    <t>S-B-07-01</t>
  </si>
  <si>
    <t>jump shots</t>
  </si>
  <si>
    <t>sideways salmon run</t>
  </si>
  <si>
    <t>S-B-07-02</t>
  </si>
  <si>
    <t>transposed</t>
  </si>
  <si>
    <t>?-C-00-01</t>
  </si>
  <si>
    <t>SU-D-07-04</t>
  </si>
  <si>
    <t>recondite</t>
  </si>
  <si>
    <t>S-B-07-03</t>
  </si>
  <si>
    <t>lost the plot completely</t>
  </si>
  <si>
    <t>narrow margins</t>
  </si>
  <si>
    <t>?-C-00-02</t>
  </si>
  <si>
    <t>SU-E-07-00</t>
  </si>
  <si>
    <t>the legend of the gold on that one level</t>
  </si>
  <si>
    <t>S-B-07-04</t>
  </si>
  <si>
    <t>training simulator</t>
  </si>
  <si>
    <t>SU-E-07-01</t>
  </si>
  <si>
    <t>the other tick</t>
  </si>
  <si>
    <t>S-C-07-00</t>
  </si>
  <si>
    <t>MFA</t>
  </si>
  <si>
    <t>detonator</t>
  </si>
  <si>
    <t>?-C-00-03</t>
  </si>
  <si>
    <t>SU-E-07-02</t>
  </si>
  <si>
    <t>hide and seek</t>
  </si>
  <si>
    <t>S-C-07-01</t>
  </si>
  <si>
    <t>salmon run</t>
  </si>
  <si>
    <t>exploder in chief</t>
  </si>
  <si>
    <t>tiled memory</t>
  </si>
  <si>
    <t>?-C-00-04</t>
  </si>
  <si>
    <t>SU-E-07-03</t>
  </si>
  <si>
    <t>S-C-07-02</t>
  </si>
  <si>
    <t>mind weapon</t>
  </si>
  <si>
    <t>beware the leap: hard</t>
  </si>
  <si>
    <t>SU-E-07-04</t>
  </si>
  <si>
    <t>S-C-07-03</t>
  </si>
  <si>
    <t>spacious</t>
  </si>
  <si>
    <t>verticulous</t>
  </si>
  <si>
    <t>SU-A-08-00</t>
  </si>
  <si>
    <t>S-C-07-04</t>
  </si>
  <si>
    <t>photon flashback</t>
  </si>
  <si>
    <t>treacherous terrain</t>
  </si>
  <si>
    <t>conumber</t>
  </si>
  <si>
    <t>SU-A-08-01</t>
  </si>
  <si>
    <t>?-D-00-00</t>
  </si>
  <si>
    <t>S-D-07-00</t>
  </si>
  <si>
    <t>the sinister square hedges</t>
  </si>
  <si>
    <t>harderer</t>
  </si>
  <si>
    <t>SU-A-08-02</t>
  </si>
  <si>
    <t>can't get free</t>
  </si>
  <si>
    <t>S-D-07-01</t>
  </si>
  <si>
    <t>?-D-00-01</t>
  </si>
  <si>
    <t>floating points</t>
  </si>
  <si>
    <t>the light at the end of the tunnel</t>
  </si>
  <si>
    <t>SU-A-08-03</t>
  </si>
  <si>
    <t>S-D-07-02</t>
  </si>
  <si>
    <t>cloud colonist</t>
  </si>
  <si>
    <t>G++T--O++</t>
  </si>
  <si>
    <t>crikey</t>
  </si>
  <si>
    <t>?-D-00-02</t>
  </si>
  <si>
    <t>SU-A-08-04</t>
  </si>
  <si>
    <t>summit plummet</t>
  </si>
  <si>
    <t>bocks</t>
  </si>
  <si>
    <t>SU-B-08-00</t>
  </si>
  <si>
    <t>S-D-07-03</t>
  </si>
  <si>
    <t>T++O++C++</t>
  </si>
  <si>
    <t>zone of avoidance</t>
  </si>
  <si>
    <t>falling blocks</t>
  </si>
  <si>
    <t>?-D-00-03</t>
  </si>
  <si>
    <t>super time-forced</t>
  </si>
  <si>
    <t>SU-B-08-01</t>
  </si>
  <si>
    <t>S-D-07-04</t>
  </si>
  <si>
    <t>finite error tolerance</t>
  </si>
  <si>
    <t>SU-B-08-02</t>
  </si>
  <si>
    <t>barrys</t>
  </si>
  <si>
    <t>S-E-07-00</t>
  </si>
  <si>
    <t>rockety meadows</t>
  </si>
  <si>
    <t>err ducts</t>
  </si>
  <si>
    <t>SU-B-08-03</t>
  </si>
  <si>
    <t>S-E-07-01</t>
  </si>
  <si>
    <t>blockchain</t>
  </si>
  <si>
    <t>terrrible</t>
  </si>
  <si>
    <t>S-E-07-02</t>
  </si>
  <si>
    <t>?-D-00-04</t>
  </si>
  <si>
    <t>ascent into madness</t>
  </si>
  <si>
    <t>method of loci</t>
  </si>
  <si>
    <t>S-E-07-03</t>
  </si>
  <si>
    <t>SU-B-08-04</t>
  </si>
  <si>
    <t>temptation temple</t>
  </si>
  <si>
    <t>S-E-07-04</t>
  </si>
  <si>
    <t>the machine will tell us so</t>
  </si>
  <si>
    <t>S-A-08-00</t>
  </si>
  <si>
    <t>race to the bottom</t>
  </si>
  <si>
    <t>zeiss-ikon</t>
  </si>
  <si>
    <t>procedural rhetorical question</t>
  </si>
  <si>
    <t>S-A-08-01</t>
  </si>
  <si>
    <t>?-E-00-00</t>
  </si>
  <si>
    <t>SU-C-08-00</t>
  </si>
  <si>
    <t>logiciel</t>
  </si>
  <si>
    <t>S-A-08-02</t>
  </si>
  <si>
    <t>moustache zone</t>
  </si>
  <si>
    <t>SU-C-08-01</t>
  </si>
  <si>
    <t>process of elimination</t>
  </si>
  <si>
    <t>weaving shock</t>
  </si>
  <si>
    <t>S-A-08-03</t>
  </si>
  <si>
    <t>SU-C-08-02</t>
  </si>
  <si>
    <t>in loco parenthesis</t>
  </si>
  <si>
    <t>?-E-00-01</t>
  </si>
  <si>
    <t>there but for the grace of graboids</t>
  </si>
  <si>
    <t>game parallelepiped</t>
  </si>
  <si>
    <t>S-A-08-04</t>
  </si>
  <si>
    <t>SU-C-08-03</t>
  </si>
  <si>
    <t>futuristhmus</t>
  </si>
  <si>
    <t>S-B-08-00</t>
  </si>
  <si>
    <t>amber waves of pain</t>
  </si>
  <si>
    <t>super looper</t>
  </si>
  <si>
    <t>S-B-08-01</t>
  </si>
  <si>
    <t>SU-C-08-04</t>
  </si>
  <si>
    <t>the wobblies part 1</t>
  </si>
  <si>
    <t>unitor</t>
  </si>
  <si>
    <t>S-B-08-02</t>
  </si>
  <si>
    <t>?-E-00-02</t>
  </si>
  <si>
    <t>hunting grounds</t>
  </si>
  <si>
    <t>S-B-08-03</t>
  </si>
  <si>
    <t>all numbers are imaginary</t>
  </si>
  <si>
    <t>irregularities</t>
  </si>
  <si>
    <t>multiple redundancy self-destruct sequence activation protocol</t>
  </si>
  <si>
    <t>?-E-00-03</t>
  </si>
  <si>
    <t>SU-D-08-00</t>
  </si>
  <si>
    <t>S-B-08-04</t>
  </si>
  <si>
    <t>negative land</t>
  </si>
  <si>
    <t>S-C-08-00</t>
  </si>
  <si>
    <t>chariots of ire</t>
  </si>
  <si>
    <t>SU-D-08-01</t>
  </si>
  <si>
    <t>confetti-ville</t>
  </si>
  <si>
    <t>stack tracer</t>
  </si>
  <si>
    <t>S-C-08-01</t>
  </si>
  <si>
    <t>snikes</t>
  </si>
  <si>
    <t>?-E-00-04</t>
  </si>
  <si>
    <t>SU-D-08-02</t>
  </si>
  <si>
    <t>core red</t>
  </si>
  <si>
    <t>SU-D-08-03</t>
  </si>
  <si>
    <t>hard divisors</t>
  </si>
  <si>
    <t>mental leaps</t>
  </si>
  <si>
    <t>SU-D-08-04</t>
  </si>
  <si>
    <t>S-C-08-02</t>
  </si>
  <si>
    <t>glordy</t>
  </si>
  <si>
    <t>SU-E-08-00</t>
  </si>
  <si>
    <t>good grid dance</t>
  </si>
  <si>
    <t>S-C-08-03</t>
  </si>
  <si>
    <t>meshy</t>
  </si>
  <si>
    <t>finite resources</t>
  </si>
  <si>
    <t>SU-E-08-01</t>
  </si>
  <si>
    <t>S-C-08-04</t>
  </si>
  <si>
    <t>laser chess</t>
  </si>
  <si>
    <t>?-A-01-00</t>
  </si>
  <si>
    <t>in utero</t>
  </si>
  <si>
    <t>G--T++O++C++</t>
  </si>
  <si>
    <t>the world you will have known</t>
  </si>
  <si>
    <t>S-D-08-00</t>
  </si>
  <si>
    <t>SU-E-08-02</t>
  </si>
  <si>
    <t>sun of a b</t>
  </si>
  <si>
    <t>S-D-08-01</t>
  </si>
  <si>
    <t>a circuitous route</t>
  </si>
  <si>
    <t>weird gear</t>
  </si>
  <si>
    <t>S-D-08-02</t>
  </si>
  <si>
    <t>a blood oath to defy evil</t>
  </si>
  <si>
    <t>SU-E-08-03</t>
  </si>
  <si>
    <t>spun</t>
  </si>
  <si>
    <t>?-A-01-01</t>
  </si>
  <si>
    <t>inopportunities</t>
  </si>
  <si>
    <t>SU-E-08-04</t>
  </si>
  <si>
    <t>S-D-08-03</t>
  </si>
  <si>
    <t>the conveyance</t>
  </si>
  <si>
    <t>thrill climbing</t>
  </si>
  <si>
    <t>S-D-08-04</t>
  </si>
  <si>
    <t>SU-A-09-00</t>
  </si>
  <si>
    <t>roomy</t>
  </si>
  <si>
    <t>pseudonimble</t>
  </si>
  <si>
    <t>S-E-08-00</t>
  </si>
  <si>
    <t>?-A-01-02</t>
  </si>
  <si>
    <t>slag heaps</t>
  </si>
  <si>
    <t>SU-A-09-01</t>
  </si>
  <si>
    <t>out of the blue++</t>
  </si>
  <si>
    <t>S-E-08-01</t>
  </si>
  <si>
    <t>a series of interesting choices</t>
  </si>
  <si>
    <t>S-E-08-02</t>
  </si>
  <si>
    <t>aesthetic simulations</t>
  </si>
  <si>
    <t>SU-A-09-02</t>
  </si>
  <si>
    <t>pyrite</t>
  </si>
  <si>
    <t>engaging with materiality</t>
  </si>
  <si>
    <t>S-E-08-03</t>
  </si>
  <si>
    <t>?-A-01-03</t>
  </si>
  <si>
    <t>schnorgled</t>
  </si>
  <si>
    <t>S-E-08-04</t>
  </si>
  <si>
    <t>technofuturist</t>
  </si>
  <si>
    <t>G++T++O++E++</t>
  </si>
  <si>
    <t>SU-A-09-03</t>
  </si>
  <si>
    <t>don't look down</t>
  </si>
  <si>
    <t>runway</t>
  </si>
  <si>
    <t>S-A-09-00</t>
  </si>
  <si>
    <t>SU-A-09-04</t>
  </si>
  <si>
    <t>cyber-cave</t>
  </si>
  <si>
    <t>S-A-09-01</t>
  </si>
  <si>
    <t>alien orientation</t>
  </si>
  <si>
    <t>?-A-01-04</t>
  </si>
  <si>
    <t>dashing</t>
  </si>
  <si>
    <t>pitcher factory</t>
  </si>
  <si>
    <t>S-A-09-02</t>
  </si>
  <si>
    <t>SU-B-09-00</t>
  </si>
  <si>
    <t>money pit</t>
  </si>
  <si>
    <t>S-A-09-03</t>
  </si>
  <si>
    <t>G--T--O++C--E--</t>
  </si>
  <si>
    <t>cyclical nature</t>
  </si>
  <si>
    <t>middlemarch</t>
  </si>
  <si>
    <t>T--E++</t>
  </si>
  <si>
    <t>SU-B-09-01</t>
  </si>
  <si>
    <t>S-A-09-04</t>
  </si>
  <si>
    <t>far fall, eh?</t>
  </si>
  <si>
    <t>S-B-09-00</t>
  </si>
  <si>
    <t>G++O++C++E++</t>
  </si>
  <si>
    <t>G++T++O++C++E++</t>
  </si>
  <si>
    <t>architectural relief</t>
  </si>
  <si>
    <t>S-B-09-01</t>
  </si>
  <si>
    <t>air academy</t>
  </si>
  <si>
    <t>eternal vigilance</t>
  </si>
  <si>
    <t>bust an indeterminate number of moves</t>
  </si>
  <si>
    <t>?-B-01-00</t>
  </si>
  <si>
    <t>SU-B-09-02</t>
  </si>
  <si>
    <t>S-B-09-02</t>
  </si>
  <si>
    <t>zusty mordant</t>
  </si>
  <si>
    <t>S-B-09-03</t>
  </si>
  <si>
    <t>rocket surprise</t>
  </si>
  <si>
    <t>scanbrain</t>
  </si>
  <si>
    <t>photongle</t>
  </si>
  <si>
    <t>?-B-01-01</t>
  </si>
  <si>
    <t>SU-B-09-03</t>
  </si>
  <si>
    <t>S-B-09-04</t>
  </si>
  <si>
    <t>easy divisors</t>
  </si>
  <si>
    <t>S-C-09-00</t>
  </si>
  <si>
    <t>glitchfield vertices</t>
  </si>
  <si>
    <t>/ // / / // / //</t>
  </si>
  <si>
    <t>SU-B-09-04</t>
  </si>
  <si>
    <t>?-B-01-02</t>
  </si>
  <si>
    <t>asimine</t>
  </si>
  <si>
    <t>SU-C-09-00</t>
  </si>
  <si>
    <t>weave world</t>
  </si>
  <si>
    <t>capsule hotels</t>
  </si>
  <si>
    <t>an unconventional solution</t>
  </si>
  <si>
    <t>SU-C-09-01</t>
  </si>
  <si>
    <t>S-C-09-01</t>
  </si>
  <si>
    <t>?-B-01-03</t>
  </si>
  <si>
    <t>wading pool</t>
  </si>
  <si>
    <t>panoptical</t>
  </si>
  <si>
    <t>S-C-09-02</t>
  </si>
  <si>
    <t>SU-C-09-02</t>
  </si>
  <si>
    <t>keep them moving in your mind</t>
  </si>
  <si>
    <t>S-C-09-03</t>
  </si>
  <si>
    <t>smitten</t>
  </si>
  <si>
    <t>anti-intrusion electron space</t>
  </si>
  <si>
    <t>SU-C-09-03</t>
  </si>
  <si>
    <t>S-C-09-04</t>
  </si>
  <si>
    <t>a fabulous crime</t>
  </si>
  <si>
    <t>S-D-09-00</t>
  </si>
  <si>
    <t>escape aid</t>
  </si>
  <si>
    <t>SU-C-09-04</t>
  </si>
  <si>
    <t>loosen up</t>
  </si>
  <si>
    <t>freefall fort</t>
  </si>
  <si>
    <t>?-B-01-04</t>
  </si>
  <si>
    <t>S-D-09-01</t>
  </si>
  <si>
    <t>a rather curious horizontal mechanism</t>
  </si>
  <si>
    <t>pha</t>
  </si>
  <si>
    <t>S-D-09-02</t>
  </si>
  <si>
    <t>SU-D-09-00</t>
  </si>
  <si>
    <t>laser time</t>
  </si>
  <si>
    <t>S-D-09-03</t>
  </si>
  <si>
    <t>notional space</t>
  </si>
  <si>
    <t>everything seems impossible when you haven't done it yet</t>
  </si>
  <si>
    <t>SU-D-09-01</t>
  </si>
  <si>
    <t>viral basin</t>
  </si>
  <si>
    <t>S-D-09-04</t>
  </si>
  <si>
    <t>?-C-01-00</t>
  </si>
  <si>
    <t>G--T++O--E--</t>
  </si>
  <si>
    <t>advanced rudiments</t>
  </si>
  <si>
    <t>narbacular drop</t>
  </si>
  <si>
    <t>SU-D-09-02</t>
  </si>
  <si>
    <t>S-E-09-00</t>
  </si>
  <si>
    <t>contained risk</t>
  </si>
  <si>
    <t>butterfeet</t>
  </si>
  <si>
    <t>G--T++O--E++</t>
  </si>
  <si>
    <t>S-E-09-01</t>
  </si>
  <si>
    <t>SU-D-09-03</t>
  </si>
  <si>
    <t>gridnik</t>
  </si>
  <si>
    <t>G++T--O++E++</t>
  </si>
  <si>
    <t>S-E-09-02</t>
  </si>
  <si>
    <t>null propagation</t>
  </si>
  <si>
    <t>G--T--O--E++</t>
  </si>
  <si>
    <t>SU-D-09-04</t>
  </si>
  <si>
    <t>G--T--O--E--</t>
  </si>
  <si>
    <t>the ninja who wanted everything</t>
  </si>
  <si>
    <t>?-C-01-01</t>
  </si>
  <si>
    <t>inverted gears</t>
  </si>
  <si>
    <t>evil core</t>
  </si>
  <si>
    <t>S-E-09-03</t>
  </si>
  <si>
    <t>SU-E-09-00</t>
  </si>
  <si>
    <t>a journey</t>
  </si>
  <si>
    <t>S-E-09-04</t>
  </si>
  <si>
    <t>terror arithmetic</t>
  </si>
  <si>
    <t>peek-a-bang</t>
  </si>
  <si>
    <t>SU-E-09-01</t>
  </si>
  <si>
    <t>?-C-01-02</t>
  </si>
  <si>
    <t>winds of change</t>
  </si>
  <si>
    <t>S-A-10-00</t>
  </si>
  <si>
    <t>mega damage capacity</t>
  </si>
  <si>
    <t>SU-E-09-02</t>
  </si>
  <si>
    <t>directional bias</t>
  </si>
  <si>
    <t>S-A-10-01</t>
  </si>
  <si>
    <t>the ruins of 199X</t>
  </si>
  <si>
    <t>datacreche</t>
  </si>
  <si>
    <t>?-C-01-03</t>
  </si>
  <si>
    <t>S-A-10-02</t>
  </si>
  <si>
    <t>titular</t>
  </si>
  <si>
    <t>possibilities' pace</t>
  </si>
  <si>
    <t>SU-E-09-03</t>
  </si>
  <si>
    <t>?-C-01-04</t>
  </si>
  <si>
    <t>open season</t>
  </si>
  <si>
    <t>SU-E-09-04</t>
  </si>
  <si>
    <t>your garden-variety quad gold hazard</t>
  </si>
  <si>
    <t>kaaaa-wiiiizzz!</t>
  </si>
  <si>
    <t>S-A-10-03</t>
  </si>
  <si>
    <t>SU-A-10-00</t>
  </si>
  <si>
    <t>torpedo theodore</t>
  </si>
  <si>
    <t>introjection</t>
  </si>
  <si>
    <t>S-A-10-04</t>
  </si>
  <si>
    <t>archangle</t>
  </si>
  <si>
    <t>?-D-01-00</t>
  </si>
  <si>
    <t>clamber</t>
  </si>
  <si>
    <t>SU-A-10-01</t>
  </si>
  <si>
    <t>S-B-10-00</t>
  </si>
  <si>
    <t>brambly</t>
  </si>
  <si>
    <t>onceless</t>
  </si>
  <si>
    <t>S-B-10-01</t>
  </si>
  <si>
    <t>SU-A-10-02</t>
  </si>
  <si>
    <t>experiencing the world through your own volition</t>
  </si>
  <si>
    <t>S-B-10-02</t>
  </si>
  <si>
    <t>remixed metaphors</t>
  </si>
  <si>
    <t>ruckazoid</t>
  </si>
  <si>
    <t>S-B-10-03</t>
  </si>
  <si>
    <t>?-D-01-01</t>
  </si>
  <si>
    <t>freeformed</t>
  </si>
  <si>
    <t>raining electric death</t>
  </si>
  <si>
    <t>T++C--</t>
  </si>
  <si>
    <t>S-B-10-04</t>
  </si>
  <si>
    <t>SU-A-10-03</t>
  </si>
  <si>
    <t>funky dynamite</t>
  </si>
  <si>
    <t>S-C-10-00</t>
  </si>
  <si>
    <t>advanced studies in the platforming arts</t>
  </si>
  <si>
    <t>SU-A-10-04</t>
  </si>
  <si>
    <t>mathew kumar's capitalist death machine</t>
  </si>
  <si>
    <t>S-C-10-01</t>
  </si>
  <si>
    <t>atomic dustbin of history</t>
  </si>
  <si>
    <t>?-D-01-02</t>
  </si>
  <si>
    <t>moderation</t>
  </si>
  <si>
    <t>nu age cloud</t>
  </si>
  <si>
    <t>S-C-10-02</t>
  </si>
  <si>
    <t>E--</t>
  </si>
  <si>
    <t>overproduction</t>
  </si>
  <si>
    <t>?-D-01-03</t>
  </si>
  <si>
    <t>SU-B-10-00</t>
  </si>
  <si>
    <t>go go wadjet eye</t>
  </si>
  <si>
    <t>?-D-01-04</t>
  </si>
  <si>
    <t>frisson</t>
  </si>
  <si>
    <t>neutra</t>
  </si>
  <si>
    <t>S-C-10-03</t>
  </si>
  <si>
    <t>SU-B-10-01</t>
  </si>
  <si>
    <t>level designed to thrizzle</t>
  </si>
  <si>
    <t>S-C-10-04</t>
  </si>
  <si>
    <t>T--E--</t>
  </si>
  <si>
    <t>peek-a-boom</t>
  </si>
  <si>
    <t>temporary bridge</t>
  </si>
  <si>
    <t>S-D-10-00</t>
  </si>
  <si>
    <t>SU-B-10-02</t>
  </si>
  <si>
    <t>pcell</t>
  </si>
  <si>
    <t>S-D-10-01</t>
  </si>
  <si>
    <t>vertical variations volume v</t>
  </si>
  <si>
    <t>don't</t>
  </si>
  <si>
    <t>?-E-01-00</t>
  </si>
  <si>
    <t>S-D-10-02</t>
  </si>
  <si>
    <t>clouded</t>
  </si>
  <si>
    <t>beamer</t>
  </si>
  <si>
    <t>SU-B-10-03</t>
  </si>
  <si>
    <t>hyperdeathballad</t>
  </si>
  <si>
    <t>S-D-10-03</t>
  </si>
  <si>
    <t>?-E-01-01</t>
  </si>
  <si>
    <t>tangled up</t>
  </si>
  <si>
    <t>S-D-10-04</t>
  </si>
  <si>
    <t>artificial biomes</t>
  </si>
  <si>
    <t>sinusoidal</t>
  </si>
  <si>
    <t>lack-of-space harrier</t>
  </si>
  <si>
    <t>SU-B-10-04</t>
  </si>
  <si>
    <t>S-E-10-00</t>
  </si>
  <si>
    <t>?-E-01-02</t>
  </si>
  <si>
    <t>worm drive</t>
  </si>
  <si>
    <t>S-E-10-01</t>
  </si>
  <si>
    <t>delimiters</t>
  </si>
  <si>
    <t>S-E-10-02</t>
  </si>
  <si>
    <t>razorwire</t>
  </si>
  <si>
    <t>SU-C-10-00</t>
  </si>
  <si>
    <t>world's two greatest monsters</t>
  </si>
  <si>
    <t>S-E-10-03</t>
  </si>
  <si>
    <t>it's very stimulating</t>
  </si>
  <si>
    <t>?-E-01-03</t>
  </si>
  <si>
    <t>hidden in plain sight</t>
  </si>
  <si>
    <t>S-E-10-04</t>
  </si>
  <si>
    <t>weaving</t>
  </si>
  <si>
    <t>S-A-11-00</t>
  </si>
  <si>
    <t>irruncible differences</t>
  </si>
  <si>
    <t>?-E-01-04</t>
  </si>
  <si>
    <t>O++E++</t>
  </si>
  <si>
    <t>it followed me home</t>
  </si>
  <si>
    <t>S-A-11-01</t>
  </si>
  <si>
    <t>even if and especially when</t>
  </si>
  <si>
    <t>phillips</t>
  </si>
  <si>
    <t>SU-C-10-01</t>
  </si>
  <si>
    <t>S-A-11-02</t>
  </si>
  <si>
    <t>archipeligro</t>
  </si>
  <si>
    <t>tripartite</t>
  </si>
  <si>
    <t>?-A-02-00</t>
  </si>
  <si>
    <t>SU-C-10-02</t>
  </si>
  <si>
    <t>approachment</t>
  </si>
  <si>
    <t>bubble metropolis</t>
  </si>
  <si>
    <t>S-A-11-03</t>
  </si>
  <si>
    <t>SU-C-10-03</t>
  </si>
  <si>
    <t>zone of possible agreement</t>
  </si>
  <si>
    <t>S-A-11-04</t>
  </si>
  <si>
    <t>blamco industries</t>
  </si>
  <si>
    <t>SU-C-10-04</t>
  </si>
  <si>
    <t>one is all you need</t>
  </si>
  <si>
    <t>S-B-11-00</t>
  </si>
  <si>
    <t>sixty seven point five degrees</t>
  </si>
  <si>
    <t>ceiling cacti</t>
  </si>
  <si>
    <t>rebundant</t>
  </si>
  <si>
    <t>SU-D-10-00</t>
  </si>
  <si>
    <t>S-B-11-01</t>
  </si>
  <si>
    <t>?-A-02-01</t>
  </si>
  <si>
    <t>crisscrossy</t>
  </si>
  <si>
    <t>futurism</t>
  </si>
  <si>
    <t>SU-D-10-01</t>
  </si>
  <si>
    <t>S-B-11-02</t>
  </si>
  <si>
    <t>sousveillance</t>
  </si>
  <si>
    <t>something of an intrusive inconvenience</t>
  </si>
  <si>
    <t>S-B-11-03</t>
  </si>
  <si>
    <t>SU-D-10-02</t>
  </si>
  <si>
    <t>funnely enough</t>
  </si>
  <si>
    <t>G++O++</t>
  </si>
  <si>
    <t>S-B-11-04</t>
  </si>
  <si>
    <t>ghosts at the feast</t>
  </si>
  <si>
    <t>automatical vvvhard</t>
  </si>
  <si>
    <t>SU-D-10-03</t>
  </si>
  <si>
    <t>?-A-02-02</t>
  </si>
  <si>
    <t>the collectathon</t>
  </si>
  <si>
    <t>diamond ladder</t>
  </si>
  <si>
    <t>SU-D-10-04</t>
  </si>
  <si>
    <t>S-C-11-00</t>
  </si>
  <si>
    <t>segmentation fault</t>
  </si>
  <si>
    <t>G--T--O--C++</t>
  </si>
  <si>
    <t>S-C-11-01</t>
  </si>
  <si>
    <t>G--T--O++C--</t>
  </si>
  <si>
    <t>mega-pokeys</t>
  </si>
  <si>
    <t>S-C-11-02</t>
  </si>
  <si>
    <t>tippy-toe</t>
  </si>
  <si>
    <t>quad brobe</t>
  </si>
  <si>
    <t>SU-E-10-00</t>
  </si>
  <si>
    <t>S-C-11-03</t>
  </si>
  <si>
    <t>laser-assisted cognition</t>
  </si>
  <si>
    <t>?-A-02-03</t>
  </si>
  <si>
    <t>endgame</t>
  </si>
  <si>
    <t>S-C-11-04</t>
  </si>
  <si>
    <t>balk zone</t>
  </si>
  <si>
    <t>shots fired</t>
  </si>
  <si>
    <t>SU-E-10-01</t>
  </si>
  <si>
    <t>S-D-11-00</t>
  </si>
  <si>
    <t>coffin nails</t>
  </si>
  <si>
    <t>S-D-11-01</t>
  </si>
  <si>
    <t>light timer</t>
  </si>
  <si>
    <t>optimal pathfinding</t>
  </si>
  <si>
    <t>S-D-11-02</t>
  </si>
  <si>
    <t>SU-E-10-02</t>
  </si>
  <si>
    <t>stochastic exemption</t>
  </si>
  <si>
    <t>max float</t>
  </si>
  <si>
    <t>?-A-02-04</t>
  </si>
  <si>
    <t>S-D-11-03</t>
  </si>
  <si>
    <t>steppes</t>
  </si>
  <si>
    <t>SU-E-10-03</t>
  </si>
  <si>
    <t>probability 0.0000001</t>
  </si>
  <si>
    <t>the memcordist</t>
  </si>
  <si>
    <t>SU-E-10-04</t>
  </si>
  <si>
    <t>S-D-11-04</t>
  </si>
  <si>
    <t>ninjabilities</t>
  </si>
  <si>
    <t>S-E-11-00</t>
  </si>
  <si>
    <t>hardester</t>
  </si>
  <si>
    <t>S-E-11-01</t>
  </si>
  <si>
    <t>G--T--O--C--E--</t>
  </si>
  <si>
    <t>hinted</t>
  </si>
  <si>
    <t>sphygmomanometer</t>
  </si>
  <si>
    <t>S-E-11-02</t>
  </si>
  <si>
    <t>rhomper</t>
  </si>
  <si>
    <t>SU-A-11-00</t>
  </si>
  <si>
    <t>?-B-02-00</t>
  </si>
  <si>
    <t>time pressure</t>
  </si>
  <si>
    <t>S-E-11-03</t>
  </si>
  <si>
    <t>degreelessness</t>
  </si>
  <si>
    <t>S-E-11-04</t>
  </si>
  <si>
    <t>saccade</t>
  </si>
  <si>
    <t>circular logic</t>
  </si>
  <si>
    <t>SU-A-11-01</t>
  </si>
  <si>
    <t>against the wall</t>
  </si>
  <si>
    <t>S-A-12-00</t>
  </si>
  <si>
    <t>?-B-02-01</t>
  </si>
  <si>
    <t>plaque kills</t>
  </si>
  <si>
    <t>stock depletion</t>
  </si>
  <si>
    <t>SU-A-11-02</t>
  </si>
  <si>
    <t>S-A-12-01</t>
  </si>
  <si>
    <t>G++T--E--</t>
  </si>
  <si>
    <t>the thirty-seventh strategem</t>
  </si>
  <si>
    <t>temptation</t>
  </si>
  <si>
    <t>obelisk speed dating</t>
  </si>
  <si>
    <t>?-B-02-02</t>
  </si>
  <si>
    <t>S-A-12-02</t>
  </si>
  <si>
    <t>SU-A-11-03</t>
  </si>
  <si>
    <t>containment units</t>
  </si>
  <si>
    <t>S-A-12-03</t>
  </si>
  <si>
    <t>the cyborging chamber</t>
  </si>
  <si>
    <t>S-A-12-04</t>
  </si>
  <si>
    <t>absolute bounder</t>
  </si>
  <si>
    <t>mt. err-ebus</t>
  </si>
  <si>
    <t>SU-A-11-04</t>
  </si>
  <si>
    <t>S-B-12-00</t>
  </si>
  <si>
    <t>abstruse</t>
  </si>
  <si>
    <t>rebunk</t>
  </si>
  <si>
    <t>?-B-02-03</t>
  </si>
  <si>
    <t>S-B-12-01</t>
  </si>
  <si>
    <t>skip tracer</t>
  </si>
  <si>
    <t>a little too busy at the drone factory</t>
  </si>
  <si>
    <t>SU-B-11-00</t>
  </si>
  <si>
    <t>S-B-12-02</t>
  </si>
  <si>
    <t>the squizzler</t>
  </si>
  <si>
    <t>S-B-12-03</t>
  </si>
  <si>
    <t>accepted eclectic</t>
  </si>
  <si>
    <t>optional</t>
  </si>
  <si>
    <t>SU-B-11-01</t>
  </si>
  <si>
    <t>S-B-12-04</t>
  </si>
  <si>
    <t>strike four</t>
  </si>
  <si>
    <t>lowrez cavern</t>
  </si>
  <si>
    <t>?-B-02-04</t>
  </si>
  <si>
    <t>S-C-12-00</t>
  </si>
  <si>
    <t>basswave</t>
  </si>
  <si>
    <t>overhead</t>
  </si>
  <si>
    <t>SU-B-11-02</t>
  </si>
  <si>
    <t>S-C-12-01</t>
  </si>
  <si>
    <t>running out of chances</t>
  </si>
  <si>
    <t>the great escape</t>
  </si>
  <si>
    <t>S-C-12-02</t>
  </si>
  <si>
    <t>mancer</t>
  </si>
  <si>
    <t>SU-B-11-03</t>
  </si>
  <si>
    <t>the overseer</t>
  </si>
  <si>
    <t>?-C-02-00</t>
  </si>
  <si>
    <t>S-C-12-03</t>
  </si>
  <si>
    <t>a frankly unbelievable amount of doors</t>
  </si>
  <si>
    <t>SU-B-11-04</t>
  </si>
  <si>
    <t>human techniques for earning glory</t>
  </si>
  <si>
    <t>S-C-12-04</t>
  </si>
  <si>
    <t>i know this</t>
  </si>
  <si>
    <t>interlaced with...</t>
  </si>
  <si>
    <t>caltropped</t>
  </si>
  <si>
    <t>?-C-02-01</t>
  </si>
  <si>
    <t>SU-C-11-00</t>
  </si>
  <si>
    <t>S-D-12-00</t>
  </si>
  <si>
    <t>the still vermillion</t>
  </si>
  <si>
    <t>S-D-12-01</t>
  </si>
  <si>
    <t>the speed of light</t>
  </si>
  <si>
    <t>undead burg</t>
  </si>
  <si>
    <t>SU-C-11-01</t>
  </si>
  <si>
    <t>S-D-12-02</t>
  </si>
  <si>
    <t>T--O++</t>
  </si>
  <si>
    <t>zarniwhoops</t>
  </si>
  <si>
    <t>baby lorg</t>
  </si>
  <si>
    <t>SU-C-11-02</t>
  </si>
  <si>
    <t>S-D-12-03</t>
  </si>
  <si>
    <t>the crusher</t>
  </si>
  <si>
    <t>ironic nostalgia does not an artist make</t>
  </si>
  <si>
    <t>?-C-02-02</t>
  </si>
  <si>
    <t>SU-C-11-03</t>
  </si>
  <si>
    <t>temerity</t>
  </si>
  <si>
    <t>SU-C-11-04</t>
  </si>
  <si>
    <t>bouken!</t>
  </si>
  <si>
    <t>diagonal environment</t>
  </si>
  <si>
    <t>S-D-12-04</t>
  </si>
  <si>
    <t>SU-D-11-00</t>
  </si>
  <si>
    <t>overcooked</t>
  </si>
  <si>
    <t>stifling</t>
  </si>
  <si>
    <t>?-C-02-03</t>
  </si>
  <si>
    <t>SU-D-11-01</t>
  </si>
  <si>
    <t>lazorbs</t>
  </si>
  <si>
    <t>S-E-12-00</t>
  </si>
  <si>
    <t>symbolic frolic</t>
  </si>
  <si>
    <t>?-C-02-04</t>
  </si>
  <si>
    <t>megastructural</t>
  </si>
  <si>
    <t>SU-D-11-02</t>
  </si>
  <si>
    <t>mostly harmful</t>
  </si>
  <si>
    <t>turn styles</t>
  </si>
  <si>
    <t>S-E-12-01</t>
  </si>
  <si>
    <t>SU-D-11-03</t>
  </si>
  <si>
    <t>some like it not</t>
  </si>
  <si>
    <t>S-E-12-02</t>
  </si>
  <si>
    <t>globins</t>
  </si>
  <si>
    <t>running down that hill</t>
  </si>
  <si>
    <t>SU-D-11-04</t>
  </si>
  <si>
    <t>threap chills</t>
  </si>
  <si>
    <t>S-E-12-03</t>
  </si>
  <si>
    <t>?-D-02-00</t>
  </si>
  <si>
    <t>infiltration system</t>
  </si>
  <si>
    <t>gravity's inexorable pull</t>
  </si>
  <si>
    <t>S-E-12-04</t>
  </si>
  <si>
    <t>SU-E-11-00</t>
  </si>
  <si>
    <t>security grid redux</t>
  </si>
  <si>
    <t>galaxuneasy</t>
  </si>
  <si>
    <t>SU-E-11-01</t>
  </si>
  <si>
    <t>?-D-02-01</t>
  </si>
  <si>
    <t>diactites and stalagonals</t>
  </si>
  <si>
    <t>T++E--</t>
  </si>
  <si>
    <t>S-A-13-00</t>
  </si>
  <si>
    <t>crescendon't</t>
  </si>
  <si>
    <t>bitcrushed seafoam</t>
  </si>
  <si>
    <t>SU-E-11-02</t>
  </si>
  <si>
    <t>S-A-13-01</t>
  </si>
  <si>
    <t>G--E--</t>
  </si>
  <si>
    <t>subtleties</t>
  </si>
  <si>
    <t>linear extrapolation</t>
  </si>
  <si>
    <t>SU-E-11-03</t>
  </si>
  <si>
    <t>S-A-13-02</t>
  </si>
  <si>
    <t>nougaty norm</t>
  </si>
  <si>
    <t>overlap</t>
  </si>
  <si>
    <t>?-D-02-02</t>
  </si>
  <si>
    <t>S-A-13-03</t>
  </si>
  <si>
    <t>toe-tapper</t>
  </si>
  <si>
    <t>S-A-13-04</t>
  </si>
  <si>
    <t>SU-E-11-04</t>
  </si>
  <si>
    <t>twisted sprint</t>
  </si>
  <si>
    <t>S-B-13-00</t>
  </si>
  <si>
    <t>spiral gyro</t>
  </si>
  <si>
    <t>hop springs eternal</t>
  </si>
  <si>
    <t>golden opportunities</t>
  </si>
  <si>
    <t>S-B-13-01</t>
  </si>
  <si>
    <t>?-D-02-03</t>
  </si>
  <si>
    <t>jagabees</t>
  </si>
  <si>
    <t>SU-A-12-00</t>
  </si>
  <si>
    <t>S-B-13-02</t>
  </si>
  <si>
    <t>rumpled slitscan</t>
  </si>
  <si>
    <t>S-B-13-03</t>
  </si>
  <si>
    <t>the algorithm</t>
  </si>
  <si>
    <t>decayed orbital colony</t>
  </si>
  <si>
    <t>perp walls</t>
  </si>
  <si>
    <t>S-B-13-04</t>
  </si>
  <si>
    <t>?-D-02-04</t>
  </si>
  <si>
    <t>SU-A-12-01</t>
  </si>
  <si>
    <t>T--O--C--</t>
  </si>
  <si>
    <t>y'all got that videoball?</t>
  </si>
  <si>
    <t>S-C-13-00</t>
  </si>
  <si>
    <t>sweeps</t>
  </si>
  <si>
    <t>corpse corps</t>
  </si>
  <si>
    <t>S-C-13-01</t>
  </si>
  <si>
    <t>space station</t>
  </si>
  <si>
    <t>SU-A-12-02</t>
  </si>
  <si>
    <t>S-C-13-02</t>
  </si>
  <si>
    <t>arc minutes</t>
  </si>
  <si>
    <t>blamboo shoots</t>
  </si>
  <si>
    <t>S-C-13-03</t>
  </si>
  <si>
    <t>SU-A-12-03</t>
  </si>
  <si>
    <t>inside the autonomous sensory meridian response reactor</t>
  </si>
  <si>
    <t>S-C-13-04</t>
  </si>
  <si>
    <t>across the sky</t>
  </si>
  <si>
    <t>the legend of column b</t>
  </si>
  <si>
    <t>S-D-13-00</t>
  </si>
  <si>
    <t>?-E-02-00</t>
  </si>
  <si>
    <t>jam packed</t>
  </si>
  <si>
    <t>SU-A-12-04</t>
  </si>
  <si>
    <t>moving platform</t>
  </si>
  <si>
    <t>S-D-13-01</t>
  </si>
  <si>
    <t>reload the program of misery</t>
  </si>
  <si>
    <t>S-D-13-02</t>
  </si>
  <si>
    <t>boost it</t>
  </si>
  <si>
    <t>machine aesthetic</t>
  </si>
  <si>
    <t>S-D-13-03</t>
  </si>
  <si>
    <t>penultimate contraption</t>
  </si>
  <si>
    <t>SU-B-12-00</t>
  </si>
  <si>
    <t>strata gem</t>
  </si>
  <si>
    <t>S-D-13-04</t>
  </si>
  <si>
    <t>?-E-02-01</t>
  </si>
  <si>
    <t>refractory factory</t>
  </si>
  <si>
    <t>continuum singularity</t>
  </si>
  <si>
    <t>?-E-02-02</t>
  </si>
  <si>
    <t>SU-B-12-01</t>
  </si>
  <si>
    <t>T--O++C--</t>
  </si>
  <si>
    <t>the tower at the end of the world</t>
  </si>
  <si>
    <t>gibsonesque landscape</t>
  </si>
  <si>
    <t>SU-B-12-02</t>
  </si>
  <si>
    <t>blocktoberfest</t>
  </si>
  <si>
    <t>?-E-02-03</t>
  </si>
  <si>
    <t>S-E-13-00</t>
  </si>
  <si>
    <t>that backward-looking mood</t>
  </si>
  <si>
    <t>S-E-13-01</t>
  </si>
  <si>
    <t>12-bit hack</t>
  </si>
  <si>
    <t>?-E-02-04</t>
  </si>
  <si>
    <t>squeeze play</t>
  </si>
  <si>
    <t>S-E-13-02</t>
  </si>
  <si>
    <t>nail biter</t>
  </si>
  <si>
    <t>S-E-13-03</t>
  </si>
  <si>
    <t>speedbumps</t>
  </si>
  <si>
    <t>a thoroughly permuted scenario</t>
  </si>
  <si>
    <t>SU-B-12-03</t>
  </si>
  <si>
    <t>S-E-13-04</t>
  </si>
  <si>
    <t>inelegant</t>
  </si>
  <si>
    <t>S-A-14-00</t>
  </si>
  <si>
    <t>break new soil</t>
  </si>
  <si>
    <t>terrain</t>
  </si>
  <si>
    <t>?-A-03-00</t>
  </si>
  <si>
    <t>artificial gravity</t>
  </si>
  <si>
    <t>S-A-14-01</t>
  </si>
  <si>
    <t>SU-B-12-04</t>
  </si>
  <si>
    <t>random walks of kindness</t>
  </si>
  <si>
    <t>upwards to infinity</t>
  </si>
  <si>
    <t>S-A-14-02</t>
  </si>
  <si>
    <t>?-A-03-01</t>
  </si>
  <si>
    <t>the mobile crowd</t>
  </si>
  <si>
    <t>taking the plunge</t>
  </si>
  <si>
    <t>S-A-14-03</t>
  </si>
  <si>
    <t>SU-C-12-00</t>
  </si>
  <si>
    <t>mighty vision</t>
  </si>
  <si>
    <t>gold rush</t>
  </si>
  <si>
    <t>SU-C-12-01</t>
  </si>
  <si>
    <t>anisotropic</t>
  </si>
  <si>
    <t>S-A-14-04</t>
  </si>
  <si>
    <t>?-A-03-02</t>
  </si>
  <si>
    <t>steps</t>
  </si>
  <si>
    <t>denouementality</t>
  </si>
  <si>
    <t>S-B-14-00</t>
  </si>
  <si>
    <t>SU-C-12-02</t>
  </si>
  <si>
    <t>boxen</t>
  </si>
  <si>
    <t>S-B-14-01</t>
  </si>
  <si>
    <t>pause for thought</t>
  </si>
  <si>
    <t>SU-C-12-03</t>
  </si>
  <si>
    <t>vaunt</t>
  </si>
  <si>
    <t>S-B-14-02</t>
  </si>
  <si>
    <t>deathtrapped</t>
  </si>
  <si>
    <t>acroblat</t>
  </si>
  <si>
    <t>?-A-03-03</t>
  </si>
  <si>
    <t>murmurations</t>
  </si>
  <si>
    <t>SU-C-12-04</t>
  </si>
  <si>
    <t>S-B-14-03</t>
  </si>
  <si>
    <t xml:space="preserve">[!] </t>
  </si>
  <si>
    <t>lazorb drone</t>
  </si>
  <si>
    <t>S-B-14-04</t>
  </si>
  <si>
    <t>funstructured space</t>
  </si>
  <si>
    <t>simplex</t>
  </si>
  <si>
    <t>?-A-03-04</t>
  </si>
  <si>
    <t>speak through play</t>
  </si>
  <si>
    <t>S-C-14-00</t>
  </si>
  <si>
    <t>SU-D-12-00</t>
  </si>
  <si>
    <t>skeletal fortress</t>
  </si>
  <si>
    <t>S-C-14-01</t>
  </si>
  <si>
    <t>dexterity testing apparatus</t>
  </si>
  <si>
    <t>SU-D-12-01</t>
  </si>
  <si>
    <t>tactical freakout</t>
  </si>
  <si>
    <t>S-C-14-02</t>
  </si>
  <si>
    <t>whither yon ninja</t>
  </si>
  <si>
    <t>fantastically contrapted</t>
  </si>
  <si>
    <t>SU-D-12-02</t>
  </si>
  <si>
    <t>S-C-14-03</t>
  </si>
  <si>
    <t>walljumpclusion</t>
  </si>
  <si>
    <t>polyrhythmic pit</t>
  </si>
  <si>
    <t>?-B-03-00</t>
  </si>
  <si>
    <t>S-C-14-04</t>
  </si>
  <si>
    <t>platten freak</t>
  </si>
  <si>
    <t>containment breach</t>
  </si>
  <si>
    <t>S-D-14-00</t>
  </si>
  <si>
    <t>?-B-03-01</t>
  </si>
  <si>
    <t>execration</t>
  </si>
  <si>
    <t>SU-D-12-03</t>
  </si>
  <si>
    <t>glide</t>
  </si>
  <si>
    <t>S-D-14-01</t>
  </si>
  <si>
    <t>the unlockening</t>
  </si>
  <si>
    <t>betting the hausen</t>
  </si>
  <si>
    <t>SU-D-12-04</t>
  </si>
  <si>
    <t>S-D-14-02</t>
  </si>
  <si>
    <t>platformonics</t>
  </si>
  <si>
    <t>S-D-14-03</t>
  </si>
  <si>
    <t>daren't</t>
  </si>
  <si>
    <t>?-B-03-02</t>
  </si>
  <si>
    <t>walljumpertunities</t>
  </si>
  <si>
    <t>fear of repeating yourself</t>
  </si>
  <si>
    <t>SU-E-12-00</t>
  </si>
  <si>
    <t>S-D-14-04</t>
  </si>
  <si>
    <t>detunized gravity</t>
  </si>
  <si>
    <t>S-E-14-00</t>
  </si>
  <si>
    <t>galactickled</t>
  </si>
  <si>
    <t>shooting gallery</t>
  </si>
  <si>
    <t>S-E-14-01</t>
  </si>
  <si>
    <t>?-B-03-03</t>
  </si>
  <si>
    <t>O--</t>
  </si>
  <si>
    <t>runcible</t>
  </si>
  <si>
    <t>S-E-14-02</t>
  </si>
  <si>
    <t>rampant ai ant colony 8952-b</t>
  </si>
  <si>
    <t>forgone accumulator</t>
  </si>
  <si>
    <t>?-B-03-04</t>
  </si>
  <si>
    <t>S-E-14-03</t>
  </si>
  <si>
    <t>vertical prison</t>
  </si>
  <si>
    <t>symbolic act</t>
  </si>
  <si>
    <t>SU-E-12-01</t>
  </si>
  <si>
    <t>S-E-14-04</t>
  </si>
  <si>
    <t>folded space</t>
  </si>
  <si>
    <t>SU-E-12-02</t>
  </si>
  <si>
    <t>altered</t>
  </si>
  <si>
    <t>?-C-03-00</t>
  </si>
  <si>
    <t>ripple mountain</t>
  </si>
  <si>
    <t>S-A-15-00</t>
  </si>
  <si>
    <t>ineluctable</t>
  </si>
  <si>
    <t>speedrun dream</t>
  </si>
  <si>
    <t>delimited</t>
  </si>
  <si>
    <t>SU-E-12-03</t>
  </si>
  <si>
    <t>S-A-15-01</t>
  </si>
  <si>
    <t>?-C-03-01</t>
  </si>
  <si>
    <t>the gree</t>
  </si>
  <si>
    <t>S-A-15-02</t>
  </si>
  <si>
    <t>neo tokyo</t>
  </si>
  <si>
    <t>S-A-15-03</t>
  </si>
  <si>
    <t>android architect</t>
  </si>
  <si>
    <t>hallway of hesitation</t>
  </si>
  <si>
    <t>abandoned cavern tower figment</t>
  </si>
  <si>
    <t>SU-E-12-04</t>
  </si>
  <si>
    <t>S-A-15-04</t>
  </si>
  <si>
    <t>?-C-03-02</t>
  </si>
  <si>
    <t>intelligent falling</t>
  </si>
  <si>
    <t>no peaking</t>
  </si>
  <si>
    <t>S-B-15-00</t>
  </si>
  <si>
    <t>SU-A-13-00</t>
  </si>
  <si>
    <t>an irregular path</t>
  </si>
  <si>
    <t>S-B-15-01</t>
  </si>
  <si>
    <t>haunted tomb</t>
  </si>
  <si>
    <t>unsteady</t>
  </si>
  <si>
    <t>SU-A-13-01</t>
  </si>
  <si>
    <t>S-B-15-02</t>
  </si>
  <si>
    <t>unquantified</t>
  </si>
  <si>
    <t>dang</t>
  </si>
  <si>
    <t>surprisingly unbounded awkwardness potential</t>
  </si>
  <si>
    <t>SU-A-13-02</t>
  </si>
  <si>
    <t>S-B-15-03</t>
  </si>
  <si>
    <t>sans soleil</t>
  </si>
  <si>
    <t>the lack of sound and the fury</t>
  </si>
  <si>
    <t>?-C-03-03</t>
  </si>
  <si>
    <t>SU-A-13-03</t>
  </si>
  <si>
    <t>S-B-15-04</t>
  </si>
  <si>
    <t>T--O++C++</t>
  </si>
  <si>
    <t>protuberances</t>
  </si>
  <si>
    <t>unbreak my back</t>
  </si>
  <si>
    <t>S-C-15-00</t>
  </si>
  <si>
    <t>SU-A-13-04</t>
  </si>
  <si>
    <t>float max</t>
  </si>
  <si>
    <t>S-C-15-01</t>
  </si>
  <si>
    <t>sqworm</t>
  </si>
  <si>
    <t>SU-B-13-00</t>
  </si>
  <si>
    <t>ring around the rosenthal zero-point energy device</t>
  </si>
  <si>
    <t>nrevac zerwol</t>
  </si>
  <si>
    <t>S-C-15-02</t>
  </si>
  <si>
    <t>?-C-03-04</t>
  </si>
  <si>
    <t>G--T++C++E--</t>
  </si>
  <si>
    <t>machine precision</t>
  </si>
  <si>
    <t>S-C-15-03</t>
  </si>
  <si>
    <t>exit strategy ii</t>
  </si>
  <si>
    <t>devious shoves</t>
  </si>
  <si>
    <t>SU-B-13-01</t>
  </si>
  <si>
    <t>S-C-15-04</t>
  </si>
  <si>
    <t>deterioration</t>
  </si>
  <si>
    <t>SU-B-13-02</t>
  </si>
  <si>
    <t>feigned</t>
  </si>
  <si>
    <t>blocked</t>
  </si>
  <si>
    <t>?-D-03-00</t>
  </si>
  <si>
    <t>G--T++O--C--E--</t>
  </si>
  <si>
    <t>S-D-15-00</t>
  </si>
  <si>
    <t>killisthenics</t>
  </si>
  <si>
    <t>at the bottom of the well</t>
  </si>
  <si>
    <t>SU-B-13-03</t>
  </si>
  <si>
    <t>S-D-15-01</t>
  </si>
  <si>
    <t>hot on the heels</t>
  </si>
  <si>
    <t>S-D-15-02</t>
  </si>
  <si>
    <t>room for improvement</t>
  </si>
  <si>
    <t>SU-B-13-04</t>
  </si>
  <si>
    <t>timelords</t>
  </si>
  <si>
    <t>?-D-03-01</t>
  </si>
  <si>
    <t>problematic cycle</t>
  </si>
  <si>
    <t>heaps of trouble</t>
  </si>
  <si>
    <t>S-D-15-03</t>
  </si>
  <si>
    <t>SU-C-13-00</t>
  </si>
  <si>
    <t>G--T--O++C++E--</t>
  </si>
  <si>
    <t>O++C++E++</t>
  </si>
  <si>
    <t>supercomplexity</t>
  </si>
  <si>
    <t>rocketpalooza</t>
  </si>
  <si>
    <t>S-D-15-04</t>
  </si>
  <si>
    <t>SU-C-13-01</t>
  </si>
  <si>
    <t>completely hortizontical</t>
  </si>
  <si>
    <t>SU-C-13-02</t>
  </si>
  <si>
    <t>crowding</t>
  </si>
  <si>
    <t>a severe stroboscopic effect</t>
  </si>
  <si>
    <t>?-D-03-02</t>
  </si>
  <si>
    <t>SU-C-13-03</t>
  </si>
  <si>
    <t>smattered</t>
  </si>
  <si>
    <t>S-E-15-00</t>
  </si>
  <si>
    <t>chain of memories</t>
  </si>
  <si>
    <t>reality leaves a lot to the imagination</t>
  </si>
  <si>
    <t>SU-C-13-04</t>
  </si>
  <si>
    <t>f++ing consumer</t>
  </si>
  <si>
    <t>S-E-15-01</t>
  </si>
  <si>
    <t>?-D-03-03</t>
  </si>
  <si>
    <t>save some for the way back</t>
  </si>
  <si>
    <t>future unfolding</t>
  </si>
  <si>
    <t>SU-D-13-00</t>
  </si>
  <si>
    <t>S-E-15-02</t>
  </si>
  <si>
    <t>hexpiral</t>
  </si>
  <si>
    <t>hellway</t>
  </si>
  <si>
    <t>SU-D-13-01</t>
  </si>
  <si>
    <t>S-E-15-03</t>
  </si>
  <si>
    <t>oh imperfect memory</t>
  </si>
  <si>
    <t>?-D-03-04</t>
  </si>
  <si>
    <t>opening gambit</t>
  </si>
  <si>
    <t>convergent evolution</t>
  </si>
  <si>
    <t>S-E-15-04</t>
  </si>
  <si>
    <t>SU-D-13-02</t>
  </si>
  <si>
    <t>spiral staircase</t>
  </si>
  <si>
    <t>SU-D-13-03</t>
  </si>
  <si>
    <t>the lost art of knowing your limits</t>
  </si>
  <si>
    <t>SU-D-13-04</t>
  </si>
  <si>
    <t>xtrema</t>
  </si>
  <si>
    <t>tentacly increnect</t>
  </si>
  <si>
    <t>double entrapment</t>
  </si>
  <si>
    <t>?-E-03-00</t>
  </si>
  <si>
    <t>S-A-16-00</t>
  </si>
  <si>
    <t>SU-E-13-00</t>
  </si>
  <si>
    <t>two-stage process</t>
  </si>
  <si>
    <t>SU-E-13-01</t>
  </si>
  <si>
    <t>midpoint algorithm</t>
  </si>
  <si>
    <t>S-A-16-01</t>
  </si>
  <si>
    <t>a wrinkle in time</t>
  </si>
  <si>
    <t>S-A-16-02</t>
  </si>
  <si>
    <t>test pattern 1</t>
  </si>
  <si>
    <t>orbital habitat</t>
  </si>
  <si>
    <t>SU-E-13-02</t>
  </si>
  <si>
    <t>S-A-16-03</t>
  </si>
  <si>
    <t>unstructured play</t>
  </si>
  <si>
    <t>S-A-16-04</t>
  </si>
  <si>
    <t>some kind of crazy drone magic</t>
  </si>
  <si>
    <t>squarez</t>
  </si>
  <si>
    <t>SU-E-13-03</t>
  </si>
  <si>
    <t>look around you</t>
  </si>
  <si>
    <t>S-B-16-00</t>
  </si>
  <si>
    <t>?-E-03-01</t>
  </si>
  <si>
    <t>semi-menacing</t>
  </si>
  <si>
    <t>S-B-16-01</t>
  </si>
  <si>
    <t>fallen angel industrial park</t>
  </si>
  <si>
    <t>S-B-16-02</t>
  </si>
  <si>
    <t>the catch</t>
  </si>
  <si>
    <t>SU-E-13-04</t>
  </si>
  <si>
    <t>colorOut.a = 0.666f;</t>
  </si>
  <si>
    <t>?-E-03-02</t>
  </si>
  <si>
    <t>lose the tail</t>
  </si>
  <si>
    <t>S-B-16-03</t>
  </si>
  <si>
    <t>chock several blocks</t>
  </si>
  <si>
    <t>S-B-16-04</t>
  </si>
  <si>
    <t>curl noise</t>
  </si>
  <si>
    <t>impacted on the surface</t>
  </si>
  <si>
    <t>SU-A-14-00</t>
  </si>
  <si>
    <t>S-C-16-00</t>
  </si>
  <si>
    <t>in an upwardly fashion</t>
  </si>
  <si>
    <t>S-C-16-01</t>
  </si>
  <si>
    <t>the return of the menace</t>
  </si>
  <si>
    <t>think about it</t>
  </si>
  <si>
    <t>SU-A-14-01</t>
  </si>
  <si>
    <t>S-C-16-02</t>
  </si>
  <si>
    <t>C++E--</t>
  </si>
  <si>
    <t>press your luck</t>
  </si>
  <si>
    <t>leap frogger</t>
  </si>
  <si>
    <t>S-C-16-03</t>
  </si>
  <si>
    <t>SU-A-14-02</t>
  </si>
  <si>
    <t>T++O--</t>
  </si>
  <si>
    <t>ponderosa</t>
  </si>
  <si>
    <t>?-E-03-03</t>
  </si>
  <si>
    <t>mine pressure</t>
  </si>
  <si>
    <t>SU-A-14-03</t>
  </si>
  <si>
    <t>arcane action</t>
  </si>
  <si>
    <t>dark castle</t>
  </si>
  <si>
    <t>SU-A-14-04</t>
  </si>
  <si>
    <t>?-E-03-04</t>
  </si>
  <si>
    <t>incompatible override</t>
  </si>
  <si>
    <t>a most irregular cavern</t>
  </si>
  <si>
    <t>S-C-16-04</t>
  </si>
  <si>
    <t>SU-B-14-00</t>
  </si>
  <si>
    <t>of mice and men and evil ninjas</t>
  </si>
  <si>
    <t>S-D-16-00</t>
  </si>
  <si>
    <t>running out of headroom</t>
  </si>
  <si>
    <t>violet psycho</t>
  </si>
  <si>
    <t>S-D-16-01</t>
  </si>
  <si>
    <t>SU-B-14-01</t>
  </si>
  <si>
    <t>hypnagogic</t>
  </si>
  <si>
    <t>S-D-16-02</t>
  </si>
  <si>
    <t>authenticity</t>
  </si>
  <si>
    <t>?-X-00-00</t>
  </si>
  <si>
    <t>river hopping</t>
  </si>
  <si>
    <t>S-D-16-03</t>
  </si>
  <si>
    <t>spinward</t>
  </si>
  <si>
    <t>T--O--C++E++</t>
  </si>
  <si>
    <t>SU-B-14-02</t>
  </si>
  <si>
    <t>O--C++E++</t>
  </si>
  <si>
    <t>bitrate reduction</t>
  </si>
  <si>
    <t>S-D-16-04</t>
  </si>
  <si>
    <t>death spiral</t>
  </si>
  <si>
    <t>SU-B-14-03</t>
  </si>
  <si>
    <t>riding the rail</t>
  </si>
  <si>
    <t>S-E-16-00</t>
  </si>
  <si>
    <t>moving parts</t>
  </si>
  <si>
    <t>whoop</t>
  </si>
  <si>
    <t>SU-B-14-04</t>
  </si>
  <si>
    <t>?-X-00-01</t>
  </si>
  <si>
    <t>world's greatest evil robotic cookie monster</t>
  </si>
  <si>
    <t>S-E-16-01</t>
  </si>
  <si>
    <t>tresher</t>
  </si>
  <si>
    <t>rocket rush</t>
  </si>
  <si>
    <t>S-E-16-02</t>
  </si>
  <si>
    <t>one who has suttned</t>
  </si>
  <si>
    <t>SU-C-14-00</t>
  </si>
  <si>
    <t>?-X-00-02</t>
  </si>
  <si>
    <t>G--T++O++C--E--</t>
  </si>
  <si>
    <t>METEOR</t>
  </si>
  <si>
    <t>SU-C-14-01</t>
  </si>
  <si>
    <t>leapfrog</t>
  </si>
  <si>
    <t>S-E-16-03</t>
  </si>
  <si>
    <t>the boss matrix</t>
  </si>
  <si>
    <t>SU-C-14-02</t>
  </si>
  <si>
    <t>feral concrete</t>
  </si>
  <si>
    <t>robot's intuition</t>
  </si>
  <si>
    <t>deep underground</t>
  </si>
  <si>
    <t>S-E-16-04</t>
  </si>
  <si>
    <t>?-X-00-03</t>
  </si>
  <si>
    <t>SU-C-14-03</t>
  </si>
  <si>
    <t>dastardly death maze</t>
  </si>
  <si>
    <t>SU-C-14-04</t>
  </si>
  <si>
    <t>tantalization</t>
  </si>
  <si>
    <t>S-A-17-00</t>
  </si>
  <si>
    <t>breakable</t>
  </si>
  <si>
    <t>SU-D-14-00</t>
  </si>
  <si>
    <t>possible as hell</t>
  </si>
  <si>
    <t>clever girl</t>
  </si>
  <si>
    <t>?-X-00-04</t>
  </si>
  <si>
    <t>S-A-17-01</t>
  </si>
  <si>
    <t>near earth hub</t>
  </si>
  <si>
    <t>reduced degrees of freedom</t>
  </si>
  <si>
    <t>SU-D-14-01</t>
  </si>
  <si>
    <t>S-A-17-02</t>
  </si>
  <si>
    <t>block party</t>
  </si>
  <si>
    <t>S-A-17-03</t>
  </si>
  <si>
    <t>good luck with that one</t>
  </si>
  <si>
    <t>house of ten axis</t>
  </si>
  <si>
    <t>SU-D-14-02</t>
  </si>
  <si>
    <t>S-A-17-04</t>
  </si>
  <si>
    <t>abandoned tower cavern fragment</t>
  </si>
  <si>
    <t>once loved accidental masterpiece</t>
  </si>
  <si>
    <t>S-B-17-00</t>
  </si>
  <si>
    <t>SU-D-14-03</t>
  </si>
  <si>
    <t>three increments from hooligan status</t>
  </si>
  <si>
    <t>the puttanesca trench</t>
  </si>
  <si>
    <t>S-B-17-01</t>
  </si>
  <si>
    <t>SU-D-14-04</t>
  </si>
  <si>
    <t>logo location</t>
  </si>
  <si>
    <t>semantic loops</t>
  </si>
  <si>
    <t>?-X-01-00</t>
  </si>
  <si>
    <t>S-B-17-02</t>
  </si>
  <si>
    <t>beneath a steel sky</t>
  </si>
  <si>
    <t>target lock</t>
  </si>
  <si>
    <t>SU-E-14-00</t>
  </si>
  <si>
    <t>S-B-17-03</t>
  </si>
  <si>
    <t>blon</t>
  </si>
  <si>
    <t>manifest</t>
  </si>
  <si>
    <t>?-X-01-01</t>
  </si>
  <si>
    <t>practice had made pluperfect</t>
  </si>
  <si>
    <t>S-B-17-04</t>
  </si>
  <si>
    <t>SU-E-14-01</t>
  </si>
  <si>
    <t>G--O++C++E++</t>
  </si>
  <si>
    <t>a delightful little pile of secrets</t>
  </si>
  <si>
    <t>squid yes</t>
  </si>
  <si>
    <t>SU-E-14-02</t>
  </si>
  <si>
    <t>?-X-01-02</t>
  </si>
  <si>
    <t>x-over</t>
  </si>
  <si>
    <t>S-C-17-00</t>
  </si>
  <si>
    <t>arrondissements</t>
  </si>
  <si>
    <t>SU-E-14-03</t>
  </si>
  <si>
    <t>lurid details</t>
  </si>
  <si>
    <t>S-C-17-01</t>
  </si>
  <si>
    <t>vertical variations volume viii</t>
  </si>
  <si>
    <t>bouncy, trouncy, flouncy, pouncy fun</t>
  </si>
  <si>
    <t>?-X-01-03</t>
  </si>
  <si>
    <t>S-C-17-02</t>
  </si>
  <si>
    <t>convolution</t>
  </si>
  <si>
    <t>vorb roblon</t>
  </si>
  <si>
    <t>SU-E-14-04</t>
  </si>
  <si>
    <t>inertial frame</t>
  </si>
  <si>
    <t>SU-A-15-00</t>
  </si>
  <si>
    <t>flasers</t>
  </si>
  <si>
    <t>SU-A-15-01</t>
  </si>
  <si>
    <t>cracked LCD</t>
  </si>
  <si>
    <t>SU-A-15-02</t>
  </si>
  <si>
    <t>S-C-17-03</t>
  </si>
  <si>
    <t>the usefulness of pacing</t>
  </si>
  <si>
    <t>SU-A-15-03</t>
  </si>
  <si>
    <t>cyber dungeon quest</t>
  </si>
  <si>
    <t>S-C-17-04</t>
  </si>
  <si>
    <t>perp-plexed</t>
  </si>
  <si>
    <t>S-D-17-00</t>
  </si>
  <si>
    <t>plascrete</t>
  </si>
  <si>
    <t>retracer</t>
  </si>
  <si>
    <t>?-X-01-04</t>
  </si>
  <si>
    <t>S-D-17-01</t>
  </si>
  <si>
    <t>completely ordinary attractors</t>
  </si>
  <si>
    <t>SU-A-15-04</t>
  </si>
  <si>
    <t>hexagonal honey trap</t>
  </si>
  <si>
    <t>is it getting hot in here?</t>
  </si>
  <si>
    <t>?-X-02-00</t>
  </si>
  <si>
    <t>S-D-17-02</t>
  </si>
  <si>
    <t>G++T++O++C--E++</t>
  </si>
  <si>
    <t>gorgeous gorge</t>
  </si>
  <si>
    <t>multipular staged operation</t>
  </si>
  <si>
    <t>S-D-17-03</t>
  </si>
  <si>
    <t>SU-B-15-00</t>
  </si>
  <si>
    <t>wild abandon</t>
  </si>
  <si>
    <t>?-X-02-01</t>
  </si>
  <si>
    <t>possibly impossible</t>
  </si>
  <si>
    <t>S-D-17-04</t>
  </si>
  <si>
    <t>maps of bounded rationality</t>
  </si>
  <si>
    <t>occam's entire shaving kit</t>
  </si>
  <si>
    <t>SU-B-15-01</t>
  </si>
  <si>
    <t>?-X-02-02</t>
  </si>
  <si>
    <t>O++C++E--</t>
  </si>
  <si>
    <t>passage</t>
  </si>
  <si>
    <t>SU-B-15-02</t>
  </si>
  <si>
    <t>deception</t>
  </si>
  <si>
    <t>medium-sized shop of horrors</t>
  </si>
  <si>
    <t>?-X-02-03</t>
  </si>
  <si>
    <t>S-E-17-00</t>
  </si>
  <si>
    <t>one thing after another</t>
  </si>
  <si>
    <t>when not to jump</t>
  </si>
  <si>
    <t>SU-B-15-03</t>
  </si>
  <si>
    <t>the dependancy graph of future events remains strongly connected</t>
  </si>
  <si>
    <t>S-E-17-01</t>
  </si>
  <si>
    <t>?-X-02-04</t>
  </si>
  <si>
    <t>cinnabomb</t>
  </si>
  <si>
    <t>S-E-17-02</t>
  </si>
  <si>
    <t>master exploder</t>
  </si>
  <si>
    <t>wizard mode</t>
  </si>
  <si>
    <t>S-E-17-03</t>
  </si>
  <si>
    <t>SU-B-15-04</t>
  </si>
  <si>
    <t>abject terror</t>
  </si>
  <si>
    <t>S-E-17-04</t>
  </si>
  <si>
    <t>redacted</t>
  </si>
  <si>
    <t>?-X-03-00</t>
  </si>
  <si>
    <t>the other other tick</t>
  </si>
  <si>
    <t>G--O--C--</t>
  </si>
  <si>
    <t>S-A-18-00</t>
  </si>
  <si>
    <t>360 no hope</t>
  </si>
  <si>
    <t>elder moustache god</t>
  </si>
  <si>
    <t>?-X-03-01</t>
  </si>
  <si>
    <t>map fragment</t>
  </si>
  <si>
    <t>SU-C-15-00</t>
  </si>
  <si>
    <t>S-A-18-01</t>
  </si>
  <si>
    <t>mission understatement</t>
  </si>
  <si>
    <t>S-A-18-02</t>
  </si>
  <si>
    <t>blasterpiece</t>
  </si>
  <si>
    <t>upwardly mobile</t>
  </si>
  <si>
    <t>SU-C-15-01</t>
  </si>
  <si>
    <t>overcrowded</t>
  </si>
  <si>
    <t>S-A-18-03</t>
  </si>
  <si>
    <t>?-X-03-02</t>
  </si>
  <si>
    <t>meditations in an emergency</t>
  </si>
  <si>
    <t>S-A-18-04</t>
  </si>
  <si>
    <t>the devil's plaything</t>
  </si>
  <si>
    <t>chamber sequence</t>
  </si>
  <si>
    <t>S-B-18-00</t>
  </si>
  <si>
    <t>SU-C-15-02</t>
  </si>
  <si>
    <t>one too many dramatic flourishes</t>
  </si>
  <si>
    <t>S-B-18-01</t>
  </si>
  <si>
    <t>orthogonal axes</t>
  </si>
  <si>
    <t>S-B-18-02</t>
  </si>
  <si>
    <t>superliminal++</t>
  </si>
  <si>
    <t>S-B-18-03</t>
  </si>
  <si>
    <t>mikado</t>
  </si>
  <si>
    <t>S-B-18-04</t>
  </si>
  <si>
    <t>verb the adjective noun</t>
  </si>
  <si>
    <t>?-X-03-03</t>
  </si>
  <si>
    <t>recurrance relation</t>
  </si>
  <si>
    <t>S-C-18-00</t>
  </si>
  <si>
    <t>pits of death</t>
  </si>
  <si>
    <t>raktor</t>
  </si>
  <si>
    <t>SU-C-15-03</t>
  </si>
  <si>
    <t>S-C-18-01</t>
  </si>
  <si>
    <t>side-channel attack</t>
  </si>
  <si>
    <t>the mad addler</t>
  </si>
  <si>
    <t>S-C-18-02</t>
  </si>
  <si>
    <t>?-X-03-04</t>
  </si>
  <si>
    <t>one-button game</t>
  </si>
  <si>
    <t>fleeting opportunities</t>
  </si>
  <si>
    <t>S-C-18-03</t>
  </si>
  <si>
    <t>SU-C-15-04</t>
  </si>
  <si>
    <t>earthdate 2264</t>
  </si>
  <si>
    <t>S-C-18-04</t>
  </si>
  <si>
    <t>this dome is our home</t>
  </si>
  <si>
    <t>S-D-18-00</t>
  </si>
  <si>
    <t>G--T++O++C--E++</t>
  </si>
  <si>
    <t>T--C++</t>
  </si>
  <si>
    <t>clockwork zigzag</t>
  </si>
  <si>
    <t>flubbyholes</t>
  </si>
  <si>
    <t>S-D-18-01</t>
  </si>
  <si>
    <t>SU-D-15-00</t>
  </si>
  <si>
    <t>too much go juice</t>
  </si>
  <si>
    <t>manic miner</t>
  </si>
  <si>
    <t>SU-D-15-01</t>
  </si>
  <si>
    <t>S-D-18-02</t>
  </si>
  <si>
    <t>a mild stroboscopic effect</t>
  </si>
  <si>
    <t>S-D-18-03</t>
  </si>
  <si>
    <t>ninjas we have hurt on high</t>
  </si>
  <si>
    <t>SU-D-15-02</t>
  </si>
  <si>
    <t>a mind is a terrible thing</t>
  </si>
  <si>
    <t>the oct</t>
  </si>
  <si>
    <t>S-D-18-04</t>
  </si>
  <si>
    <t>SU-D-15-03</t>
  </si>
  <si>
    <t>something something the wings of icarus</t>
  </si>
  <si>
    <t>SU-D-15-04</t>
  </si>
  <si>
    <t>choking hazard</t>
  </si>
  <si>
    <t>S-E-18-00</t>
  </si>
  <si>
    <t>laser mission</t>
  </si>
  <si>
    <t>S-E-18-01</t>
  </si>
  <si>
    <t>the creeper-upper</t>
  </si>
  <si>
    <t>SU-E-15-00</t>
  </si>
  <si>
    <t>murderorb</t>
  </si>
  <si>
    <t>SU-E-15-01</t>
  </si>
  <si>
    <t>deathball surprise</t>
  </si>
  <si>
    <t>S-E-18-02</t>
  </si>
  <si>
    <t>rocket workout</t>
  </si>
  <si>
    <t>an immaculately mined moon</t>
  </si>
  <si>
    <t>SU-E-15-02</t>
  </si>
  <si>
    <t>S-E-18-03</t>
  </si>
  <si>
    <t>the marinara trench</t>
  </si>
  <si>
    <t>S-E-18-04</t>
  </si>
  <si>
    <t>the puzzler</t>
  </si>
  <si>
    <t>SU-E-15-03</t>
  </si>
  <si>
    <t>allpass filter</t>
  </si>
  <si>
    <t>ono-sendai</t>
  </si>
  <si>
    <t>SU-E-15-04</t>
  </si>
  <si>
    <t>S-A-19-00</t>
  </si>
  <si>
    <t>technicality</t>
  </si>
  <si>
    <t>sufficient ascent rapidity</t>
  </si>
  <si>
    <t>!-A-00-00</t>
  </si>
  <si>
    <t>S-A-19-01</t>
  </si>
  <si>
    <t>fragments of a shattered direction</t>
  </si>
  <si>
    <t>S-A-19-02</t>
  </si>
  <si>
    <t>yestalgia</t>
  </si>
  <si>
    <t>irritable level syndrome</t>
  </si>
  <si>
    <t>cryptic contamination</t>
  </si>
  <si>
    <t>!-A-00-01</t>
  </si>
  <si>
    <t>S-A-19-03</t>
  </si>
  <si>
    <t>SU-A-16-00</t>
  </si>
  <si>
    <t>symbolic processing</t>
  </si>
  <si>
    <t>SU-A-16-01</t>
  </si>
  <si>
    <t>ascenderson</t>
  </si>
  <si>
    <t>!-A-00-02</t>
  </si>
  <si>
    <t>floor tricks</t>
  </si>
  <si>
    <t>SU-A-16-02</t>
  </si>
  <si>
    <t>underpinning</t>
  </si>
  <si>
    <t>post-nothing</t>
  </si>
  <si>
    <t>!-A-00-03</t>
  </si>
  <si>
    <t>SU-A-16-03</t>
  </si>
  <si>
    <t>G++T++O--C--</t>
  </si>
  <si>
    <t>death lorg</t>
  </si>
  <si>
    <t>SU-A-16-04</t>
  </si>
  <si>
    <t>away in a mangler</t>
  </si>
  <si>
    <t>deepchord</t>
  </si>
  <si>
    <t>S-A-19-04</t>
  </si>
  <si>
    <t>!-A-00-04</t>
  </si>
  <si>
    <t>G++T--C++</t>
  </si>
  <si>
    <t>fugue state generator</t>
  </si>
  <si>
    <t>smiles times</t>
  </si>
  <si>
    <t>!-B-00-00</t>
  </si>
  <si>
    <t>SU-B-16-00</t>
  </si>
  <si>
    <t>eddy</t>
  </si>
  <si>
    <t>S-B-19-00</t>
  </si>
  <si>
    <t>poor impulse control</t>
  </si>
  <si>
    <t>let's launch over it!</t>
  </si>
  <si>
    <t>!-B-00-01</t>
  </si>
  <si>
    <t>S-B-19-01</t>
  </si>
  <si>
    <t>foresight</t>
  </si>
  <si>
    <t>SU-B-16-01</t>
  </si>
  <si>
    <t>plandings</t>
  </si>
  <si>
    <t>S-B-19-02</t>
  </si>
  <si>
    <t>one more spin around the light</t>
  </si>
  <si>
    <t>S-B-19-03</t>
  </si>
  <si>
    <t>the laser matrix</t>
  </si>
  <si>
    <t>set me on the couch</t>
  </si>
  <si>
    <t>SU-B-16-02</t>
  </si>
  <si>
    <t>!-B-00-02</t>
  </si>
  <si>
    <t>reaper madness</t>
  </si>
  <si>
    <t>S-B-19-04</t>
  </si>
  <si>
    <t>oblate spheroid, ob-la-da</t>
  </si>
  <si>
    <t>S-C-19-00</t>
  </si>
  <si>
    <t>an excursion</t>
  </si>
  <si>
    <t>slight irregularities</t>
  </si>
  <si>
    <t>vats</t>
  </si>
  <si>
    <t>S-C-19-01</t>
  </si>
  <si>
    <t>!-B-00-03</t>
  </si>
  <si>
    <t>SU-B-16-03</t>
  </si>
  <si>
    <t>synthetic substitution</t>
  </si>
  <si>
    <t>escape from tomorrow</t>
  </si>
  <si>
    <t>comb filter</t>
  </si>
  <si>
    <t>SU-B-16-04</t>
  </si>
  <si>
    <t>!-B-00-04</t>
  </si>
  <si>
    <t>S-C-19-02</t>
  </si>
  <si>
    <t>rigid internal logic</t>
  </si>
  <si>
    <t>S-C-19-03</t>
  </si>
  <si>
    <t>nonplusplussed</t>
  </si>
  <si>
    <t>tippy</t>
  </si>
  <si>
    <t>SU-C-16-00</t>
  </si>
  <si>
    <t>S-C-19-04</t>
  </si>
  <si>
    <t>please consult your emergency escape pod procedure handbook for further instruction</t>
  </si>
  <si>
    <t>!-C-00-00</t>
  </si>
  <si>
    <t>a bountain of work</t>
  </si>
  <si>
    <t>SU-C-16-01</t>
  </si>
  <si>
    <t>brainer</t>
  </si>
  <si>
    <t>SU-C-16-02</t>
  </si>
  <si>
    <t>jam on it</t>
  </si>
  <si>
    <t>!-C-00-01</t>
  </si>
  <si>
    <t>the importance of walljumping facility</t>
  </si>
  <si>
    <t>SU-C-16-03</t>
  </si>
  <si>
    <t>faster than light</t>
  </si>
  <si>
    <t>!-C-00-02</t>
  </si>
  <si>
    <t>pipe troubled</t>
  </si>
  <si>
    <t>fire sticks</t>
  </si>
  <si>
    <t>SU-C-16-04</t>
  </si>
  <si>
    <t>S-D-19-00</t>
  </si>
  <si>
    <t>thinking on the balls of your feet</t>
  </si>
  <si>
    <t>nostalgia for the absolute</t>
  </si>
  <si>
    <t>S-D-19-01</t>
  </si>
  <si>
    <t>SU-D-16-00</t>
  </si>
  <si>
    <t>kind of a downer</t>
  </si>
  <si>
    <t>interstitial</t>
  </si>
  <si>
    <t>SU-D-16-01</t>
  </si>
  <si>
    <t>S-D-19-02</t>
  </si>
  <si>
    <t>anti-spinward</t>
  </si>
  <si>
    <t>!-C-00-03</t>
  </si>
  <si>
    <t>the dronies</t>
  </si>
  <si>
    <t>bewilderness</t>
  </si>
  <si>
    <t>SU-D-16-02</t>
  </si>
  <si>
    <t>S-D-19-03</t>
  </si>
  <si>
    <t>blaze of glory</t>
  </si>
  <si>
    <t>SU-D-16-03</t>
  </si>
  <si>
    <t>grain by grain</t>
  </si>
  <si>
    <t>!-C-00-04</t>
  </si>
  <si>
    <t>your vision is a bunch of illusions that your brain is constantly cooking up</t>
  </si>
  <si>
    <t>whirlwinded</t>
  </si>
  <si>
    <t>S-D-19-04</t>
  </si>
  <si>
    <t>SU-D-16-04</t>
  </si>
  <si>
    <t>figurati</t>
  </si>
  <si>
    <t>ether drift theory</t>
  </si>
  <si>
    <t>!-D-00-00</t>
  </si>
  <si>
    <t>outlined</t>
  </si>
  <si>
    <t>S-E-19-00</t>
  </si>
  <si>
    <t>SU-E-16-00</t>
  </si>
  <si>
    <t>the chamber</t>
  </si>
  <si>
    <t>SU-E-16-01</t>
  </si>
  <si>
    <t>launch trailer</t>
  </si>
  <si>
    <t>dreams are only clouds that form and dissipate</t>
  </si>
  <si>
    <t>SU-E-16-02</t>
  </si>
  <si>
    <t>!-D-00-01</t>
  </si>
  <si>
    <t>time's arrow in the knee</t>
  </si>
  <si>
    <t>!-D-00-02</t>
  </si>
  <si>
    <t>trouble fitting in</t>
  </si>
  <si>
    <t>SU-E-16-03</t>
  </si>
  <si>
    <t>galactic sigil</t>
  </si>
  <si>
    <t>fear of repeating 'fear of repeating yourself'</t>
  </si>
  <si>
    <t>S-E-19-01</t>
  </si>
  <si>
    <t>SU-E-16-04</t>
  </si>
  <si>
    <t>tremulous spaces</t>
  </si>
  <si>
    <t>!-D-00-03</t>
  </si>
  <si>
    <t>memory palace</t>
  </si>
  <si>
    <t>symbolic exemplar</t>
  </si>
  <si>
    <t>!-D-00-04</t>
  </si>
  <si>
    <t>it's adventure time</t>
  </si>
  <si>
    <t>SU-A-17-00</t>
  </si>
  <si>
    <t>S-E-19-02</t>
  </si>
  <si>
    <t>the jump-master general</t>
  </si>
  <si>
    <t>SU-A-17-01</t>
  </si>
  <si>
    <t>fluttermind</t>
  </si>
  <si>
    <t>sniper's den</t>
  </si>
  <si>
    <t>dragged forward by time</t>
  </si>
  <si>
    <t>!-E-00-00</t>
  </si>
  <si>
    <t>SU-A-17-02</t>
  </si>
  <si>
    <t>S-E-19-03</t>
  </si>
  <si>
    <t>return of the meat tornado</t>
  </si>
  <si>
    <t>the twins and i</t>
  </si>
  <si>
    <t>SU-A-17-03</t>
  </si>
  <si>
    <t>!-E-00-01</t>
  </si>
  <si>
    <t>too much is almost enough</t>
  </si>
  <si>
    <t>message-intercept base</t>
  </si>
  <si>
    <t>stop hitting yourself</t>
  </si>
  <si>
    <t>!-E-00-02</t>
  </si>
  <si>
    <t>S-E-19-04</t>
  </si>
  <si>
    <t>SU-A-17-04</t>
  </si>
  <si>
    <t>over-under</t>
  </si>
  <si>
    <t>SU-B-17-00</t>
  </si>
  <si>
    <t>scary pop-ins</t>
  </si>
  <si>
    <t>!-E-00-03</t>
  </si>
  <si>
    <t>stop</t>
  </si>
  <si>
    <t>S-X-00-00</t>
  </si>
  <si>
    <t xml:space="preserve">[??] </t>
  </si>
  <si>
    <t>von braun</t>
  </si>
  <si>
    <t>SU-B-17-01</t>
  </si>
  <si>
    <t>gagoosh</t>
  </si>
  <si>
    <t>!-E-00-04</t>
  </si>
  <si>
    <t>quadrophobia</t>
  </si>
  <si>
    <t>S-X-00-01</t>
  </si>
  <si>
    <t>evilocity</t>
  </si>
  <si>
    <t>SU-B-17-02</t>
  </si>
  <si>
    <t>sewing a parachute on the way down</t>
  </si>
  <si>
    <t>!-A-01-00</t>
  </si>
  <si>
    <t>saga</t>
  </si>
  <si>
    <t>S-X-00-02</t>
  </si>
  <si>
    <t>immortality project</t>
  </si>
  <si>
    <t>SU-B-17-03</t>
  </si>
  <si>
    <t>sparse set</t>
  </si>
  <si>
    <t>switchback</t>
  </si>
  <si>
    <t>S-X-00-03</t>
  </si>
  <si>
    <t>!-A-01-01</t>
  </si>
  <si>
    <t>following</t>
  </si>
  <si>
    <t>S-X-00-04</t>
  </si>
  <si>
    <t>tap dancer</t>
  </si>
  <si>
    <t>!-A-01-02</t>
  </si>
  <si>
    <t>quit pro quo</t>
  </si>
  <si>
    <t>S-X-01-00</t>
  </si>
  <si>
    <t>sigma structure symphony</t>
  </si>
  <si>
    <t>microblindsided</t>
  </si>
  <si>
    <t>blunderfoot</t>
  </si>
  <si>
    <t>SU-B-17-04</t>
  </si>
  <si>
    <t>S-X-01-01</t>
  </si>
  <si>
    <t>!-A-01-03</t>
  </si>
  <si>
    <t>tears of a clone</t>
  </si>
  <si>
    <t>scanlines and diamond mines</t>
  </si>
  <si>
    <t>!-A-01-04</t>
  </si>
  <si>
    <t>S-X-01-02</t>
  </si>
  <si>
    <t>deadly premonitions</t>
  </si>
  <si>
    <t>S-X-01-03</t>
  </si>
  <si>
    <t>awhoops</t>
  </si>
  <si>
    <t>S-X-01-04</t>
  </si>
  <si>
    <t>clownstep</t>
  </si>
  <si>
    <t>!-B-01-00</t>
  </si>
  <si>
    <t>a rough approximation of laser-drums</t>
  </si>
  <si>
    <t>S-X-02-00</t>
  </si>
  <si>
    <t>circular circus</t>
  </si>
  <si>
    <t>interloper</t>
  </si>
  <si>
    <t>SU-C-17-00</t>
  </si>
  <si>
    <t>S-X-02-01</t>
  </si>
  <si>
    <t>looking rather peaked</t>
  </si>
  <si>
    <t>O--C--E++</t>
  </si>
  <si>
    <t>!-B-01-01</t>
  </si>
  <si>
    <t>exit strategy iii</t>
  </si>
  <si>
    <t>cloned ninja assassin selection process</t>
  </si>
  <si>
    <t>S-X-02-02</t>
  </si>
  <si>
    <t>vertex pain dispenser</t>
  </si>
  <si>
    <t>SU-C-17-01</t>
  </si>
  <si>
    <t>S-X-02-03</t>
  </si>
  <si>
    <t>leapin' laser lids</t>
  </si>
  <si>
    <t>S-X-02-04</t>
  </si>
  <si>
    <t>nbroglio</t>
  </si>
  <si>
    <t>septuple dipping</t>
  </si>
  <si>
    <t>!-B-01-02</t>
  </si>
  <si>
    <t>classified control study 985.3b</t>
  </si>
  <si>
    <t>SU-C-17-02</t>
  </si>
  <si>
    <t>S-X-03-00</t>
  </si>
  <si>
    <t>candy-wrapper artifact</t>
  </si>
  <si>
    <t>a study in scarless</t>
  </si>
  <si>
    <t>SU-C-17-03</t>
  </si>
  <si>
    <t>S-X-03-01</t>
  </si>
  <si>
    <t>composure</t>
  </si>
  <si>
    <t>SU-C-17-04</t>
  </si>
  <si>
    <t>the brute squad</t>
  </si>
  <si>
    <t>opposing pairs</t>
  </si>
  <si>
    <t>S-X-03-02</t>
  </si>
  <si>
    <t>SU-D-17-00</t>
  </si>
  <si>
    <t>vertical reaping device</t>
  </si>
  <si>
    <t>G++T--O++C++E--</t>
  </si>
  <si>
    <t>!-B-01-03</t>
  </si>
  <si>
    <t>last known valid context</t>
  </si>
  <si>
    <t>laser windows</t>
  </si>
  <si>
    <t>SU-D-17-01</t>
  </si>
  <si>
    <t>S-X-03-03</t>
  </si>
  <si>
    <t>time shift experience</t>
  </si>
  <si>
    <t>pace yourself</t>
  </si>
  <si>
    <t>!-B-01-04</t>
  </si>
  <si>
    <t>S-X-03-04</t>
  </si>
  <si>
    <t>napoleon blownapart</t>
  </si>
  <si>
    <t>SU-D-17-02</t>
  </si>
  <si>
    <t>angledance</t>
  </si>
  <si>
    <t>S-X-04-00</t>
  </si>
  <si>
    <t>this hyperbolic chamber is BIGGER THAN THE SUN</t>
  </si>
  <si>
    <t>against the grain</t>
  </si>
  <si>
    <t>all hail arachnid</t>
  </si>
  <si>
    <t>SU-D-17-03</t>
  </si>
  <si>
    <t>!-C-01-00</t>
  </si>
  <si>
    <t>S-X-04-01</t>
  </si>
  <si>
    <t>losing your cool</t>
  </si>
  <si>
    <t>S-X-04-02</t>
  </si>
  <si>
    <t>tragedy plus plus time</t>
  </si>
  <si>
    <t>complexity reducer</t>
  </si>
  <si>
    <t>SU-D-17-04</t>
  </si>
  <si>
    <t>S-X-04-03</t>
  </si>
  <si>
    <t>7th swarming of the machines</t>
  </si>
  <si>
    <t>!-C-01-01</t>
  </si>
  <si>
    <t>escalation</t>
  </si>
  <si>
    <t>S-X-04-04</t>
  </si>
  <si>
    <t>progression</t>
  </si>
  <si>
    <t>dope epode</t>
  </si>
  <si>
    <t>SU-E-17-00</t>
  </si>
  <si>
    <t>!-C-01-02</t>
  </si>
  <si>
    <t>rife with metaphor</t>
  </si>
  <si>
    <t>S-X-05-00</t>
  </si>
  <si>
    <t>traffic patterns</t>
  </si>
  <si>
    <t>SU-E-17-01</t>
  </si>
  <si>
    <t>convergence</t>
  </si>
  <si>
    <t>true timeless mode</t>
  </si>
  <si>
    <t>S-X-05-01</t>
  </si>
  <si>
    <t>!-C-01-03</t>
  </si>
  <si>
    <t>velocity of desire</t>
  </si>
  <si>
    <t>self-defeating</t>
  </si>
  <si>
    <t>SU-E-17-02</t>
  </si>
  <si>
    <t>S-X-05-02</t>
  </si>
  <si>
    <t>delaying the inevitable</t>
  </si>
  <si>
    <t>shunted</t>
  </si>
  <si>
    <t>!-C-01-04</t>
  </si>
  <si>
    <t>SU-E-17-03</t>
  </si>
  <si>
    <t>fotoplastikon</t>
  </si>
  <si>
    <t>S-X-05-03</t>
  </si>
  <si>
    <t>straight laser</t>
  </si>
  <si>
    <t>illogistics</t>
  </si>
  <si>
    <t>S-X-05-04</t>
  </si>
  <si>
    <t>!-D-01-00</t>
  </si>
  <si>
    <t>a path with no obstacles</t>
  </si>
  <si>
    <t>rocket observator</t>
  </si>
  <si>
    <t>!-D-01-01</t>
  </si>
  <si>
    <t>careful consideration</t>
  </si>
  <si>
    <t>SU-E-17-04</t>
  </si>
  <si>
    <t>S-X-06-00</t>
  </si>
  <si>
    <t>challenger</t>
  </si>
  <si>
    <t>!-D-01-02</t>
  </si>
  <si>
    <t>firesign</t>
  </si>
  <si>
    <t>bit depths</t>
  </si>
  <si>
    <t>hocus pocus</t>
  </si>
  <si>
    <t>!-D-01-03</t>
  </si>
  <si>
    <t>S-X-06-01</t>
  </si>
  <si>
    <t>SU-A-18-00</t>
  </si>
  <si>
    <t>cutting it close</t>
  </si>
  <si>
    <t>turning into myself</t>
  </si>
  <si>
    <t>S-X-06-02</t>
  </si>
  <si>
    <t>!-D-01-04</t>
  </si>
  <si>
    <t>setagaya waverunner</t>
  </si>
  <si>
    <t>S-X-06-03</t>
  </si>
  <si>
    <t>that one damn piece</t>
  </si>
  <si>
    <t>SU-A-18-01</t>
  </si>
  <si>
    <t>damballah</t>
  </si>
  <si>
    <t>the professor</t>
  </si>
  <si>
    <t>S-X-06-04</t>
  </si>
  <si>
    <t>!-E-01-00</t>
  </si>
  <si>
    <t>MUFG</t>
  </si>
  <si>
    <t>S-X-07-00</t>
  </si>
  <si>
    <t>superceded sequence breaker</t>
  </si>
  <si>
    <t>fear less</t>
  </si>
  <si>
    <t>SU-A-18-02</t>
  </si>
  <si>
    <t>S-X-07-01</t>
  </si>
  <si>
    <t>chaingun cha-cha</t>
  </si>
  <si>
    <t>!-E-01-01</t>
  </si>
  <si>
    <t>anticipation</t>
  </si>
  <si>
    <t>SU-A-18-03</t>
  </si>
  <si>
    <t>occam's laser</t>
  </si>
  <si>
    <t>S-X-07-02</t>
  </si>
  <si>
    <t>zenny</t>
  </si>
  <si>
    <t>a fate worse than a fate worse than death</t>
  </si>
  <si>
    <t>!-E-01-02</t>
  </si>
  <si>
    <t>SU-A-18-04</t>
  </si>
  <si>
    <t>lance micron</t>
  </si>
  <si>
    <t>dimensional exploration</t>
  </si>
  <si>
    <t>S-X-07-03</t>
  </si>
  <si>
    <t>mayhem</t>
  </si>
  <si>
    <t>SU-B-18-00</t>
  </si>
  <si>
    <t>!-E-01-03</t>
  </si>
  <si>
    <t>method conductor</t>
  </si>
  <si>
    <t>S-X-07-04</t>
  </si>
  <si>
    <t>sneaking around</t>
  </si>
  <si>
    <t>SU-B-18-01</t>
  </si>
  <si>
    <t>overdrive</t>
  </si>
  <si>
    <t>S-X-08-00</t>
  </si>
  <si>
    <t>unspooling</t>
  </si>
  <si>
    <t>the emboldening</t>
  </si>
  <si>
    <t>!-E-01-04</t>
  </si>
  <si>
    <t>haunted mountain</t>
  </si>
  <si>
    <t>S-X-08-01</t>
  </si>
  <si>
    <t>SU-B-18-02</t>
  </si>
  <si>
    <t>sneaky toggle fortress</t>
  </si>
  <si>
    <t>S-X-08-02</t>
  </si>
  <si>
    <t>photon finish</t>
  </si>
  <si>
    <t>SU-B-18-03</t>
  </si>
  <si>
    <t>the river</t>
  </si>
  <si>
    <t>S-X-08-03</t>
  </si>
  <si>
    <t>finger fascinator</t>
  </si>
  <si>
    <t>time barons of hell</t>
  </si>
  <si>
    <t>!-A-02-00</t>
  </si>
  <si>
    <t>flightplanning</t>
  </si>
  <si>
    <t>S-X-08-04</t>
  </si>
  <si>
    <t>SU-B-18-04</t>
  </si>
  <si>
    <t>warpwing</t>
  </si>
  <si>
    <t>SU-C-18-00</t>
  </si>
  <si>
    <t>send in the clones</t>
  </si>
  <si>
    <t>!-A-02-01</t>
  </si>
  <si>
    <t>slippy</t>
  </si>
  <si>
    <t>SU-C-18-01</t>
  </si>
  <si>
    <t>unlocky</t>
  </si>
  <si>
    <t>stop following me!</t>
  </si>
  <si>
    <t>S-X-09-00</t>
  </si>
  <si>
    <t>!-A-02-02</t>
  </si>
  <si>
    <t>kitbashed</t>
  </si>
  <si>
    <t>photon flux</t>
  </si>
  <si>
    <t>!-A-02-03</t>
  </si>
  <si>
    <t>S-X-09-01</t>
  </si>
  <si>
    <t>trapped in a pattern</t>
  </si>
  <si>
    <t>SU-C-18-02</t>
  </si>
  <si>
    <t>spring sprang</t>
  </si>
  <si>
    <t>S-X-09-02</t>
  </si>
  <si>
    <t>funhouse</t>
  </si>
  <si>
    <t>hop-scorch</t>
  </si>
  <si>
    <t>SU-C-18-03</t>
  </si>
  <si>
    <t>S-X-09-03</t>
  </si>
  <si>
    <t>logic gates</t>
  </si>
  <si>
    <t>SU-C-18-04</t>
  </si>
  <si>
    <t>pitter-pattern</t>
  </si>
  <si>
    <t>!-A-02-04</t>
  </si>
  <si>
    <t>praywalls</t>
  </si>
  <si>
    <t>SU-D-18-00</t>
  </si>
  <si>
    <t>ai ant colony</t>
  </si>
  <si>
    <t>minimal cover</t>
  </si>
  <si>
    <t>S-X-09-04</t>
  </si>
  <si>
    <t>SU-D-18-01</t>
  </si>
  <si>
    <t>type 1 critical contingent weapon</t>
  </si>
  <si>
    <t>SU-D-18-02</t>
  </si>
  <si>
    <t>legrange points</t>
  </si>
  <si>
    <t>!-B-02-00</t>
  </si>
  <si>
    <t>serpentes</t>
  </si>
  <si>
    <t>bamboo training forest</t>
  </si>
  <si>
    <t>SU-D-18-03</t>
  </si>
  <si>
    <t>S-X-10-00</t>
  </si>
  <si>
    <t>spacing</t>
  </si>
  <si>
    <t>S-X-10-01</t>
  </si>
  <si>
    <t>wild language</t>
  </si>
  <si>
    <t>demodulated</t>
  </si>
  <si>
    <t>puzzle palace</t>
  </si>
  <si>
    <t>S-X-10-02</t>
  </si>
  <si>
    <t>!-B-02-01</t>
  </si>
  <si>
    <t>SU-D-18-04</t>
  </si>
  <si>
    <t>zappity doodads</t>
  </si>
  <si>
    <t>totally bleeped</t>
  </si>
  <si>
    <t>S-X-10-03</t>
  </si>
  <si>
    <t>SU-E-18-00</t>
  </si>
  <si>
    <t>a desperate mission</t>
  </si>
  <si>
    <t>go boldly</t>
  </si>
  <si>
    <t>!-B-02-02</t>
  </si>
  <si>
    <t>SU-E-18-01</t>
  </si>
  <si>
    <t>spectral enhancer</t>
  </si>
  <si>
    <t>!-B-02-03</t>
  </si>
  <si>
    <t>list of inappropriate words</t>
  </si>
  <si>
    <t>operator overload</t>
  </si>
  <si>
    <t>SU-E-18-02</t>
  </si>
  <si>
    <t>S-X-10-04</t>
  </si>
  <si>
    <t>scratchware manifesto</t>
  </si>
  <si>
    <t>!-B-02-04</t>
  </si>
  <si>
    <t>never stop</t>
  </si>
  <si>
    <t>eye of the ninja</t>
  </si>
  <si>
    <t>SU-E-18-03</t>
  </si>
  <si>
    <t>S-X-11-00</t>
  </si>
  <si>
    <t>destroyal</t>
  </si>
  <si>
    <t>!-C-02-00</t>
  </si>
  <si>
    <t>the upwards stampede</t>
  </si>
  <si>
    <t>SU-E-18-04</t>
  </si>
  <si>
    <t>malignant mountain</t>
  </si>
  <si>
    <t>three on one</t>
  </si>
  <si>
    <t>SU-A-19-00</t>
  </si>
  <si>
    <t>!-C-02-01</t>
  </si>
  <si>
    <t>the school for poetic computation</t>
  </si>
  <si>
    <t>SU-A-19-01</t>
  </si>
  <si>
    <t>game over hell</t>
  </si>
  <si>
    <t>!-C-02-02</t>
  </si>
  <si>
    <t>sparse matrix solver</t>
  </si>
  <si>
    <t>S-X-11-01</t>
  </si>
  <si>
    <t>crouching tiger hidden wire</t>
  </si>
  <si>
    <t>SU-A-19-02</t>
  </si>
  <si>
    <t>death is not the end</t>
  </si>
  <si>
    <t>barrel shoot</t>
  </si>
  <si>
    <t>S-X-11-02</t>
  </si>
  <si>
    <t>!-C-02-03</t>
  </si>
  <si>
    <t>flying high</t>
  </si>
  <si>
    <t>syncretic</t>
  </si>
  <si>
    <t>SU-A-19-03</t>
  </si>
  <si>
    <t>S-X-11-03</t>
  </si>
  <si>
    <t>tone tattoo</t>
  </si>
  <si>
    <t>!-C-02-04</t>
  </si>
  <si>
    <t>some kind of alien cavern</t>
  </si>
  <si>
    <t>SU-A-19-04</t>
  </si>
  <si>
    <t>flow coma</t>
  </si>
  <si>
    <t>gaffe riot</t>
  </si>
  <si>
    <t>!-D-02-00</t>
  </si>
  <si>
    <t>SU-B-19-00</t>
  </si>
  <si>
    <t>suboptimal panopticon</t>
  </si>
  <si>
    <t>fear of enclosed spaces</t>
  </si>
  <si>
    <t>gravity's ghost</t>
  </si>
  <si>
    <t>S-X-11-04</t>
  </si>
  <si>
    <t>!-D-02-01</t>
  </si>
  <si>
    <t>SU-B-19-01</t>
  </si>
  <si>
    <t>time is an axis</t>
  </si>
  <si>
    <t>index out of bounds</t>
  </si>
  <si>
    <t>!-D-02-02</t>
  </si>
  <si>
    <t>SU-B-19-02</t>
  </si>
  <si>
    <t>victory lapse</t>
  </si>
  <si>
    <t>S-X-12-00</t>
  </si>
  <si>
    <t>through the roof</t>
  </si>
  <si>
    <t>full power side attack</t>
  </si>
  <si>
    <t>SU-B-19-03</t>
  </si>
  <si>
    <t>!-D-02-03</t>
  </si>
  <si>
    <t>glord almighty</t>
  </si>
  <si>
    <t>!-D-02-04</t>
  </si>
  <si>
    <t>slaughterhouse three</t>
  </si>
  <si>
    <t>S-X-12-01</t>
  </si>
  <si>
    <t>maelstrom'd</t>
  </si>
  <si>
    <t>escalating delirium</t>
  </si>
  <si>
    <t>SU-B-19-04</t>
  </si>
  <si>
    <t>S-X-12-02</t>
  </si>
  <si>
    <t>glowing wireframe nonsense broth</t>
  </si>
  <si>
    <t>!-E-02-00</t>
  </si>
  <si>
    <t>the outward spiral</t>
  </si>
  <si>
    <t>SU-C-19-00</t>
  </si>
  <si>
    <t>deep breathing technique</t>
  </si>
  <si>
    <t>!-E-02-01</t>
  </si>
  <si>
    <t>the lost art of dreaming</t>
  </si>
  <si>
    <t>biscuity boyle</t>
  </si>
  <si>
    <t>SU-C-19-01</t>
  </si>
  <si>
    <t>S-X-12-03</t>
  </si>
  <si>
    <t>rocket rings</t>
  </si>
  <si>
    <t>SU-C-19-02</t>
  </si>
  <si>
    <t>turning against one's own person</t>
  </si>
  <si>
    <t>!-E-02-02</t>
  </si>
  <si>
    <t>thereof one must be silent</t>
  </si>
  <si>
    <t>squibs</t>
  </si>
  <si>
    <t>SU-C-19-03</t>
  </si>
  <si>
    <t>S-X-12-04</t>
  </si>
  <si>
    <t>synchronized swimming</t>
  </si>
  <si>
    <t>pac monster</t>
  </si>
  <si>
    <t>killsphere</t>
  </si>
  <si>
    <t>!-E-02-03</t>
  </si>
  <si>
    <t>SU-C-19-04</t>
  </si>
  <si>
    <t>S-X-13-00</t>
  </si>
  <si>
    <t>spin quantum number</t>
  </si>
  <si>
    <t>heist of the century</t>
  </si>
  <si>
    <t>S-X-13-01</t>
  </si>
  <si>
    <t>!-E-02-04</t>
  </si>
  <si>
    <t>strategic strategy</t>
  </si>
  <si>
    <t>SU-D-19-00</t>
  </si>
  <si>
    <t>stepping on your own toes</t>
  </si>
  <si>
    <t>laminal voiceless alveolar non-sibilant fricative</t>
  </si>
  <si>
    <t>!-A-03-00</t>
  </si>
  <si>
    <t>SU-D-19-01</t>
  </si>
  <si>
    <t>too close for comfort</t>
  </si>
  <si>
    <t>!-A-03-01</t>
  </si>
  <si>
    <t>trickled pink</t>
  </si>
  <si>
    <t>SU-D-19-02</t>
  </si>
  <si>
    <t>second cousin of pit of despair</t>
  </si>
  <si>
    <t>stimming</t>
  </si>
  <si>
    <t>SU-D-19-03</t>
  </si>
  <si>
    <t>!-A-03-02</t>
  </si>
  <si>
    <t>the exit from hell</t>
  </si>
  <si>
    <t>no escape</t>
  </si>
  <si>
    <t>!-A-03-03</t>
  </si>
  <si>
    <t>SU-D-19-04</t>
  </si>
  <si>
    <t>vortex of plans</t>
  </si>
  <si>
    <t>constantly haunted</t>
  </si>
  <si>
    <t>S-X-13-02</t>
  </si>
  <si>
    <t>!-A-03-04</t>
  </si>
  <si>
    <t>up in the air</t>
  </si>
  <si>
    <t>SU-E-19-00</t>
  </si>
  <si>
    <t>ancient patrol route</t>
  </si>
  <si>
    <t>S-X-13-03</t>
  </si>
  <si>
    <t>G++T--O++C++</t>
  </si>
  <si>
    <t>nothing is impossible</t>
  </si>
  <si>
    <t>mine control</t>
  </si>
  <si>
    <t>inadequatulence</t>
  </si>
  <si>
    <t>SU-E-19-01</t>
  </si>
  <si>
    <t>S-X-13-04</t>
  </si>
  <si>
    <t>!-B-03-00</t>
  </si>
  <si>
    <t>upon the deep</t>
  </si>
  <si>
    <t>S-X-14-00</t>
  </si>
  <si>
    <t>pearl diver</t>
  </si>
  <si>
    <t>skip rope</t>
  </si>
  <si>
    <t>the fine art of biting off more than you can chew</t>
  </si>
  <si>
    <t>SU-E-19-02</t>
  </si>
  <si>
    <t>!-B-03-01</t>
  </si>
  <si>
    <t>S-X-14-01</t>
  </si>
  <si>
    <t>intergalactic iconography</t>
  </si>
  <si>
    <t>SU-E-19-03</t>
  </si>
  <si>
    <t>somewhat of a shocker</t>
  </si>
  <si>
    <t>!-B-03-02</t>
  </si>
  <si>
    <t>you want me to what?!</t>
  </si>
  <si>
    <t>fatal ballet</t>
  </si>
  <si>
    <t>S-X-14-02</t>
  </si>
  <si>
    <t>!-B-03-03</t>
  </si>
  <si>
    <t>afternoon at the complex</t>
  </si>
  <si>
    <t>S-X-14-03</t>
  </si>
  <si>
    <t>end sinister</t>
  </si>
  <si>
    <t>past-Os</t>
  </si>
  <si>
    <t>SU-E-19-04</t>
  </si>
  <si>
    <t>!-B-03-04</t>
  </si>
  <si>
    <t>never tell me 'never tell me the odds'</t>
  </si>
  <si>
    <t>!-C-03-00</t>
  </si>
  <si>
    <t>bait</t>
  </si>
  <si>
    <t>SU-X-00-00</t>
  </si>
  <si>
    <t>masterclass</t>
  </si>
  <si>
    <t>S-X-14-04</t>
  </si>
  <si>
    <t>wild ride</t>
  </si>
  <si>
    <t>the most bog-standard laser-chimney you've ever seen</t>
  </si>
  <si>
    <t>!-C-03-01</t>
  </si>
  <si>
    <t>SU-X-00-01</t>
  </si>
  <si>
    <t>the great filter</t>
  </si>
  <si>
    <t>dark calculus</t>
  </si>
  <si>
    <t>S-X-15-00</t>
  </si>
  <si>
    <t>the sprint pit</t>
  </si>
  <si>
    <t>!-C-03-02</t>
  </si>
  <si>
    <t>SU-X-00-02</t>
  </si>
  <si>
    <t>riding high</t>
  </si>
  <si>
    <t>S-X-15-01</t>
  </si>
  <si>
    <t>deja FFFFUUUU</t>
  </si>
  <si>
    <t>blood monkey</t>
  </si>
  <si>
    <t>drowned by sight</t>
  </si>
  <si>
    <t>S-X-15-02</t>
  </si>
  <si>
    <t>SU-X-00-03</t>
  </si>
  <si>
    <t>!-C-03-03</t>
  </si>
  <si>
    <t>enemies closer</t>
  </si>
  <si>
    <t>SU-X-00-04</t>
  </si>
  <si>
    <t>attention capture</t>
  </si>
  <si>
    <t>i hope i shall arrive soonish</t>
  </si>
  <si>
    <t>SU-X-01-00</t>
  </si>
  <si>
    <t>!-C-03-04</t>
  </si>
  <si>
    <t>ending riddle</t>
  </si>
  <si>
    <t>SU-X-01-01</t>
  </si>
  <si>
    <t>curiously recurring template pattern</t>
  </si>
  <si>
    <t>S-X-15-03</t>
  </si>
  <si>
    <t>eeny meeny mine-y moan</t>
  </si>
  <si>
    <t>cups</t>
  </si>
  <si>
    <t>!-D-03-00</t>
  </si>
  <si>
    <t>SU-X-01-02</t>
  </si>
  <si>
    <t>core blue</t>
  </si>
  <si>
    <t>mid-air marathon</t>
  </si>
  <si>
    <t>SU-X-01-03</t>
  </si>
  <si>
    <t>S-X-15-04</t>
  </si>
  <si>
    <t>an embarrassment of switches</t>
  </si>
  <si>
    <t>SU-X-01-04</t>
  </si>
  <si>
    <t>shoot</t>
  </si>
  <si>
    <t>lustrations</t>
  </si>
  <si>
    <t>!-D-03-01</t>
  </si>
  <si>
    <t>S-X-16-00</t>
  </si>
  <si>
    <t>data hound</t>
  </si>
  <si>
    <t>S-X-16-01</t>
  </si>
  <si>
    <t>put a stamp on that and mail it to yourself</t>
  </si>
  <si>
    <t>!-D-03-02</t>
  </si>
  <si>
    <t>sundry jargons</t>
  </si>
  <si>
    <t>the cave near infinity point</t>
  </si>
  <si>
    <t>S-X-16-02</t>
  </si>
  <si>
    <t>SU-X-02-00</t>
  </si>
  <si>
    <t>centers of distraction</t>
  </si>
  <si>
    <t>!-D-03-03</t>
  </si>
  <si>
    <t>fly pods</t>
  </si>
  <si>
    <t>nigh-impossible</t>
  </si>
  <si>
    <t>!-D-03-04</t>
  </si>
  <si>
    <t>iterative deepening</t>
  </si>
  <si>
    <t>!-E-03-00</t>
  </si>
  <si>
    <t>panoplea</t>
  </si>
  <si>
    <t>robot command center</t>
  </si>
  <si>
    <t>S-X-16-03</t>
  </si>
  <si>
    <t>!-E-03-01</t>
  </si>
  <si>
    <t>compendium for literates</t>
  </si>
  <si>
    <t>!-E-03-02</t>
  </si>
  <si>
    <t>slathered</t>
  </si>
  <si>
    <t>S-X-16-04</t>
  </si>
  <si>
    <t>SU-X-02-01</t>
  </si>
  <si>
    <t>GL_LINE_STIPPLE(SP_REMIX)</t>
  </si>
  <si>
    <t>trials by error</t>
  </si>
  <si>
    <t>SU-X-02-02</t>
  </si>
  <si>
    <t>!-E-03-03</t>
  </si>
  <si>
    <t>reset</t>
  </si>
  <si>
    <t>helmet fire</t>
  </si>
  <si>
    <t>S-X-17-00</t>
  </si>
  <si>
    <t>SU-X-02-03</t>
  </si>
  <si>
    <t>wicked weapons</t>
  </si>
  <si>
    <t>losing ground</t>
  </si>
  <si>
    <t>!-E-03-04</t>
  </si>
  <si>
    <t>SU-X-02-04</t>
  </si>
  <si>
    <t>thrice shafted</t>
  </si>
  <si>
    <t>regretrospective</t>
  </si>
  <si>
    <t>SU-X-03-00</t>
  </si>
  <si>
    <t>!-X-00-00</t>
  </si>
  <si>
    <t>disasterisk</t>
  </si>
  <si>
    <t>SU-X-03-01</t>
  </si>
  <si>
    <t>wastrel</t>
  </si>
  <si>
    <t>a deceptively strong case for checkpoints</t>
  </si>
  <si>
    <t>S-X-17-01</t>
  </si>
  <si>
    <t>!-X-00-01</t>
  </si>
  <si>
    <t>photon phantoms</t>
  </si>
  <si>
    <t>!-X-00-02</t>
  </si>
  <si>
    <t>focused</t>
  </si>
  <si>
    <t>SU-X-03-02</t>
  </si>
  <si>
    <t>vertiginous</t>
  </si>
  <si>
    <t>squiggle chase</t>
  </si>
  <si>
    <t>S-X-17-02</t>
  </si>
  <si>
    <t>pho</t>
  </si>
  <si>
    <t>SU-X-03-03</t>
  </si>
  <si>
    <t>!-X-00-03</t>
  </si>
  <si>
    <t>every time i wake</t>
  </si>
  <si>
    <t>SU-X-03-04</t>
  </si>
  <si>
    <t>a series of unfortunate events</t>
  </si>
  <si>
    <t>S-X-17-03</t>
  </si>
  <si>
    <t>ultra klutz</t>
  </si>
  <si>
    <t>!-X-00-04</t>
  </si>
  <si>
    <t>light show</t>
  </si>
  <si>
    <t>SU-X-04-00</t>
  </si>
  <si>
    <t>here comes the rain again</t>
  </si>
  <si>
    <t>!-X-01-00</t>
  </si>
  <si>
    <t>one million billionth of a millisecond</t>
  </si>
  <si>
    <t>SU-X-04-01</t>
  </si>
  <si>
    <t>escape is at hand</t>
  </si>
  <si>
    <t>goofy footed</t>
  </si>
  <si>
    <t>S-X-17-04</t>
  </si>
  <si>
    <t>!-X-01-01</t>
  </si>
  <si>
    <t>memory insufficient</t>
  </si>
  <si>
    <t>imprism'd</t>
  </si>
  <si>
    <t>S-X-18-00</t>
  </si>
  <si>
    <t>!-X-01-02</t>
  </si>
  <si>
    <t>license to kill yourself</t>
  </si>
  <si>
    <t>hell hath fury</t>
  </si>
  <si>
    <t>SU-X-04-02</t>
  </si>
  <si>
    <t>!-X-01-03</t>
  </si>
  <si>
    <t>epiphany continuum</t>
  </si>
  <si>
    <t>S-X-18-01</t>
  </si>
  <si>
    <t>triplus</t>
  </si>
  <si>
    <t>strive harder</t>
  </si>
  <si>
    <t>SU-X-04-03</t>
  </si>
  <si>
    <t>S-X-18-02</t>
  </si>
  <si>
    <t>so like, what's an infinity zone?</t>
  </si>
  <si>
    <t>!-X-01-04</t>
  </si>
  <si>
    <t>chase ace</t>
  </si>
  <si>
    <t>S-X-18-03</t>
  </si>
  <si>
    <t>sequential circuit</t>
  </si>
  <si>
    <t>SU-X-04-04</t>
  </si>
  <si>
    <t>say when ++</t>
  </si>
  <si>
    <t>braindance</t>
  </si>
  <si>
    <t>S-X-18-04</t>
  </si>
  <si>
    <t>!-X-02-00</t>
  </si>
  <si>
    <t>not so octopus</t>
  </si>
  <si>
    <t>!-X-02-01</t>
  </si>
  <si>
    <t>deathballroom</t>
  </si>
  <si>
    <t>desktop tableau</t>
  </si>
  <si>
    <t>S-X-19-00</t>
  </si>
  <si>
    <t>SU-X-05-00</t>
  </si>
  <si>
    <t>quad emotional damage</t>
  </si>
  <si>
    <t>SU-X-05-01</t>
  </si>
  <si>
    <t>automatical hard</t>
  </si>
  <si>
    <t>S-X-19-01</t>
  </si>
  <si>
    <t>leave planet earth</t>
  </si>
  <si>
    <t>!-X-02-02</t>
  </si>
  <si>
    <t>tongue-through-cheek</t>
  </si>
  <si>
    <t>skipping stone</t>
  </si>
  <si>
    <t>surface extrapolator</t>
  </si>
  <si>
    <t>SU-X-05-02</t>
  </si>
  <si>
    <t>S-X-19-02</t>
  </si>
  <si>
    <t>!-X-02-03</t>
  </si>
  <si>
    <t>T++O++C++E++</t>
  </si>
  <si>
    <t>bent</t>
  </si>
  <si>
    <t>SU-X-05-03</t>
  </si>
  <si>
    <t>terrrors</t>
  </si>
  <si>
    <t>S-X-19-03</t>
  </si>
  <si>
    <t>industrial divinities</t>
  </si>
  <si>
    <t>SU-X-05-04</t>
  </si>
  <si>
    <t>suave and suffocated</t>
  </si>
  <si>
    <t>laser precision</t>
  </si>
  <si>
    <t>!-X-02-04</t>
  </si>
  <si>
    <t>SU-X-06-00</t>
  </si>
  <si>
    <t>slipping away</t>
  </si>
  <si>
    <t>self sabotage</t>
  </si>
  <si>
    <t>SU-X-06-01</t>
  </si>
  <si>
    <t>!-X-03-00</t>
  </si>
  <si>
    <t>photon torpedoed</t>
  </si>
  <si>
    <t>SU-X-06-02</t>
  </si>
  <si>
    <t>championship lode runner</t>
  </si>
  <si>
    <t>S-X-19-04</t>
  </si>
  <si>
    <t>few mysteries solved in a year of contact</t>
  </si>
  <si>
    <t>slalom</t>
  </si>
  <si>
    <t>!-X-03-01</t>
  </si>
  <si>
    <t>SU-X-06-03</t>
  </si>
  <si>
    <t>invaded</t>
  </si>
  <si>
    <t>SU-X-06-04</t>
  </si>
  <si>
    <t>majesty shredding</t>
  </si>
  <si>
    <t>!-X-03-02</t>
  </si>
  <si>
    <t>return of the pitcher plant</t>
  </si>
  <si>
    <t>!-X-03-03</t>
  </si>
  <si>
    <t>rent ballad</t>
  </si>
  <si>
    <t>SU-X-07-00</t>
  </si>
  <si>
    <t>scorched earth</t>
  </si>
  <si>
    <t>!-X-03-04</t>
  </si>
  <si>
    <t>faith is a fact</t>
  </si>
  <si>
    <t>SU-X-07-01</t>
  </si>
  <si>
    <t>hard to judge</t>
  </si>
  <si>
    <t>SU-X-07-02</t>
  </si>
  <si>
    <t>good, better, best, bestest</t>
  </si>
  <si>
    <t>SU-X-07-03</t>
  </si>
  <si>
    <t>double double chase</t>
  </si>
  <si>
    <t>SU-X-07-04</t>
  </si>
  <si>
    <t>trickery</t>
  </si>
  <si>
    <t>SU-X-08-00</t>
  </si>
  <si>
    <t>dipper</t>
  </si>
  <si>
    <t>SU-X-08-01</t>
  </si>
  <si>
    <t>seemingly impossible</t>
  </si>
  <si>
    <t>SU-X-08-02</t>
  </si>
  <si>
    <t>cavities</t>
  </si>
  <si>
    <t>SU-X-08-03</t>
  </si>
  <si>
    <t>N++&gt;Solo&gt;Episodes</t>
  </si>
  <si>
    <t>thriller</t>
  </si>
  <si>
    <t>SU-X-08-04</t>
  </si>
  <si>
    <t>Solo Ultimate Episode A-00</t>
  </si>
  <si>
    <t>Solo Episode A-00</t>
  </si>
  <si>
    <t>S-A-00</t>
  </si>
  <si>
    <t>SU-A-00</t>
  </si>
  <si>
    <t>!?</t>
  </si>
  <si>
    <t>Solo Episode B-00</t>
  </si>
  <si>
    <t>arduous climb</t>
  </si>
  <si>
    <t>S-B-00</t>
  </si>
  <si>
    <t>Solo Episode C-00</t>
  </si>
  <si>
    <t>Solo Ultimate Episode B-00</t>
  </si>
  <si>
    <t>SU-X-09-00</t>
  </si>
  <si>
    <t>S-C-00</t>
  </si>
  <si>
    <t>SU-B-00</t>
  </si>
  <si>
    <t>Solo Episode D-00</t>
  </si>
  <si>
    <t>S-D-00</t>
  </si>
  <si>
    <t>Solo Ultimate Episode C-00</t>
  </si>
  <si>
    <t>Solo Episode E-00</t>
  </si>
  <si>
    <t>pokeys haunt us</t>
  </si>
  <si>
    <t>S-E-00</t>
  </si>
  <si>
    <t>Solo Episode A-01</t>
  </si>
  <si>
    <t>SU-C-00</t>
  </si>
  <si>
    <t>SU-X-09-01</t>
  </si>
  <si>
    <t>S-A-01</t>
  </si>
  <si>
    <t>Solo Episode B-01</t>
  </si>
  <si>
    <t>S-B-01</t>
  </si>
  <si>
    <t>Solo Ultimate Episode D-00</t>
  </si>
  <si>
    <t>Solo Episode C-01</t>
  </si>
  <si>
    <t>big softy</t>
  </si>
  <si>
    <t>SU-D-00</t>
  </si>
  <si>
    <t>S-C-01</t>
  </si>
  <si>
    <t>Solo Episode D-01</t>
  </si>
  <si>
    <t>SU-X-09-02</t>
  </si>
  <si>
    <t>Solo Ultimate Episode E-00</t>
  </si>
  <si>
    <t>S-D-01</t>
  </si>
  <si>
    <t>Solo Episode E-01</t>
  </si>
  <si>
    <t>SU-E-00</t>
  </si>
  <si>
    <t>S-E-01</t>
  </si>
  <si>
    <t>v for very long jump</t>
  </si>
  <si>
    <t>Solo Episode A-02</t>
  </si>
  <si>
    <t>Solo Ultimate Episode A-01</t>
  </si>
  <si>
    <t>S-A-02</t>
  </si>
  <si>
    <t>SU-X-09-03</t>
  </si>
  <si>
    <t>SU-A-01</t>
  </si>
  <si>
    <t>Solo Episode B-02</t>
  </si>
  <si>
    <t>S-B-02</t>
  </si>
  <si>
    <t>Solo Episode C-02</t>
  </si>
  <si>
    <t>Solo Ultimate Episode B-01</t>
  </si>
  <si>
    <t>S-C-02</t>
  </si>
  <si>
    <t>SU-B-01</t>
  </si>
  <si>
    <t>Solo Episode D-02</t>
  </si>
  <si>
    <t>laser checkmate</t>
  </si>
  <si>
    <t>S-D-02</t>
  </si>
  <si>
    <t>SU-X-09-04</t>
  </si>
  <si>
    <t>Solo Episode E-02</t>
  </si>
  <si>
    <t>Solo Ultimate Episode C-01</t>
  </si>
  <si>
    <t>S-E-02</t>
  </si>
  <si>
    <t>SU-C-01</t>
  </si>
  <si>
    <t>Solo Episode A-03</t>
  </si>
  <si>
    <t>S-A-03</t>
  </si>
  <si>
    <t>Solo Ultimate Episode D-01</t>
  </si>
  <si>
    <t>Solo Episode B-03</t>
  </si>
  <si>
    <t>SU-D-01</t>
  </si>
  <si>
    <t>S-B-03</t>
  </si>
  <si>
    <t>the sweats</t>
  </si>
  <si>
    <t>Solo Episode C-03</t>
  </si>
  <si>
    <t>Solo Ultimate Episode E-01</t>
  </si>
  <si>
    <t>S-C-03</t>
  </si>
  <si>
    <t>SU-X-10-00</t>
  </si>
  <si>
    <t>Solo Episode D-03</t>
  </si>
  <si>
    <t>SU-E-01</t>
  </si>
  <si>
    <t>S-D-03</t>
  </si>
  <si>
    <t>Solo Episode E-03</t>
  </si>
  <si>
    <t>freezone</t>
  </si>
  <si>
    <t>S-E-03</t>
  </si>
  <si>
    <t>Solo Episode A-04</t>
  </si>
  <si>
    <t>Solo Ultimate Episode A-02</t>
  </si>
  <si>
    <t>SU-X-10-01</t>
  </si>
  <si>
    <t>S-A-04</t>
  </si>
  <si>
    <t>SU-A-02</t>
  </si>
  <si>
    <t>Solo Episode B-04</t>
  </si>
  <si>
    <t>S-B-04</t>
  </si>
  <si>
    <t>why did it have to be lasers??</t>
  </si>
  <si>
    <t>Solo Ultimate Episode B-02</t>
  </si>
  <si>
    <t>Solo Episode C-04</t>
  </si>
  <si>
    <t>SU-X-10-02</t>
  </si>
  <si>
    <t>S-C-04</t>
  </si>
  <si>
    <t>SU-B-02</t>
  </si>
  <si>
    <t>Solo Episode D-04</t>
  </si>
  <si>
    <t>S-D-04</t>
  </si>
  <si>
    <t>Solo Ultimate Episode C-02</t>
  </si>
  <si>
    <t>Solo Episode E-04</t>
  </si>
  <si>
    <t>ever upwards</t>
  </si>
  <si>
    <t>S-E-04</t>
  </si>
  <si>
    <t>SU-C-02</t>
  </si>
  <si>
    <t>Solo Episode A-05</t>
  </si>
  <si>
    <t>SU-X-10-03</t>
  </si>
  <si>
    <t>S-A-05</t>
  </si>
  <si>
    <t>Solo Episode B-05</t>
  </si>
  <si>
    <t>Solo Ultimate Episode D-02</t>
  </si>
  <si>
    <t>S-B-05</t>
  </si>
  <si>
    <t>SU-D-02</t>
  </si>
  <si>
    <t>Solo Episode C-05</t>
  </si>
  <si>
    <t>S-C-05</t>
  </si>
  <si>
    <t>Solo Ultimate Episode E-02</t>
  </si>
  <si>
    <t>finishing moves</t>
  </si>
  <si>
    <t>Solo Episode D-05</t>
  </si>
  <si>
    <t>SU-E-02</t>
  </si>
  <si>
    <t>S-D-05</t>
  </si>
  <si>
    <t>SU-X-10-04</t>
  </si>
  <si>
    <t>Solo Episode E-05</t>
  </si>
  <si>
    <t>S-E-05</t>
  </si>
  <si>
    <t>Solo Ultimate Episode A-03</t>
  </si>
  <si>
    <t>Solo Episode A-06</t>
  </si>
  <si>
    <t>SU-A-03</t>
  </si>
  <si>
    <t>S-A-06</t>
  </si>
  <si>
    <t>Solo Episode B-06</t>
  </si>
  <si>
    <t>Solo Ultimate Episode B-03</t>
  </si>
  <si>
    <t>endeavours immeasurable</t>
  </si>
  <si>
    <t>SU-B-03</t>
  </si>
  <si>
    <t>S-B-06</t>
  </si>
  <si>
    <t>Solo Episode C-06</t>
  </si>
  <si>
    <t>S-C-06</t>
  </si>
  <si>
    <t>Solo Ultimate Episode C-03</t>
  </si>
  <si>
    <t>Solo Episode D-06</t>
  </si>
  <si>
    <t>SU-X-11-00</t>
  </si>
  <si>
    <t>S-D-06</t>
  </si>
  <si>
    <t>SU-C-03</t>
  </si>
  <si>
    <t>Solo Episode E-06</t>
  </si>
  <si>
    <t>S-E-06</t>
  </si>
  <si>
    <t>Solo Ultimate Episode D-03</t>
  </si>
  <si>
    <t>Solo Episode A-07</t>
  </si>
  <si>
    <t>SU-D-03</t>
  </si>
  <si>
    <t>S-A-07</t>
  </si>
  <si>
    <t>betweem</t>
  </si>
  <si>
    <t>Solo Episode B-07</t>
  </si>
  <si>
    <t>Solo Ultimate Episode E-03</t>
  </si>
  <si>
    <t>S-B-07</t>
  </si>
  <si>
    <t>SU-X-11-01</t>
  </si>
  <si>
    <t>Solo Episode C-07</t>
  </si>
  <si>
    <t>SU-E-03</t>
  </si>
  <si>
    <t>S-C-07</t>
  </si>
  <si>
    <t>Solo Episode D-07</t>
  </si>
  <si>
    <t>Solo Ultimate Episode A-04</t>
  </si>
  <si>
    <t>nukage pits</t>
  </si>
  <si>
    <t>S-D-07</t>
  </si>
  <si>
    <t>SU-A-04</t>
  </si>
  <si>
    <t>Solo Episode E-07</t>
  </si>
  <si>
    <t>SU-X-11-02</t>
  </si>
  <si>
    <t>S-E-07</t>
  </si>
  <si>
    <t>Solo Ultimate Episode B-04</t>
  </si>
  <si>
    <t>Solo Episode A-08</t>
  </si>
  <si>
    <t>SU-B-04</t>
  </si>
  <si>
    <t>S-A-08</t>
  </si>
  <si>
    <t>Solo Episode B-08</t>
  </si>
  <si>
    <t>the wizard of odds</t>
  </si>
  <si>
    <t>Solo Ultimate Episode C-04</t>
  </si>
  <si>
    <t>S-B-08</t>
  </si>
  <si>
    <t>SU-C-04</t>
  </si>
  <si>
    <t>Solo Episode C-08</t>
  </si>
  <si>
    <t>SU-X-11-03</t>
  </si>
  <si>
    <t>S-C-08</t>
  </si>
  <si>
    <t>Solo Episode D-08</t>
  </si>
  <si>
    <t>Solo Ultimate Episode D-04</t>
  </si>
  <si>
    <t>you can never quarantine the past</t>
  </si>
  <si>
    <t>S-D-08</t>
  </si>
  <si>
    <t>SU-D-04</t>
  </si>
  <si>
    <t>Solo Episode E-08</t>
  </si>
  <si>
    <t>SU-X-11-04</t>
  </si>
  <si>
    <t>S-E-08</t>
  </si>
  <si>
    <t>Solo Episode A-09</t>
  </si>
  <si>
    <t>Solo Ultimate Episode E-04</t>
  </si>
  <si>
    <t>S-A-09</t>
  </si>
  <si>
    <t>Solo Episode B-09</t>
  </si>
  <si>
    <t>SU-E-04</t>
  </si>
  <si>
    <t>conjecture</t>
  </si>
  <si>
    <t>S-B-09</t>
  </si>
  <si>
    <t>Solo Episode C-09</t>
  </si>
  <si>
    <t>SU-X-12-00</t>
  </si>
  <si>
    <t>Solo Ultimate Episode A-05</t>
  </si>
  <si>
    <t>S-C-09</t>
  </si>
  <si>
    <t>Solo Episode D-09</t>
  </si>
  <si>
    <t>SU-A-05</t>
  </si>
  <si>
    <t>S-D-09</t>
  </si>
  <si>
    <t>12-dimensional rocket chess</t>
  </si>
  <si>
    <t>Solo Episode E-09</t>
  </si>
  <si>
    <t>Solo Ultimate Episode B-05</t>
  </si>
  <si>
    <t>S-E-09</t>
  </si>
  <si>
    <t>SU-X-12-01</t>
  </si>
  <si>
    <t>SU-B-05</t>
  </si>
  <si>
    <t>Solo Episode A-10</t>
  </si>
  <si>
    <t>S-A-10</t>
  </si>
  <si>
    <t>Solo Episode B-10</t>
  </si>
  <si>
    <t>Solo Ultimate Episode C-05</t>
  </si>
  <si>
    <t>S-B-10</t>
  </si>
  <si>
    <t>SU-C-05</t>
  </si>
  <si>
    <t>Solo Episode C-10</t>
  </si>
  <si>
    <t>pas de trois</t>
  </si>
  <si>
    <t>S-C-10</t>
  </si>
  <si>
    <t>Solo Ultimate Episode D-05</t>
  </si>
  <si>
    <t>Solo Episode D-10</t>
  </si>
  <si>
    <t>SU-X-12-02</t>
  </si>
  <si>
    <t>SU-D-05</t>
  </si>
  <si>
    <t>S-D-10</t>
  </si>
  <si>
    <t>Solo Ultimate Episode E-05</t>
  </si>
  <si>
    <t>Solo Episode E-10</t>
  </si>
  <si>
    <t>SU-E-05</t>
  </si>
  <si>
    <t>S-E-10</t>
  </si>
  <si>
    <t>Solo Ultimate Episode A-06</t>
  </si>
  <si>
    <t>s-rank</t>
  </si>
  <si>
    <t>Solo Episode A-11</t>
  </si>
  <si>
    <t>SU-A-06</t>
  </si>
  <si>
    <t>Solo Ultimate Episode B-06</t>
  </si>
  <si>
    <t>SU-X-12-03</t>
  </si>
  <si>
    <t>S-A-11</t>
  </si>
  <si>
    <t>Solo Episode B-11</t>
  </si>
  <si>
    <t>SU-B-06</t>
  </si>
  <si>
    <t>S-B-11</t>
  </si>
  <si>
    <t>eyes on the road</t>
  </si>
  <si>
    <t>Solo Ultimate Episode C-06</t>
  </si>
  <si>
    <t>Solo Episode C-11</t>
  </si>
  <si>
    <t>SU-X-12-04</t>
  </si>
  <si>
    <t>SU-C-06</t>
  </si>
  <si>
    <t>S-C-11</t>
  </si>
  <si>
    <t>Solo Ultimate Episode D-06</t>
  </si>
  <si>
    <t>Solo Episode D-11</t>
  </si>
  <si>
    <t>SU-D-06</t>
  </si>
  <si>
    <t>Solo Ultimate Episode E-06</t>
  </si>
  <si>
    <t>S-D-11</t>
  </si>
  <si>
    <t>Solo Episode E-11</t>
  </si>
  <si>
    <t>SU-E-06</t>
  </si>
  <si>
    <t>medium hadron collider</t>
  </si>
  <si>
    <t>Solo Ultimate Episode A-07</t>
  </si>
  <si>
    <t>S-E-11</t>
  </si>
  <si>
    <t>Solo Episode A-12</t>
  </si>
  <si>
    <t>SU-X-13-00</t>
  </si>
  <si>
    <t>SU-A-07</t>
  </si>
  <si>
    <t>Solo Ultimate Episode B-07</t>
  </si>
  <si>
    <t>S-A-12</t>
  </si>
  <si>
    <t>Solo Episode B-12</t>
  </si>
  <si>
    <t>SU-B-07</t>
  </si>
  <si>
    <t>a decided lack of flooring</t>
  </si>
  <si>
    <t>Solo Ultimate Episode C-07</t>
  </si>
  <si>
    <t>S-B-12</t>
  </si>
  <si>
    <t>SU-X-13-01</t>
  </si>
  <si>
    <t>Solo Episode C-12</t>
  </si>
  <si>
    <t>SU-C-07</t>
  </si>
  <si>
    <t>Solo Ultimate Episode D-07</t>
  </si>
  <si>
    <t>S-C-12</t>
  </si>
  <si>
    <t>Solo Episode D-12</t>
  </si>
  <si>
    <t>SU-D-07</t>
  </si>
  <si>
    <t>mine master</t>
  </si>
  <si>
    <t>Solo Ultimate Episode E-07</t>
  </si>
  <si>
    <t>SU-X-13-02</t>
  </si>
  <si>
    <t>SU-E-07</t>
  </si>
  <si>
    <t>S-D-12</t>
  </si>
  <si>
    <t>Solo Ultimate Episode A-08</t>
  </si>
  <si>
    <t>Solo Episode E-12</t>
  </si>
  <si>
    <t>SU-A-08</t>
  </si>
  <si>
    <t>S-E-12</t>
  </si>
  <si>
    <t>Solo Ultimate Episode B-08</t>
  </si>
  <si>
    <t>teeth chase</t>
  </si>
  <si>
    <t>Solo Episode A-13</t>
  </si>
  <si>
    <t>SU-B-08</t>
  </si>
  <si>
    <t>Solo Ultimate Episode C-08</t>
  </si>
  <si>
    <t>SU-X-13-03</t>
  </si>
  <si>
    <t>S-A-13</t>
  </si>
  <si>
    <t>Solo Episode B-13</t>
  </si>
  <si>
    <t>SU-C-08</t>
  </si>
  <si>
    <t>Solo Ultimate Episode D-08</t>
  </si>
  <si>
    <t>S-B-13</t>
  </si>
  <si>
    <t>Solo Episode C-13</t>
  </si>
  <si>
    <t>SU-D-08</t>
  </si>
  <si>
    <t>cogito ergo something</t>
  </si>
  <si>
    <t>Solo Ultimate Episode E-08</t>
  </si>
  <si>
    <t>S-C-13</t>
  </si>
  <si>
    <t>SU-X-13-04</t>
  </si>
  <si>
    <t>SU-E-08</t>
  </si>
  <si>
    <t>Solo Episode D-13</t>
  </si>
  <si>
    <t>Solo Ultimate Episode A-09</t>
  </si>
  <si>
    <t>SU-A-09</t>
  </si>
  <si>
    <t>S-D-13</t>
  </si>
  <si>
    <t>Solo Ultimate Episode B-09</t>
  </si>
  <si>
    <t>Solo Episode E-13</t>
  </si>
  <si>
    <t>S-E-13</t>
  </si>
  <si>
    <t>SU-B-09</t>
  </si>
  <si>
    <t>the steepening</t>
  </si>
  <si>
    <t>Solo Episode A-14</t>
  </si>
  <si>
    <t>Solo Ultimate Episode C-09</t>
  </si>
  <si>
    <t>S-A-14</t>
  </si>
  <si>
    <t>SU-X-14-00</t>
  </si>
  <si>
    <t>Solo Episode B-14</t>
  </si>
  <si>
    <t>SU-C-09</t>
  </si>
  <si>
    <t>Solo Ultimate Episode D-09</t>
  </si>
  <si>
    <t>S-B-14</t>
  </si>
  <si>
    <t>Solo Episode C-14</t>
  </si>
  <si>
    <t>SU-D-09</t>
  </si>
  <si>
    <t>Solo Ultimate Episode E-09</t>
  </si>
  <si>
    <t>S-C-14</t>
  </si>
  <si>
    <t>Solo Episode D-14</t>
  </si>
  <si>
    <t>you can't speedrun a broken heart</t>
  </si>
  <si>
    <t>SU-E-09</t>
  </si>
  <si>
    <t>Solo Ultimate Episode A-10</t>
  </si>
  <si>
    <t>S-D-14</t>
  </si>
  <si>
    <t>SU-X-14-01</t>
  </si>
  <si>
    <t>Solo Episode E-14</t>
  </si>
  <si>
    <t>SU-A-10</t>
  </si>
  <si>
    <t>S-E-14</t>
  </si>
  <si>
    <t>Solo Ultimate Episode B-10</t>
  </si>
  <si>
    <t>Solo Episode A-15</t>
  </si>
  <si>
    <t>SU-B-10</t>
  </si>
  <si>
    <t>the jaws of infinity</t>
  </si>
  <si>
    <t>Solo Ultimate Episode C-10</t>
  </si>
  <si>
    <t>S-A-15</t>
  </si>
  <si>
    <t>Solo Episode B-15</t>
  </si>
  <si>
    <t>SU-X-14-02</t>
  </si>
  <si>
    <t>SU-C-10</t>
  </si>
  <si>
    <t>Solo Ultimate Episode D-10</t>
  </si>
  <si>
    <t>S-B-15</t>
  </si>
  <si>
    <t>Solo Episode C-15</t>
  </si>
  <si>
    <t>SU-D-10</t>
  </si>
  <si>
    <t>Solo Ultimate Episode E-10</t>
  </si>
  <si>
    <t>S-C-15</t>
  </si>
  <si>
    <t>to the pain</t>
  </si>
  <si>
    <t>Solo Episode D-15</t>
  </si>
  <si>
    <t>SU-E-10</t>
  </si>
  <si>
    <t>Solo Ultimate Episode A-11</t>
  </si>
  <si>
    <t>SU-X-14-03</t>
  </si>
  <si>
    <t>S-D-15</t>
  </si>
  <si>
    <t>SU-A-11</t>
  </si>
  <si>
    <t>Solo Episode E-15</t>
  </si>
  <si>
    <t>Solo Ultimate Episode B-11</t>
  </si>
  <si>
    <t>SU-B-11</t>
  </si>
  <si>
    <t>S-E-15</t>
  </si>
  <si>
    <t>shortness of breath</t>
  </si>
  <si>
    <t>Solo Ultimate Episode C-11</t>
  </si>
  <si>
    <t>SU-C-11</t>
  </si>
  <si>
    <t>Solo Ultimate Episode D-11</t>
  </si>
  <si>
    <t>SU-X-14-04</t>
  </si>
  <si>
    <t>SU-D-11</t>
  </si>
  <si>
    <t>Solo Episode A-16</t>
  </si>
  <si>
    <t>Solo Ultimate Episode E-11</t>
  </si>
  <si>
    <t>S-A-16</t>
  </si>
  <si>
    <t>SU-E-11</t>
  </si>
  <si>
    <t>Solo Episode B-16</t>
  </si>
  <si>
    <t>Solo Ultimate Episode A-12</t>
  </si>
  <si>
    <t>learning procession</t>
  </si>
  <si>
    <t>S-B-16</t>
  </si>
  <si>
    <t>SU-A-12</t>
  </si>
  <si>
    <t>Solo Episode C-16</t>
  </si>
  <si>
    <t>Solo Ultimate Episode B-12</t>
  </si>
  <si>
    <t>SU-X-15-00</t>
  </si>
  <si>
    <t>S-C-16</t>
  </si>
  <si>
    <t>Solo Episode D-16</t>
  </si>
  <si>
    <t>SU-B-12</t>
  </si>
  <si>
    <t>S-D-16</t>
  </si>
  <si>
    <t>Solo Ultimate Episode C-12</t>
  </si>
  <si>
    <t>Solo Episode E-16</t>
  </si>
  <si>
    <t>SU-C-12</t>
  </si>
  <si>
    <t>S-E-16</t>
  </si>
  <si>
    <t>Solo Ultimate Episode D-12</t>
  </si>
  <si>
    <t>Solo Episode A-17</t>
  </si>
  <si>
    <t>tempus f++kit</t>
  </si>
  <si>
    <t>S-A-17</t>
  </si>
  <si>
    <t>SU-D-12</t>
  </si>
  <si>
    <t>Solo Episode B-17</t>
  </si>
  <si>
    <t>SU-X-15-01</t>
  </si>
  <si>
    <t>Solo Ultimate Episode E-12</t>
  </si>
  <si>
    <t>S-B-17</t>
  </si>
  <si>
    <t>SU-E-12</t>
  </si>
  <si>
    <t>Solo Episode C-17</t>
  </si>
  <si>
    <t>Solo Ultimate Episode A-13</t>
  </si>
  <si>
    <t>S-C-17</t>
  </si>
  <si>
    <t>SU-A-13</t>
  </si>
  <si>
    <t>Solo Episode D-17</t>
  </si>
  <si>
    <t>Solo Ultimate Episode B-13</t>
  </si>
  <si>
    <t>S-D-17</t>
  </si>
  <si>
    <t>Solo Episode E-17</t>
  </si>
  <si>
    <t>SU-B-13</t>
  </si>
  <si>
    <t>S-E-17</t>
  </si>
  <si>
    <t>Solo Ultimate Episode C-13</t>
  </si>
  <si>
    <t>SU-C-13</t>
  </si>
  <si>
    <t>Solo Ultimate Episode D-13</t>
  </si>
  <si>
    <t>in the halls of the mountain king</t>
  </si>
  <si>
    <t>SU-D-13</t>
  </si>
  <si>
    <t>Solo Episode A-18</t>
  </si>
  <si>
    <t>Solo Ultimate Episode E-13</t>
  </si>
  <si>
    <t>SU-X-15-02</t>
  </si>
  <si>
    <t>S-A-18</t>
  </si>
  <si>
    <t>SU-E-13</t>
  </si>
  <si>
    <t>Solo Ultimate Episode A-14</t>
  </si>
  <si>
    <t>Solo Episode B-18</t>
  </si>
  <si>
    <t>S-B-18</t>
  </si>
  <si>
    <t>SU-A-14</t>
  </si>
  <si>
    <t>Solo Episode C-18</t>
  </si>
  <si>
    <t>Solo Ultimate Episode B-14</t>
  </si>
  <si>
    <t>S-C-18</t>
  </si>
  <si>
    <t>Solo Episode D-18</t>
  </si>
  <si>
    <t>SU-B-14</t>
  </si>
  <si>
    <t>S-D-18</t>
  </si>
  <si>
    <t>Solo Ultimate Episode C-14</t>
  </si>
  <si>
    <t>Solo Episode E-18</t>
  </si>
  <si>
    <t>the wall</t>
  </si>
  <si>
    <t>S-E-18</t>
  </si>
  <si>
    <t>SU-C-14</t>
  </si>
  <si>
    <t>Solo Episode A-19</t>
  </si>
  <si>
    <t>Solo Ultimate Episode D-14</t>
  </si>
  <si>
    <t>S-A-19</t>
  </si>
  <si>
    <t>SU-X-15-03</t>
  </si>
  <si>
    <t>Solo Episode B-19</t>
  </si>
  <si>
    <t>S-B-19</t>
  </si>
  <si>
    <t>Solo Episode C-19</t>
  </si>
  <si>
    <t>SU-D-14</t>
  </si>
  <si>
    <t>S-C-19</t>
  </si>
  <si>
    <t>Solo Episode D-19</t>
  </si>
  <si>
    <t>Solo Ultimate Episode E-14</t>
  </si>
  <si>
    <t>S-D-19</t>
  </si>
  <si>
    <t>fusilladed</t>
  </si>
  <si>
    <t>Solo Episode E-19</t>
  </si>
  <si>
    <t>SU-E-14</t>
  </si>
  <si>
    <t>Solo Ultimate Episode A-15</t>
  </si>
  <si>
    <t>S-E-19</t>
  </si>
  <si>
    <t>Solo Episode X-00</t>
  </si>
  <si>
    <t>SU-X-15-04</t>
  </si>
  <si>
    <t>SU-A-15</t>
  </si>
  <si>
    <t>S-X-00</t>
  </si>
  <si>
    <t>Solo Ultimate Episode B-15</t>
  </si>
  <si>
    <t>Solo Episode X-01</t>
  </si>
  <si>
    <t>SU-B-15</t>
  </si>
  <si>
    <t>S-X-01</t>
  </si>
  <si>
    <t>Solo Ultimate Episode C-15</t>
  </si>
  <si>
    <t>Solo Episode X-02</t>
  </si>
  <si>
    <t>SU-C-15</t>
  </si>
  <si>
    <t>S-X-02</t>
  </si>
  <si>
    <t>Solo Ultimate Episode D-15</t>
  </si>
  <si>
    <t>Solo Episode X-03</t>
  </si>
  <si>
    <t>the art of deft</t>
  </si>
  <si>
    <t>SU-D-15</t>
  </si>
  <si>
    <t>S-X-03</t>
  </si>
  <si>
    <t>SU-X-16-00</t>
  </si>
  <si>
    <t>Solo Ultimate Episode E-15</t>
  </si>
  <si>
    <t>Solo Episode X-04</t>
  </si>
  <si>
    <t>SU-E-15</t>
  </si>
  <si>
    <t>S-X-04</t>
  </si>
  <si>
    <t>Solo Ultimate Episode A-16</t>
  </si>
  <si>
    <t>gradient ascent</t>
  </si>
  <si>
    <t>Solo Episode X-05</t>
  </si>
  <si>
    <t>SU-X-16-01</t>
  </si>
  <si>
    <t>S-X-05</t>
  </si>
  <si>
    <t>SU-A-16</t>
  </si>
  <si>
    <t>Solo Episode X-06</t>
  </si>
  <si>
    <t>Solo Ultimate Episode B-16</t>
  </si>
  <si>
    <t>S-X-06</t>
  </si>
  <si>
    <t>Solo Episode X-07</t>
  </si>
  <si>
    <t>SU-B-16</t>
  </si>
  <si>
    <t>Solo Ultimate Episode C-16</t>
  </si>
  <si>
    <t>mr griddler</t>
  </si>
  <si>
    <t>SU-C-16</t>
  </si>
  <si>
    <t>S-X-07</t>
  </si>
  <si>
    <t>Solo Ultimate Episode D-16</t>
  </si>
  <si>
    <t>Solo Episode X-08</t>
  </si>
  <si>
    <t>SU-D-16</t>
  </si>
  <si>
    <t>SU-X-16-02</t>
  </si>
  <si>
    <t>S-X-08</t>
  </si>
  <si>
    <t>Solo Ultimate Episode E-16</t>
  </si>
  <si>
    <t>Solo Episode X-09</t>
  </si>
  <si>
    <t>SU-E-16</t>
  </si>
  <si>
    <t>Solo Ultimate Episode A-17</t>
  </si>
  <si>
    <t>S-X-09</t>
  </si>
  <si>
    <t>in a pinch</t>
  </si>
  <si>
    <t>SU-A-17</t>
  </si>
  <si>
    <t>Solo Ultimate Episode B-17</t>
  </si>
  <si>
    <t>SU-X-16-03</t>
  </si>
  <si>
    <t>SU-B-17</t>
  </si>
  <si>
    <t>Solo Ultimate Episode C-17</t>
  </si>
  <si>
    <t>Solo Episode X-10</t>
  </si>
  <si>
    <t>S-X-10</t>
  </si>
  <si>
    <t>SU-C-17</t>
  </si>
  <si>
    <t>never never never never never land</t>
  </si>
  <si>
    <t>Solo Ultimate Episode D-17</t>
  </si>
  <si>
    <t>SU-X-16-04</t>
  </si>
  <si>
    <t>SU-D-17</t>
  </si>
  <si>
    <t>Solo Ultimate Episode E-17</t>
  </si>
  <si>
    <t>Solo Episode X-11</t>
  </si>
  <si>
    <t>SU-E-17</t>
  </si>
  <si>
    <t>S-X-11</t>
  </si>
  <si>
    <t>Solo Ultimate Episode A-18</t>
  </si>
  <si>
    <t>Solo Episode X-12</t>
  </si>
  <si>
    <t>launch windows</t>
  </si>
  <si>
    <t>SU-A-18</t>
  </si>
  <si>
    <t>S-X-12</t>
  </si>
  <si>
    <t>Solo Ultimate Episode B-18</t>
  </si>
  <si>
    <t>SU-X-17-00</t>
  </si>
  <si>
    <t>Solo Episode X-13</t>
  </si>
  <si>
    <t>SU-B-18</t>
  </si>
  <si>
    <t>S-X-13</t>
  </si>
  <si>
    <t>Solo Ultimate Episode C-18</t>
  </si>
  <si>
    <t>SU-C-18</t>
  </si>
  <si>
    <t>Solo Episode X-14</t>
  </si>
  <si>
    <t>Solo Ultimate Episode D-18</t>
  </si>
  <si>
    <t>terror management theory</t>
  </si>
  <si>
    <t>S-X-14</t>
  </si>
  <si>
    <t>SU-D-18</t>
  </si>
  <si>
    <t>Solo Episode X-15</t>
  </si>
  <si>
    <t>Solo Ultimate Episode E-18</t>
  </si>
  <si>
    <t>SU-X-17-01</t>
  </si>
  <si>
    <t>S-X-15</t>
  </si>
  <si>
    <t>Solo Episode X-16</t>
  </si>
  <si>
    <t>SU-E-18</t>
  </si>
  <si>
    <t>S-X-16</t>
  </si>
  <si>
    <t>Solo Ultimate Episode A-19</t>
  </si>
  <si>
    <t>Solo Episode X-17</t>
  </si>
  <si>
    <t>SU-A-19</t>
  </si>
  <si>
    <t>S-X-17</t>
  </si>
  <si>
    <t>Solo Episode X-18</t>
  </si>
  <si>
    <t>space chamber</t>
  </si>
  <si>
    <t>Solo Ultimate Episode B-19</t>
  </si>
  <si>
    <t>S-X-18</t>
  </si>
  <si>
    <t>SU-B-19</t>
  </si>
  <si>
    <t>SU-X-17-02</t>
  </si>
  <si>
    <t>Solo Ultimate Episode C-19</t>
  </si>
  <si>
    <t>SU-C-19</t>
  </si>
  <si>
    <t>Solo Episode X-19</t>
  </si>
  <si>
    <t>Solo Ultimate Episode D-19</t>
  </si>
  <si>
    <t>SU-D-19</t>
  </si>
  <si>
    <t>chaotic attractors</t>
  </si>
  <si>
    <t>S-X-19</t>
  </si>
  <si>
    <t>Solo Ultimate Episode E-19</t>
  </si>
  <si>
    <t>SU-X-17-03</t>
  </si>
  <si>
    <t>SU-E-19</t>
  </si>
  <si>
    <t>Solo Ultimate Episode X-00</t>
  </si>
  <si>
    <t>SU-X-00</t>
  </si>
  <si>
    <t>network dynamics</t>
  </si>
  <si>
    <t>Solo Ultimate Episode X-01</t>
  </si>
  <si>
    <t>SU-X-01</t>
  </si>
  <si>
    <t>SU-X-17-04</t>
  </si>
  <si>
    <t>Solo Ultimate Episode X-02</t>
  </si>
  <si>
    <t>SU-X-02</t>
  </si>
  <si>
    <t>Solo Ultimate Episode X-03</t>
  </si>
  <si>
    <t>lumbricus</t>
  </si>
  <si>
    <t>SU-X-03</t>
  </si>
  <si>
    <t>SU-X-18-00</t>
  </si>
  <si>
    <t>Solo Ultimate Episode X-04</t>
  </si>
  <si>
    <t>SU-X-04</t>
  </si>
  <si>
    <t>Solo Ultimate Episode X-05</t>
  </si>
  <si>
    <t>terrifyingly sane</t>
  </si>
  <si>
    <t>SU-X-05</t>
  </si>
  <si>
    <t>Solo Ultimate Episode X-06</t>
  </si>
  <si>
    <t>SU-X-18-01</t>
  </si>
  <si>
    <t>SU-X-06</t>
  </si>
  <si>
    <t>Solo Ultimate Episode X-07</t>
  </si>
  <si>
    <t>rocket arena</t>
  </si>
  <si>
    <t>SU-X-07</t>
  </si>
  <si>
    <t>Solo Ultimate Episode X-08</t>
  </si>
  <si>
    <t>SU-X-18-02</t>
  </si>
  <si>
    <t>SU-X-08</t>
  </si>
  <si>
    <t>Solo Ultimate Episode X-09</t>
  </si>
  <si>
    <t>SU-X-09</t>
  </si>
  <si>
    <t>Solo Ultimate Episode X-10</t>
  </si>
  <si>
    <t>SU-X-10</t>
  </si>
  <si>
    <t>unknowable geometry</t>
  </si>
  <si>
    <t>Solo Ultimate Episode X-11</t>
  </si>
  <si>
    <t>SU-X-11</t>
  </si>
  <si>
    <t>SU-X-18-03</t>
  </si>
  <si>
    <t>Solo Ultimate Episode X-12</t>
  </si>
  <si>
    <t>SU-X-12</t>
  </si>
  <si>
    <t>oblivion seekers</t>
  </si>
  <si>
    <t>Solo Ultimate Episode X-13</t>
  </si>
  <si>
    <t>SU-X-18-04</t>
  </si>
  <si>
    <t>SU-X-13</t>
  </si>
  <si>
    <t>Solo Ultimate Episode X-14</t>
  </si>
  <si>
    <t>SU-X-14</t>
  </si>
  <si>
    <t>Solo Ultimate Episode X-15</t>
  </si>
  <si>
    <t>clone high</t>
  </si>
  <si>
    <t>N++&gt;Hardcore</t>
  </si>
  <si>
    <t>SU-X-15</t>
  </si>
  <si>
    <t>SU-X-19-00</t>
  </si>
  <si>
    <t>Solo Ultimate Episode X-16</t>
  </si>
  <si>
    <t>SU-X-16</t>
  </si>
  <si>
    <t>Solo Ultimate Episode X-17</t>
  </si>
  <si>
    <t>SU-X-17</t>
  </si>
  <si>
    <t>Solo Ultimate Episode X-18</t>
  </si>
  <si>
    <t>SU-X-18</t>
  </si>
  <si>
    <t>Solo Ultimate Episode X-19</t>
  </si>
  <si>
    <t>SU-X-19</t>
  </si>
  <si>
    <t>Hardcore Intro Story 00</t>
  </si>
  <si>
    <t>HI-00</t>
  </si>
  <si>
    <t>Hardcore Intro Story 01</t>
  </si>
  <si>
    <t>HI-01</t>
  </si>
  <si>
    <t>grandmastery</t>
  </si>
  <si>
    <t>Hardcore Intro Story 02</t>
  </si>
  <si>
    <t>HI-02</t>
  </si>
  <si>
    <t>SU-X-19-01</t>
  </si>
  <si>
    <t>Hardcore Intro Story 03</t>
  </si>
  <si>
    <t>HI-03</t>
  </si>
  <si>
    <t>Hardcore Intro Story 04</t>
  </si>
  <si>
    <t>wave of terror</t>
  </si>
  <si>
    <t>HI-04</t>
  </si>
  <si>
    <t>SU-X-19-02</t>
  </si>
  <si>
    <t>the tenth circle of hell</t>
  </si>
  <si>
    <t>SU-X-19-03</t>
  </si>
  <si>
    <t>destroyer of worlds</t>
  </si>
  <si>
    <t>SU-X-19-04</t>
  </si>
  <si>
    <t>Hardcore Ultimate Story 00</t>
  </si>
  <si>
    <t>HU-00</t>
  </si>
  <si>
    <t>Hardcore Ultimate Story 01</t>
  </si>
  <si>
    <t>Hardcore Story 00</t>
  </si>
  <si>
    <t>HU-01</t>
  </si>
  <si>
    <t>Hardcore Ultimate Story 02</t>
  </si>
  <si>
    <t>H-00</t>
  </si>
  <si>
    <t>HU-02</t>
  </si>
  <si>
    <t>Hardcore Ultimate Story 03</t>
  </si>
  <si>
    <t>Hardcore Story 01</t>
  </si>
  <si>
    <t>HU-03</t>
  </si>
  <si>
    <t>Hardcore Ultimate Story 04</t>
  </si>
  <si>
    <t>H-01</t>
  </si>
  <si>
    <t>HU-04</t>
  </si>
  <si>
    <t>Hardcore Ultimate Story 05</t>
  </si>
  <si>
    <t>HU-05</t>
  </si>
  <si>
    <t>Hardcore Ultimate Story 06</t>
  </si>
  <si>
    <t>Hardcore Story 02</t>
  </si>
  <si>
    <t>HU-06</t>
  </si>
  <si>
    <t>Hardcore Ultimate Story 07</t>
  </si>
  <si>
    <t>H-02</t>
  </si>
  <si>
    <t>HU-07</t>
  </si>
  <si>
    <t>Hardcore Ultimate Story 08</t>
  </si>
  <si>
    <t>Hardcore Story 03</t>
  </si>
  <si>
    <t>HU-08</t>
  </si>
  <si>
    <t>Hardcore Ultimate Story 09</t>
  </si>
  <si>
    <t>H-03</t>
  </si>
  <si>
    <t>HU-09</t>
  </si>
  <si>
    <t>Hardcore Story 04</t>
  </si>
  <si>
    <t>H-04</t>
  </si>
  <si>
    <t>Hardcore Story 05</t>
  </si>
  <si>
    <t>Hardcore Ultimate Story 10</t>
  </si>
  <si>
    <t>H-05</t>
  </si>
  <si>
    <t>HU-10</t>
  </si>
  <si>
    <t>Hardcore Story 06</t>
  </si>
  <si>
    <t>Hardcore Ultimate Story 11</t>
  </si>
  <si>
    <t>H-06</t>
  </si>
  <si>
    <t>HU-11</t>
  </si>
  <si>
    <t>Hardcore Ultimate Story 12</t>
  </si>
  <si>
    <t>Hardcore Story 07</t>
  </si>
  <si>
    <t>HU-12</t>
  </si>
  <si>
    <t>Hardcore Ultimate Story 13</t>
  </si>
  <si>
    <t>H-07</t>
  </si>
  <si>
    <t>HU-13</t>
  </si>
  <si>
    <t>Hardcore Story 08</t>
  </si>
  <si>
    <t>Hardcore Ultimate Story 14</t>
  </si>
  <si>
    <t>H-08</t>
  </si>
  <si>
    <t>Hardcore Story 09</t>
  </si>
  <si>
    <t>HU-14</t>
  </si>
  <si>
    <t>Hardcore Ultimate Story 15</t>
  </si>
  <si>
    <t>H-09</t>
  </si>
  <si>
    <t>HU-15</t>
  </si>
  <si>
    <t>Hardcore Story 10</t>
  </si>
  <si>
    <t>Hardcore Ultimate Story 16</t>
  </si>
  <si>
    <t>H-10</t>
  </si>
  <si>
    <t>HU-16</t>
  </si>
  <si>
    <t>Hardcore Story 11</t>
  </si>
  <si>
    <t>Hardcore Ultimate Story 17</t>
  </si>
  <si>
    <t>H-11</t>
  </si>
  <si>
    <t>HU-17</t>
  </si>
  <si>
    <t>Hardcore Story 12</t>
  </si>
  <si>
    <t>H-12</t>
  </si>
  <si>
    <t>Hardcore Story 13</t>
  </si>
  <si>
    <t>Hardcore Ultimate Story 18</t>
  </si>
  <si>
    <t>H-13</t>
  </si>
  <si>
    <t>Hardcore Story 14</t>
  </si>
  <si>
    <t>Hardcore Legacy Story 00</t>
  </si>
  <si>
    <t>HU-18</t>
  </si>
  <si>
    <t>H-14</t>
  </si>
  <si>
    <t>HL-00</t>
  </si>
  <si>
    <t>Hardcore Story 15</t>
  </si>
  <si>
    <t>Hardcore Legacy Story 01</t>
  </si>
  <si>
    <t>Hardcore Ultimate Story 19</t>
  </si>
  <si>
    <t>H-15</t>
  </si>
  <si>
    <t>HU-19</t>
  </si>
  <si>
    <t>HL-01</t>
  </si>
  <si>
    <t>Hardcore Story 16</t>
  </si>
  <si>
    <t>Hardcore Legacy Story 02</t>
  </si>
  <si>
    <t>H-16</t>
  </si>
  <si>
    <t>Hardcore Story 17</t>
  </si>
  <si>
    <t>HL-02</t>
  </si>
  <si>
    <t>H-17</t>
  </si>
  <si>
    <t>Hardcore Legacy Story 03</t>
  </si>
  <si>
    <t>HL-03</t>
  </si>
  <si>
    <t>Hardcore Legacy Story 04</t>
  </si>
  <si>
    <t>Hardcore Story 18</t>
  </si>
  <si>
    <t>HL-04</t>
  </si>
  <si>
    <t>Hardcore Legacy Story 05</t>
  </si>
  <si>
    <t>H-18</t>
  </si>
  <si>
    <t>Hardcore Story 19</t>
  </si>
  <si>
    <t>HL-05</t>
  </si>
  <si>
    <t>H-19</t>
  </si>
  <si>
    <t>Hardcore Legacy Story 06</t>
  </si>
  <si>
    <t>HL-06</t>
  </si>
  <si>
    <t>Hardcore Legacy Story 07</t>
  </si>
  <si>
    <t>HL-07</t>
  </si>
  <si>
    <t>Hardcore Legacy Story 08</t>
  </si>
  <si>
    <t>HL-08</t>
  </si>
  <si>
    <t>Hardcore Legacy Story 09</t>
  </si>
  <si>
    <t>HL-09</t>
  </si>
  <si>
    <t>Hardcore Legacy Story 10</t>
  </si>
  <si>
    <t>HL-10</t>
  </si>
  <si>
    <t>Hardcore Legacy Story 11</t>
  </si>
  <si>
    <t>HL-11</t>
  </si>
  <si>
    <t>Hardcore Legacy Story 12</t>
  </si>
  <si>
    <t>HL-12</t>
  </si>
  <si>
    <t>Hardcore Legacy Story 13</t>
  </si>
  <si>
    <t>HL-13</t>
  </si>
  <si>
    <t>Hardcore Legacy Story 14</t>
  </si>
  <si>
    <t>HL-14</t>
  </si>
  <si>
    <t>Hardcore Legacy Story 15</t>
  </si>
  <si>
    <t>HL-15</t>
  </si>
  <si>
    <t>N++&gt;Co-op&gt;Levels</t>
  </si>
  <si>
    <t>Hardcore Legacy Story 16</t>
  </si>
  <si>
    <t>HL-16</t>
  </si>
  <si>
    <t>Hardcore Legacy Story 17</t>
  </si>
  <si>
    <t>HL-17</t>
  </si>
  <si>
    <t>Hardcore Legacy Story 18</t>
  </si>
  <si>
    <t>HL-18</t>
  </si>
  <si>
    <t>Hardcore Legacy Story 19</t>
  </si>
  <si>
    <t>HL-19</t>
  </si>
  <si>
    <t>the basics, part c</t>
  </si>
  <si>
    <t>CI-A-00-00</t>
  </si>
  <si>
    <t>just the two of plus</t>
  </si>
  <si>
    <t>CI-A-00-01</t>
  </si>
  <si>
    <t>flip it</t>
  </si>
  <si>
    <t>CI-A-00-02</t>
  </si>
  <si>
    <t>collectors</t>
  </si>
  <si>
    <t>CI-A-00-03</t>
  </si>
  <si>
    <t>co-op catalogue of amazements</t>
  </si>
  <si>
    <t>CI-A-00-04</t>
  </si>
  <si>
    <t>core unlock sequence</t>
  </si>
  <si>
    <t>CI-B-00-00</t>
  </si>
  <si>
    <t>front and follow</t>
  </si>
  <si>
    <t>CI-B-00-01</t>
  </si>
  <si>
    <t>toggold</t>
  </si>
  <si>
    <t>CI-B-00-02</t>
  </si>
  <si>
    <t>blazered</t>
  </si>
  <si>
    <t>CI-B-00-03</t>
  </si>
  <si>
    <t>ready player two</t>
  </si>
  <si>
    <t>CI-B-00-04</t>
  </si>
  <si>
    <t>going out with several bangs</t>
  </si>
  <si>
    <t>CI-C-00-00</t>
  </si>
  <si>
    <t>always be cooperating</t>
  </si>
  <si>
    <t>CI-C-00-01</t>
  </si>
  <si>
    <t>introctagon</t>
  </si>
  <si>
    <t>CI-C-00-02</t>
  </si>
  <si>
    <t>co-operative anglonics</t>
  </si>
  <si>
    <t>CI-C-00-03</t>
  </si>
  <si>
    <t>personal histories</t>
  </si>
  <si>
    <t>CI-C-00-04</t>
  </si>
  <si>
    <t>they came from... behind...</t>
  </si>
  <si>
    <t>CI-D-00-00</t>
  </si>
  <si>
    <t>micro sheets</t>
  </si>
  <si>
    <t>CI-D-00-01</t>
  </si>
  <si>
    <t>turn-based strategy</t>
  </si>
  <si>
    <t>CI-D-00-02</t>
  </si>
  <si>
    <t>the thwumpening</t>
  </si>
  <si>
    <t>CI-D-00-03</t>
  </si>
  <si>
    <t>timing is nine tenths of the law</t>
  </si>
  <si>
    <t>CI-D-00-04</t>
  </si>
  <si>
    <t>CI-E-00-00</t>
  </si>
  <si>
    <t>youa culpa</t>
  </si>
  <si>
    <t>CI-E-00-01</t>
  </si>
  <si>
    <t>co-operation mechanism</t>
  </si>
  <si>
    <t>CI-E-00-02</t>
  </si>
  <si>
    <t>never mind the ball locks</t>
  </si>
  <si>
    <t>CI-E-00-03</t>
  </si>
  <si>
    <t>plus plus plus plus plus</t>
  </si>
  <si>
    <t>CI-E-00-04</t>
  </si>
  <si>
    <t>woonerf</t>
  </si>
  <si>
    <t>CI-A-01-00</t>
  </si>
  <si>
    <t>one shove</t>
  </si>
  <si>
    <t>CI-A-01-01</t>
  </si>
  <si>
    <t>tunnel theatrics</t>
  </si>
  <si>
    <t>CI-A-01-02</t>
  </si>
  <si>
    <t>chase space</t>
  </si>
  <si>
    <t>CI-A-01-03</t>
  </si>
  <si>
    <t>best foot forbackward</t>
  </si>
  <si>
    <t>CI-A-01-04</t>
  </si>
  <si>
    <t>rope of sand</t>
  </si>
  <si>
    <t>CI-B-01-00</t>
  </si>
  <si>
    <t>don't release the hounds</t>
  </si>
  <si>
    <t>CI-B-01-01</t>
  </si>
  <si>
    <t>essay-length laser level</t>
  </si>
  <si>
    <t>CI-B-01-02</t>
  </si>
  <si>
    <t>evil roommate</t>
  </si>
  <si>
    <t>CI-B-01-03</t>
  </si>
  <si>
    <t>leadership</t>
  </si>
  <si>
    <t>CI-B-01-04</t>
  </si>
  <si>
    <t>abco-op</t>
  </si>
  <si>
    <t>CI-C-01-00</t>
  </si>
  <si>
    <t>tumble</t>
  </si>
  <si>
    <t>co-op caving conundrum</t>
  </si>
  <si>
    <t>CI-C-01-01</t>
  </si>
  <si>
    <t>CL-A-00-00</t>
  </si>
  <si>
    <t>please turn to page 6 of your co-operation manual</t>
  </si>
  <si>
    <t>tunnel rats</t>
  </si>
  <si>
    <t>CI-C-01-02</t>
  </si>
  <si>
    <t>CL-A-00-01</t>
  </si>
  <si>
    <t>beveled and bedeviled</t>
  </si>
  <si>
    <t>chunky stripes</t>
  </si>
  <si>
    <t>CI-C-01-03</t>
  </si>
  <si>
    <t>cooperocket</t>
  </si>
  <si>
    <t>CI-C-01-04</t>
  </si>
  <si>
    <t>reuptake inhibitors</t>
  </si>
  <si>
    <t>CL-A-00-02</t>
  </si>
  <si>
    <t>CI-D-01-00</t>
  </si>
  <si>
    <t>mechanically separated ninja meat</t>
  </si>
  <si>
    <t>jops jumps jools</t>
  </si>
  <si>
    <t>CI-D-01-01</t>
  </si>
  <si>
    <t>CL-A-00-03</t>
  </si>
  <si>
    <t>switch hitter</t>
  </si>
  <si>
    <t>safety pits</t>
  </si>
  <si>
    <t>CI-D-01-02</t>
  </si>
  <si>
    <t>the great attractor</t>
  </si>
  <si>
    <t>CL-A-00-04</t>
  </si>
  <si>
    <t>CI-D-01-03</t>
  </si>
  <si>
    <t>ineffective patrol scheme</t>
  </si>
  <si>
    <t>a room of one's clones</t>
  </si>
  <si>
    <t>CL-B-00-00</t>
  </si>
  <si>
    <t>CI-D-01-04</t>
  </si>
  <si>
    <t>debate team</t>
  </si>
  <si>
    <t>pulse width 1</t>
  </si>
  <si>
    <t>CI-E-01-00</t>
  </si>
  <si>
    <t>in an orderly fashion</t>
  </si>
  <si>
    <t>C-A-00-00</t>
  </si>
  <si>
    <t>CL-B-00-01</t>
  </si>
  <si>
    <t>CI-E-01-01</t>
  </si>
  <si>
    <t>a symmetry</t>
  </si>
  <si>
    <t>deathloops</t>
  </si>
  <si>
    <t>CL-B-00-02</t>
  </si>
  <si>
    <t>CI-E-01-02</t>
  </si>
  <si>
    <t>thwump city: population 9</t>
  </si>
  <si>
    <t>laser escape plot</t>
  </si>
  <si>
    <t>CL-B-00-03</t>
  </si>
  <si>
    <t>I knew this was a one-way trip.</t>
  </si>
  <si>
    <t>a slice of death</t>
  </si>
  <si>
    <t>CI-E-01-03</t>
  </si>
  <si>
    <t>rounderground</t>
  </si>
  <si>
    <t>C-A-00-01</t>
  </si>
  <si>
    <t>CL-B-00-04</t>
  </si>
  <si>
    <t>CI-E-01-04</t>
  </si>
  <si>
    <t>creepy crossing</t>
  </si>
  <si>
    <t>CL-C-00-00</t>
  </si>
  <si>
    <t>joint mission</t>
  </si>
  <si>
    <t>meat helmets</t>
  </si>
  <si>
    <t>C-A-00-02</t>
  </si>
  <si>
    <t>CL-C-00-01</t>
  </si>
  <si>
    <t>spinning class</t>
  </si>
  <si>
    <t>CL-C-00-02</t>
  </si>
  <si>
    <t>plasmoid</t>
  </si>
  <si>
    <t>just don't touch it</t>
  </si>
  <si>
    <t>CL-C-00-03</t>
  </si>
  <si>
    <t>neck tick</t>
  </si>
  <si>
    <t>C-A-00-03</t>
  </si>
  <si>
    <t>CL-C-00-04</t>
  </si>
  <si>
    <t>shake that eye's hand</t>
  </si>
  <si>
    <t>defensive tackle</t>
  </si>
  <si>
    <t>CL-D-00-00</t>
  </si>
  <si>
    <t>there goes my hero</t>
  </si>
  <si>
    <t>C-A-00-04</t>
  </si>
  <si>
    <t>CL-D-00-01</t>
  </si>
  <si>
    <t>double grey diamond</t>
  </si>
  <si>
    <t>CL-D-00-02</t>
  </si>
  <si>
    <t>similarities</t>
  </si>
  <si>
    <t>memories of kobe</t>
  </si>
  <si>
    <t>C-B-00-00</t>
  </si>
  <si>
    <t>CL-D-00-03</t>
  </si>
  <si>
    <t>shasta</t>
  </si>
  <si>
    <t>cooper</t>
  </si>
  <si>
    <t>CL-D-00-04</t>
  </si>
  <si>
    <t>tempt job</t>
  </si>
  <si>
    <t>C-B-00-01</t>
  </si>
  <si>
    <t>CL-E-00-00</t>
  </si>
  <si>
    <t>hustle</t>
  </si>
  <si>
    <t>N++&gt;Players</t>
  </si>
  <si>
    <t>CL-E-00-01</t>
  </si>
  <si>
    <t>hold on</t>
  </si>
  <si>
    <t>sigils</t>
  </si>
  <si>
    <t>CL-E-00-02</t>
  </si>
  <si>
    <t>C-B-00-02</t>
  </si>
  <si>
    <t>omegaman</t>
  </si>
  <si>
    <t>Players Featured In Video Library</t>
  </si>
  <si>
    <t>CL-E-00-03</t>
  </si>
  <si>
    <t>hazardous</t>
  </si>
  <si>
    <t>division of labour</t>
  </si>
  <si>
    <t>CL-E-00-04</t>
  </si>
  <si>
    <t>mux</t>
  </si>
  <si>
    <t>[ABA]</t>
  </si>
  <si>
    <t>ababab777</t>
  </si>
  <si>
    <t>C-B-00-03</t>
  </si>
  <si>
    <t>CL-A-01-00</t>
  </si>
  <si>
    <t>killswatch</t>
  </si>
  <si>
    <t>darting</t>
  </si>
  <si>
    <t>CL-A-01-01</t>
  </si>
  <si>
    <t>everyone loves a cave</t>
  </si>
  <si>
    <t>C-B-00-04</t>
  </si>
  <si>
    <t>CL-A-01-02</t>
  </si>
  <si>
    <t>west enderson</t>
  </si>
  <si>
    <t>CL-A-01-03</t>
  </si>
  <si>
    <t>🕒</t>
  </si>
  <si>
    <t>corridor</t>
  </si>
  <si>
    <t>nontrivial split</t>
  </si>
  <si>
    <t>CL-A-01-04</t>
  </si>
  <si>
    <t>C-C-00-00</t>
  </si>
  <si>
    <t>..and yet so far.</t>
  </si>
  <si>
    <t>[AWE]</t>
  </si>
  <si>
    <t>Awein</t>
  </si>
  <si>
    <t>CL-B-01-00</t>
  </si>
  <si>
    <t>ninja's first tight squeeze</t>
  </si>
  <si>
    <t>right angles</t>
  </si>
  <si>
    <t>CL-B-01-01</t>
  </si>
  <si>
    <t>C-C-00-01</t>
  </si>
  <si>
    <t>laying in wait</t>
  </si>
  <si>
    <t>CL-B-01-02</t>
  </si>
  <si>
    <t>hillock pillock</t>
  </si>
  <si>
    <t>brain stems</t>
  </si>
  <si>
    <t>CL-B-01-03</t>
  </si>
  <si>
    <t>[CAM]</t>
  </si>
  <si>
    <t>C-C-00-02</t>
  </si>
  <si>
    <t>ibcamwhobu</t>
  </si>
  <si>
    <t>strugs</t>
  </si>
  <si>
    <t>CL-B-01-04</t>
  </si>
  <si>
    <t>rampart</t>
  </si>
  <si>
    <t>column major</t>
  </si>
  <si>
    <t>CL-C-01-00</t>
  </si>
  <si>
    <t>fifth column</t>
  </si>
  <si>
    <t>C-C-00-03</t>
  </si>
  <si>
    <t>[CHB]</t>
  </si>
  <si>
    <t>Chebyshevrolet</t>
  </si>
  <si>
    <t>CL-C-01-01</t>
  </si>
  <si>
    <t>wrecked tangle</t>
  </si>
  <si>
    <t>split and merge</t>
  </si>
  <si>
    <t>CL-C-01-02</t>
  </si>
  <si>
    <t>circulator</t>
  </si>
  <si>
    <t>[EKI]</t>
  </si>
  <si>
    <t>ekisacik</t>
  </si>
  <si>
    <t>CL-C-01-03</t>
  </si>
  <si>
    <t>C-C-00-04</t>
  </si>
  <si>
    <t>blame yourself</t>
  </si>
  <si>
    <t>CL-C-01-04</t>
  </si>
  <si>
    <t>duty cycle 2</t>
  </si>
  <si>
    <t>big and little</t>
  </si>
  <si>
    <t>CL-D-01-00</t>
  </si>
  <si>
    <t>the long mover, or the windy man</t>
  </si>
  <si>
    <t>[ES2]</t>
  </si>
  <si>
    <t>Alpha Espy's brother</t>
  </si>
  <si>
    <t>C-D-00-00</t>
  </si>
  <si>
    <t>CL-D-01-01</t>
  </si>
  <si>
    <t>pity the fool</t>
  </si>
  <si>
    <t>[ESP]</t>
  </si>
  <si>
    <t>Alpha Espy</t>
  </si>
  <si>
    <t>CL-D-01-02</t>
  </si>
  <si>
    <t>heavily interlaced</t>
  </si>
  <si>
    <t>jag</t>
  </si>
  <si>
    <t>C-D-00-01</t>
  </si>
  <si>
    <t>CL-D-01-03</t>
  </si>
  <si>
    <t>assembly line</t>
  </si>
  <si>
    <t>the slammer</t>
  </si>
  <si>
    <t>CL-D-01-04</t>
  </si>
  <si>
    <t>[FNY]</t>
  </si>
  <si>
    <t>Fnyt</t>
  </si>
  <si>
    <t>C-D-00-02</t>
  </si>
  <si>
    <t>Hootie McNoobs</t>
  </si>
  <si>
    <t>CL-E-01-00</t>
  </si>
  <si>
    <t>crisscrossy roads</t>
  </si>
  <si>
    <t>scention</t>
  </si>
  <si>
    <t>C-D-00-03</t>
  </si>
  <si>
    <t>[GEA]</t>
  </si>
  <si>
    <t>Geal</t>
  </si>
  <si>
    <t>CL-E-01-01</t>
  </si>
  <si>
    <t>equality</t>
  </si>
  <si>
    <t>the borbs</t>
  </si>
  <si>
    <t>CL-E-01-02</t>
  </si>
  <si>
    <t>C-D-00-04</t>
  </si>
  <si>
    <t>stronghold</t>
  </si>
  <si>
    <t>CL-E-01-03</t>
  </si>
  <si>
    <t>life support</t>
  </si>
  <si>
    <t>[GOL]</t>
  </si>
  <si>
    <t>golfkid</t>
  </si>
  <si>
    <t>zap walls</t>
  </si>
  <si>
    <t>CL-E-01-04</t>
  </si>
  <si>
    <t>C-E-00-00</t>
  </si>
  <si>
    <t>rooms full of gold</t>
  </si>
  <si>
    <t>CL-A-02-00</t>
  </si>
  <si>
    <t>co-op chimney climb</t>
  </si>
  <si>
    <t>ocupado</t>
  </si>
  <si>
    <t>CL-A-02-01</t>
  </si>
  <si>
    <t>dig it</t>
  </si>
  <si>
    <t>C-E-00-01</t>
  </si>
  <si>
    <t>[HGB]</t>
  </si>
  <si>
    <t>HorribleGBlob</t>
  </si>
  <si>
    <t>CL-A-02-02</t>
  </si>
  <si>
    <t>Act II - The Chase</t>
  </si>
  <si>
    <t>my iron lungs</t>
  </si>
  <si>
    <t>C-E-00-02</t>
  </si>
  <si>
    <t>CL-A-02-03</t>
  </si>
  <si>
    <t>extra credit</t>
  </si>
  <si>
    <t>CL-A-02-04</t>
  </si>
  <si>
    <t>[HIT]</t>
  </si>
  <si>
    <t>hitfreezy</t>
  </si>
  <si>
    <t>fools rush in</t>
  </si>
  <si>
    <t>C-E-00-03</t>
  </si>
  <si>
    <t>the old run n' jump</t>
  </si>
  <si>
    <t>CL-B-02-00</t>
  </si>
  <si>
    <t>[KOS]</t>
  </si>
  <si>
    <t>Kostucha</t>
  </si>
  <si>
    <t>shared space</t>
  </si>
  <si>
    <t>all-sparked</t>
  </si>
  <si>
    <t>C-E-00-04</t>
  </si>
  <si>
    <t>CL-B-02-01</t>
  </si>
  <si>
    <t>undercropping</t>
  </si>
  <si>
    <t>CL-B-02-02</t>
  </si>
  <si>
    <t>champloo fortress</t>
  </si>
  <si>
    <t>sinc</t>
  </si>
  <si>
    <t>CL-B-02-03</t>
  </si>
  <si>
    <t>C-A-01-00</t>
  </si>
  <si>
    <t>the skinny</t>
  </si>
  <si>
    <t>[MAE]</t>
  </si>
  <si>
    <t>MaelstroM</t>
  </si>
  <si>
    <t>CL-B-02-04</t>
  </si>
  <si>
    <t>conduit</t>
  </si>
  <si>
    <t>yours or mines?</t>
  </si>
  <si>
    <t>CL-C-02-00</t>
  </si>
  <si>
    <t>C-A-01-01</t>
  </si>
  <si>
    <t>archeology professor</t>
  </si>
  <si>
    <t>[MAQ]</t>
  </si>
  <si>
    <t xml:space="preserve">Maqrkk </t>
  </si>
  <si>
    <t>CL-C-02-01</t>
  </si>
  <si>
    <t>help</t>
  </si>
  <si>
    <t>the seven circles</t>
  </si>
  <si>
    <t>CL-C-02-02</t>
  </si>
  <si>
    <t>daring don't</t>
  </si>
  <si>
    <t>C-A-01-02</t>
  </si>
  <si>
    <t>[MOL]</t>
  </si>
  <si>
    <t>MoleTrooper</t>
  </si>
  <si>
    <t>CL-C-02-03</t>
  </si>
  <si>
    <t>holdin'</t>
  </si>
  <si>
    <t>forcey</t>
  </si>
  <si>
    <t>CL-C-02-04</t>
  </si>
  <si>
    <t>C-A-01-03</t>
  </si>
  <si>
    <t>vestibule</t>
  </si>
  <si>
    <t>CL-D-02-00</t>
  </si>
  <si>
    <t>army of two to four</t>
  </si>
  <si>
    <t>cyberstructure</t>
  </si>
  <si>
    <t>[NIM]</t>
  </si>
  <si>
    <t>Untamed Nim</t>
  </si>
  <si>
    <t>CL-D-02-01</t>
  </si>
  <si>
    <t>C-A-01-04</t>
  </si>
  <si>
    <t>co-operation, working together (dig it)</t>
  </si>
  <si>
    <t>CL-D-02-02</t>
  </si>
  <si>
    <t>emergent patterns</t>
  </si>
  <si>
    <t>[PBR]</t>
  </si>
  <si>
    <t>poober</t>
  </si>
  <si>
    <t>RSBLSB</t>
  </si>
  <si>
    <t>CL-D-02-03</t>
  </si>
  <si>
    <t>C-B-01-00</t>
  </si>
  <si>
    <t>cache</t>
  </si>
  <si>
    <t>CL-D-02-04</t>
  </si>
  <si>
    <t>chomplor</t>
  </si>
  <si>
    <t>[SCO]</t>
  </si>
  <si>
    <t>scottm</t>
  </si>
  <si>
    <t>miroir</t>
  </si>
  <si>
    <t>CL-E-02-00</t>
  </si>
  <si>
    <t>teamsters</t>
  </si>
  <si>
    <t>C-B-01-01</t>
  </si>
  <si>
    <t>CL-E-02-01</t>
  </si>
  <si>
    <t>get the thwump outta here!</t>
  </si>
  <si>
    <t>[SKY]</t>
  </si>
  <si>
    <t>Skylighter++</t>
  </si>
  <si>
    <t>CL-E-02-02</t>
  </si>
  <si>
    <t>desperate</t>
  </si>
  <si>
    <t>esprit de corpse</t>
  </si>
  <si>
    <t>CL-E-02-03</t>
  </si>
  <si>
    <t>C-B-01-02</t>
  </si>
  <si>
    <t>lose your way</t>
  </si>
  <si>
    <t>hurry jodie get there</t>
  </si>
  <si>
    <t>[SUN]</t>
  </si>
  <si>
    <t>sunruibt</t>
  </si>
  <si>
    <t>CL-E-02-04</t>
  </si>
  <si>
    <t>anti-grav ninjas</t>
  </si>
  <si>
    <t>C-B-01-03</t>
  </si>
  <si>
    <t>CL-A-03-00</t>
  </si>
  <si>
    <t>flown</t>
  </si>
  <si>
    <t>[SYS]</t>
  </si>
  <si>
    <t>systeminspired</t>
  </si>
  <si>
    <t>fish barrels</t>
  </si>
  <si>
    <t>CL-A-03-01</t>
  </si>
  <si>
    <t>carbonite</t>
  </si>
  <si>
    <t>C-B-01-04</t>
  </si>
  <si>
    <t>CL-A-03-02</t>
  </si>
  <si>
    <t>mortal coils</t>
  </si>
  <si>
    <t>[TST]</t>
  </si>
  <si>
    <t>Toaster</t>
  </si>
  <si>
    <t>CL-A-03-03</t>
  </si>
  <si>
    <t>quadricular vunnels</t>
  </si>
  <si>
    <t>who let the NOOOooo...</t>
  </si>
  <si>
    <t>CL-A-03-04</t>
  </si>
  <si>
    <t>C-C-01-00</t>
  </si>
  <si>
    <t>chimney sweeps</t>
  </si>
  <si>
    <t>[WHA]</t>
  </si>
  <si>
    <t>Whamboss</t>
  </si>
  <si>
    <t>CL-B-03-00</t>
  </si>
  <si>
    <t>rocket lawn chairs</t>
  </si>
  <si>
    <t>starry starry plight</t>
  </si>
  <si>
    <t>In Progress</t>
  </si>
  <si>
    <t>[XEL]</t>
  </si>
  <si>
    <t>xela</t>
  </si>
  <si>
    <t>CL-B-03-01</t>
  </si>
  <si>
    <t>system shock</t>
  </si>
  <si>
    <t>C-C-01-01</t>
  </si>
  <si>
    <t>CL-B-03-02</t>
  </si>
  <si>
    <t>radioactive clover</t>
  </si>
  <si>
    <t>CL-B-03-03</t>
  </si>
  <si>
    <t>by one's own petard</t>
  </si>
  <si>
    <t>CL-B-03-04</t>
  </si>
  <si>
    <t>a stylish death</t>
  </si>
  <si>
    <t>manimal lust</t>
  </si>
  <si>
    <t>C-C-01-02</t>
  </si>
  <si>
    <t>CL-C-03-00</t>
  </si>
  <si>
    <t>beedrill C</t>
  </si>
  <si>
    <t>CL-C-03-01</t>
  </si>
  <si>
    <t>hillside stroll</t>
  </si>
  <si>
    <t>closer encounters</t>
  </si>
  <si>
    <t>CL-C-03-02</t>
  </si>
  <si>
    <t>C-C-01-03</t>
  </si>
  <si>
    <t>blockade runner A</t>
  </si>
  <si>
    <t>CL-C-03-03</t>
  </si>
  <si>
    <t>juice tiger</t>
  </si>
  <si>
    <t>neutral zone</t>
  </si>
  <si>
    <t>C-C-01-04</t>
  </si>
  <si>
    <t>CL-C-03-04</t>
  </si>
  <si>
    <t>grindhouse</t>
  </si>
  <si>
    <t>CL-D-03-00</t>
  </si>
  <si>
    <t>breen district</t>
  </si>
  <si>
    <t>ghostly</t>
  </si>
  <si>
    <t>CL-D-03-01</t>
  </si>
  <si>
    <t>asterisking your asterisk</t>
  </si>
  <si>
    <t>C-D-01-00</t>
  </si>
  <si>
    <t>CL-D-03-02</t>
  </si>
  <si>
    <t>comms</t>
  </si>
  <si>
    <t>CL-D-03-03</t>
  </si>
  <si>
    <t>tough as snails</t>
  </si>
  <si>
    <t>systematic</t>
  </si>
  <si>
    <t>CL-D-03-04</t>
  </si>
  <si>
    <t>C-D-01-01</t>
  </si>
  <si>
    <t>primary relay</t>
  </si>
  <si>
    <t>CL-E-03-00</t>
  </si>
  <si>
    <t>another dimension</t>
  </si>
  <si>
    <t>skill-testing questions</t>
  </si>
  <si>
    <t>C-D-01-02</t>
  </si>
  <si>
    <t>CL-E-03-01</t>
  </si>
  <si>
    <t>mazy mazerino</t>
  </si>
  <si>
    <t>CL-E-03-02</t>
  </si>
  <si>
    <t>foot traffic</t>
  </si>
  <si>
    <t>rectilinear</t>
  </si>
  <si>
    <t>C-D-01-03</t>
  </si>
  <si>
    <t>CL-E-03-03</t>
  </si>
  <si>
    <t>death march</t>
  </si>
  <si>
    <t>abstract drainage mission</t>
  </si>
  <si>
    <t>CL-E-03-04</t>
  </si>
  <si>
    <t>ninja turtle</t>
  </si>
  <si>
    <t>C-D-01-04</t>
  </si>
  <si>
    <t>CL-X-00-00</t>
  </si>
  <si>
    <t>precision jumpspersonship</t>
  </si>
  <si>
    <t>wiggler rooms</t>
  </si>
  <si>
    <t>CL-X-00-01</t>
  </si>
  <si>
    <t>pressurizer</t>
  </si>
  <si>
    <t>C-E-01-00</t>
  </si>
  <si>
    <t>CL-X-00-02</t>
  </si>
  <si>
    <t>don't even kid yourself</t>
  </si>
  <si>
    <t>givens rotations</t>
  </si>
  <si>
    <t>CL-X-00-03</t>
  </si>
  <si>
    <t>Solo</t>
  </si>
  <si>
    <t>save the best for last</t>
  </si>
  <si>
    <t>C-E-01-01</t>
  </si>
  <si>
    <t>Co-op</t>
  </si>
  <si>
    <t>TOTAL</t>
  </si>
  <si>
    <t>CL-X-00-04</t>
  </si>
  <si>
    <t>snzappers</t>
  </si>
  <si>
    <t>our very favourite fearscape</t>
  </si>
  <si>
    <t>CL-X-01-00</t>
  </si>
  <si>
    <t>C-E-01-02</t>
  </si>
  <si>
    <t>tension</t>
  </si>
  <si>
    <t>i'm in all the way to hell</t>
  </si>
  <si>
    <t>CL-X-01-01</t>
  </si>
  <si>
    <t>C-E-01-03</t>
  </si>
  <si>
    <t>n it together</t>
  </si>
  <si>
    <t>CL-X-01-02</t>
  </si>
  <si>
    <t>coordination problem</t>
  </si>
  <si>
    <t>baited breath</t>
  </si>
  <si>
    <t>C-E-01-04</t>
  </si>
  <si>
    <t>CL-X-01-03</t>
  </si>
  <si>
    <t>the buddy system</t>
  </si>
  <si>
    <t>CL-X-01-04</t>
  </si>
  <si>
    <t>laggard</t>
  </si>
  <si>
    <t>khaaaaaaaan!</t>
  </si>
  <si>
    <t>C-A-02-00</t>
  </si>
  <si>
    <t>CL-X-02-00</t>
  </si>
  <si>
    <t>as fast as you can</t>
  </si>
  <si>
    <t>CL-X-02-01</t>
  </si>
  <si>
    <t>propinquity</t>
  </si>
  <si>
    <t>C-A-02-01</t>
  </si>
  <si>
    <t>a wash of diamonds</t>
  </si>
  <si>
    <t>dragon's teeth</t>
  </si>
  <si>
    <t>C-A-02-02</t>
  </si>
  <si>
    <t>CL-X-02-02</t>
  </si>
  <si>
    <t>ingress</t>
  </si>
  <si>
    <t>CL-X-02-03</t>
  </si>
  <si>
    <t>the friendship tester</t>
  </si>
  <si>
    <t>mendacious bonus junkies</t>
  </si>
  <si>
    <t>CL-X-02-04</t>
  </si>
  <si>
    <t>C-A-02-03</t>
  </si>
  <si>
    <t>dizzy spiels</t>
  </si>
  <si>
    <t>CL-X-03-00</t>
  </si>
  <si>
    <t>ninja popcorn</t>
  </si>
  <si>
    <t>rauseresque</t>
  </si>
  <si>
    <t>CL-X-03-01</t>
  </si>
  <si>
    <t>C-A-02-04</t>
  </si>
  <si>
    <t>rien ne va plus</t>
  </si>
  <si>
    <t>CL-X-03-02</t>
  </si>
  <si>
    <t>breath control</t>
  </si>
  <si>
    <t>hop-scotch</t>
  </si>
  <si>
    <t>CL-X-03-03</t>
  </si>
  <si>
    <t>C-B-02-00</t>
  </si>
  <si>
    <t>the waiting game</t>
  </si>
  <si>
    <t>CL-X-03-04</t>
  </si>
  <si>
    <t>polka, dot?</t>
  </si>
  <si>
    <t>octilinear stacks</t>
  </si>
  <si>
    <t>C-B-02-01</t>
  </si>
  <si>
    <t>diversionary</t>
  </si>
  <si>
    <t>CL-A-04-00</t>
  </si>
  <si>
    <t>do not taunt happy fun ball</t>
  </si>
  <si>
    <t>C-B-02-02</t>
  </si>
  <si>
    <t>CL-A-04-01</t>
  </si>
  <si>
    <t>tri tri again</t>
  </si>
  <si>
    <t>a farewell to limbs</t>
  </si>
  <si>
    <t>CL-A-04-02</t>
  </si>
  <si>
    <t>cyclic coordinate descent</t>
  </si>
  <si>
    <t>C-B-02-03</t>
  </si>
  <si>
    <t>CL-A-04-03</t>
  </si>
  <si>
    <t>avantegardism</t>
  </si>
  <si>
    <t>take cover</t>
  </si>
  <si>
    <t>CL-A-04-04</t>
  </si>
  <si>
    <t>pulse width 2</t>
  </si>
  <si>
    <t>C-B-02-04</t>
  </si>
  <si>
    <t>CL-B-04-00</t>
  </si>
  <si>
    <t>subterranean homesick golds</t>
  </si>
  <si>
    <t>accretion</t>
  </si>
  <si>
    <t>CL-B-04-01</t>
  </si>
  <si>
    <t>vernacular</t>
  </si>
  <si>
    <t>C-C-02-00</t>
  </si>
  <si>
    <t>CL-B-04-02</t>
  </si>
  <si>
    <t>boogie</t>
  </si>
  <si>
    <t>careful in the control chamber</t>
  </si>
  <si>
    <t>C-C-02-01</t>
  </si>
  <si>
    <t>lovers in a ridiculously dangerous space</t>
  </si>
  <si>
    <t>CL-B-04-03</t>
  </si>
  <si>
    <t>ndiana jones</t>
  </si>
  <si>
    <t>C-C-02-02</t>
  </si>
  <si>
    <t>CL-B-04-04</t>
  </si>
  <si>
    <t>dubbly</t>
  </si>
  <si>
    <t>offriended</t>
  </si>
  <si>
    <t>CL-C-04-00</t>
  </si>
  <si>
    <t>duty cycle 1</t>
  </si>
  <si>
    <t>CL-C-04-01</t>
  </si>
  <si>
    <t>C-C-02-03</t>
  </si>
  <si>
    <t>co-ordinateur</t>
  </si>
  <si>
    <t>CL-C-04-02</t>
  </si>
  <si>
    <t>la suisse deux</t>
  </si>
  <si>
    <t>it's kicking off</t>
  </si>
  <si>
    <t>CL-C-04-03</t>
  </si>
  <si>
    <t>C-C-02-04</t>
  </si>
  <si>
    <t>parallel universe</t>
  </si>
  <si>
    <t>CL-C-04-04</t>
  </si>
  <si>
    <t>spiral arms</t>
  </si>
  <si>
    <t>critical dependancy</t>
  </si>
  <si>
    <t>C-D-02-00</t>
  </si>
  <si>
    <t>Levels</t>
  </si>
  <si>
    <t>CL-D-04-00</t>
  </si>
  <si>
    <t>Episodes</t>
  </si>
  <si>
    <t>peril.. 'ello? blam!!</t>
  </si>
  <si>
    <t>Ult.</t>
  </si>
  <si>
    <t>laser bait</t>
  </si>
  <si>
    <t>CL-D-04-01</t>
  </si>
  <si>
    <t>stumped B</t>
  </si>
  <si>
    <t>C-D-02-01</t>
  </si>
  <si>
    <t>CL-D-04-02</t>
  </si>
  <si>
    <t>pop quiz, hotshots</t>
  </si>
  <si>
    <t>holding pattern</t>
  </si>
  <si>
    <t>CL-D-04-03</t>
  </si>
  <si>
    <t>piqued</t>
  </si>
  <si>
    <t>C-D-02-02</t>
  </si>
  <si>
    <t>CL-D-04-04</t>
  </si>
  <si>
    <t>trickety boom</t>
  </si>
  <si>
    <t>super familiar computer</t>
  </si>
  <si>
    <t>CL-E-04-00</t>
  </si>
  <si>
    <t>thwart hog</t>
  </si>
  <si>
    <t>C-D-02-03</t>
  </si>
  <si>
    <t>CL-E-04-01</t>
  </si>
  <si>
    <t>surfacing</t>
  </si>
  <si>
    <t>unspooly</t>
  </si>
  <si>
    <t>CL-E-04-02</t>
  </si>
  <si>
    <t>C-D-02-04</t>
  </si>
  <si>
    <t>slow going</t>
  </si>
  <si>
    <t>CL-E-04-03</t>
  </si>
  <si>
    <t>the sum of all numbers</t>
  </si>
  <si>
    <t>follower count</t>
  </si>
  <si>
    <t>CL-E-04-04</t>
  </si>
  <si>
    <t>C-E-02-00</t>
  </si>
  <si>
    <t>arch rival</t>
  </si>
  <si>
    <t>CL-A-05-00</t>
  </si>
  <si>
    <t>entanglement</t>
  </si>
  <si>
    <t>softly</t>
  </si>
  <si>
    <t>C-E-02-01</t>
  </si>
  <si>
    <t>CL-A-05-01</t>
  </si>
  <si>
    <t>maw</t>
  </si>
  <si>
    <t>CL-A-05-02</t>
  </si>
  <si>
    <t>quiz tail</t>
  </si>
  <si>
    <t>ancient rubber room</t>
  </si>
  <si>
    <t>C-E-02-02</t>
  </si>
  <si>
    <t>CL-A-05-03</t>
  </si>
  <si>
    <t>gator back</t>
  </si>
  <si>
    <t>secret service style</t>
  </si>
  <si>
    <t>CL-A-05-04</t>
  </si>
  <si>
    <t>C-E-02-03</t>
  </si>
  <si>
    <t>broken hearted</t>
  </si>
  <si>
    <t>CL-B-05-00</t>
  </si>
  <si>
    <t>jump at the gold 2: slope to wall</t>
  </si>
  <si>
    <t>assembly</t>
  </si>
  <si>
    <t>CL-B-05-01</t>
  </si>
  <si>
    <t>C-E-02-04</t>
  </si>
  <si>
    <t>scarper</t>
  </si>
  <si>
    <t>CL-B-05-02</t>
  </si>
  <si>
    <t>contrariwise movement</t>
  </si>
  <si>
    <t>CL-B-05-03</t>
  </si>
  <si>
    <t>C-A-03-00</t>
  </si>
  <si>
    <t>tome of aspersions</t>
  </si>
  <si>
    <t>CL-B-05-04</t>
  </si>
  <si>
    <t>cognition</t>
  </si>
  <si>
    <t>a lovely stroll</t>
  </si>
  <si>
    <t>CL-C-05-00</t>
  </si>
  <si>
    <t>C-A-03-01</t>
  </si>
  <si>
    <t>ladders are for wimps</t>
  </si>
  <si>
    <t>CL-C-05-01</t>
  </si>
  <si>
    <t>heartland</t>
  </si>
  <si>
    <t>workshop</t>
  </si>
  <si>
    <t>C-A-03-02</t>
  </si>
  <si>
    <t>CL-C-05-02</t>
  </si>
  <si>
    <t>panic bomb</t>
  </si>
  <si>
    <t>CL-C-05-03</t>
  </si>
  <si>
    <t>some signs of fortress</t>
  </si>
  <si>
    <t>dogs and the robots that love them</t>
  </si>
  <si>
    <t>C-A-03-03</t>
  </si>
  <si>
    <t>CL-C-05-04</t>
  </si>
  <si>
    <t>deathwich</t>
  </si>
  <si>
    <t>CL-D-05-00</t>
  </si>
  <si>
    <t>greebled hillscape</t>
  </si>
  <si>
    <t>burning chrome</t>
  </si>
  <si>
    <t>C-A-03-04</t>
  </si>
  <si>
    <t>CL-D-05-01</t>
  </si>
  <si>
    <t>making it look easy-medium</t>
  </si>
  <si>
    <t>precision required</t>
  </si>
  <si>
    <t>C-B-03-00</t>
  </si>
  <si>
    <t>CL-D-05-02</t>
  </si>
  <si>
    <t>haiku</t>
  </si>
  <si>
    <t>CL-D-05-03</t>
  </si>
  <si>
    <t>pendant</t>
  </si>
  <si>
    <t>disembark</t>
  </si>
  <si>
    <t>C-B-03-01</t>
  </si>
  <si>
    <t>CL-D-05-04</t>
  </si>
  <si>
    <t>soar</t>
  </si>
  <si>
    <t>CL-E-05-00</t>
  </si>
  <si>
    <t>golden braid</t>
  </si>
  <si>
    <t>covering up and down</t>
  </si>
  <si>
    <t>CL-E-05-01</t>
  </si>
  <si>
    <t>C-B-03-02</t>
  </si>
  <si>
    <t>climbing buddy</t>
  </si>
  <si>
    <t>CL-E-05-02</t>
  </si>
  <si>
    <t>cagey</t>
  </si>
  <si>
    <t>cavalcaves</t>
  </si>
  <si>
    <t>CL-E-05-03</t>
  </si>
  <si>
    <t>C-B-03-03</t>
  </si>
  <si>
    <t>ASDIC operator</t>
  </si>
  <si>
    <t>CL-E-05-04</t>
  </si>
  <si>
    <t>mind grapes</t>
  </si>
  <si>
    <t>in and out burgle</t>
  </si>
  <si>
    <t>CL-A-06-00</t>
  </si>
  <si>
    <t>dixie flatline</t>
  </si>
  <si>
    <t>C-B-03-04</t>
  </si>
  <si>
    <t>CL-A-06-01</t>
  </si>
  <si>
    <t>didactic ascent</t>
  </si>
  <si>
    <t>DBs</t>
  </si>
  <si>
    <t>CL-A-06-02</t>
  </si>
  <si>
    <t>ninja's first control problem</t>
  </si>
  <si>
    <t>C-C-03-00</t>
  </si>
  <si>
    <t>CL-A-06-03</t>
  </si>
  <si>
    <t>i have a bad feeling about this</t>
  </si>
  <si>
    <t>silently waiting</t>
  </si>
  <si>
    <t>CL-A-06-04</t>
  </si>
  <si>
    <t>C-C-03-01</t>
  </si>
  <si>
    <t>werewolf barmitzvah</t>
  </si>
  <si>
    <t>CL-B-06-00</t>
  </si>
  <si>
    <t>superliminal monument</t>
  </si>
  <si>
    <t>twinverted</t>
  </si>
  <si>
    <t>CL-B-06-01</t>
  </si>
  <si>
    <t>C-C-03-02</t>
  </si>
  <si>
    <t>quite quietly quaint, in a quaintly quiet, sort of quietly quaint way</t>
  </si>
  <si>
    <t>CL-B-06-02</t>
  </si>
  <si>
    <t>low overhead</t>
  </si>
  <si>
    <t>symmetric clockwork</t>
  </si>
  <si>
    <t>CL-B-06-03</t>
  </si>
  <si>
    <t>C-C-03-03</t>
  </si>
  <si>
    <t>bring a friend</t>
  </si>
  <si>
    <t>CL-B-06-04</t>
  </si>
  <si>
    <t>lazy river run</t>
  </si>
  <si>
    <t>boundisher</t>
  </si>
  <si>
    <t>C-C-03-04</t>
  </si>
  <si>
    <t>CL-C-06-00</t>
  </si>
  <si>
    <t>laser tag</t>
  </si>
  <si>
    <t>CL-C-06-01</t>
  </si>
  <si>
    <t>pachinko-esque</t>
  </si>
  <si>
    <t>clog in the torso chute</t>
  </si>
  <si>
    <t>C-D-03-00</t>
  </si>
  <si>
    <t>CL-C-06-02</t>
  </si>
  <si>
    <t>mirror image</t>
  </si>
  <si>
    <t>go your own way</t>
  </si>
  <si>
    <t>CL-C-06-03</t>
  </si>
  <si>
    <t>C-D-03-01</t>
  </si>
  <si>
    <t>challengeru benderu</t>
  </si>
  <si>
    <t>CL-C-06-04</t>
  </si>
  <si>
    <t>meeting</t>
  </si>
  <si>
    <t>crampons</t>
  </si>
  <si>
    <t>C-D-03-02</t>
  </si>
  <si>
    <t>CL-D-06-00</t>
  </si>
  <si>
    <t>pillory</t>
  </si>
  <si>
    <t>CL-D-06-01</t>
  </si>
  <si>
    <t>hasten ye twixt thine robotic adversaries</t>
  </si>
  <si>
    <t>postcarious</t>
  </si>
  <si>
    <t>C-D-03-03</t>
  </si>
  <si>
    <t>CL-D-06-02</t>
  </si>
  <si>
    <t>stumped A</t>
  </si>
  <si>
    <t>survivorship bias</t>
  </si>
  <si>
    <t>CL-D-06-03</t>
  </si>
  <si>
    <t>C-D-03-04</t>
  </si>
  <si>
    <t>drawing fire</t>
  </si>
  <si>
    <t>CL-D-06-04</t>
  </si>
  <si>
    <t>moebius stripes</t>
  </si>
  <si>
    <t>slayer layer</t>
  </si>
  <si>
    <t>CL-E-06-00</t>
  </si>
  <si>
    <t>C-E-03-00</t>
  </si>
  <si>
    <t>slaughterhouse 4</t>
  </si>
  <si>
    <t>CL-E-06-01</t>
  </si>
  <si>
    <t>space waffles</t>
  </si>
  <si>
    <t>parallel progress</t>
  </si>
  <si>
    <t>CL-E-06-02</t>
  </si>
  <si>
    <t>C-E-03-01</t>
  </si>
  <si>
    <t>CL-E-06-03</t>
  </si>
  <si>
    <t>misunderestimated</t>
  </si>
  <si>
    <t>flipped</t>
  </si>
  <si>
    <t>CL-E-06-04</t>
  </si>
  <si>
    <t>C-E-03-02</t>
  </si>
  <si>
    <t>boom blocks</t>
  </si>
  <si>
    <t>CL-A-07-00</t>
  </si>
  <si>
    <t>medical wing</t>
  </si>
  <si>
    <t>sharing the danger</t>
  </si>
  <si>
    <t>C-E-03-03</t>
  </si>
  <si>
    <t>CL-A-07-01</t>
  </si>
  <si>
    <t>corrupted heap</t>
  </si>
  <si>
    <t>one of those days</t>
  </si>
  <si>
    <t>C-E-03-04</t>
  </si>
  <si>
    <t>CL-A-07-02</t>
  </si>
  <si>
    <t>twogetherness</t>
  </si>
  <si>
    <t>cursive</t>
  </si>
  <si>
    <t>CL-A-07-03</t>
  </si>
  <si>
    <t>minish</t>
  </si>
  <si>
    <t>CL-A-07-04</t>
  </si>
  <si>
    <t>C-A-04-00</t>
  </si>
  <si>
    <t>hatcher</t>
  </si>
  <si>
    <t>CL-B-07-00</t>
  </si>
  <si>
    <t>no rushin'</t>
  </si>
  <si>
    <t>runoff</t>
  </si>
  <si>
    <t>C-A-04-01</t>
  </si>
  <si>
    <t>CL-B-07-01</t>
  </si>
  <si>
    <t>evac</t>
  </si>
  <si>
    <t>composition</t>
  </si>
  <si>
    <t>CL-B-07-02</t>
  </si>
  <si>
    <t>C-A-04-02</t>
  </si>
  <si>
    <t>crush</t>
  </si>
  <si>
    <t>CL-B-07-03</t>
  </si>
  <si>
    <t>boomy</t>
  </si>
  <si>
    <t>stressor</t>
  </si>
  <si>
    <t>C-A-04-03</t>
  </si>
  <si>
    <t>CL-B-07-04</t>
  </si>
  <si>
    <t>interdictor</t>
  </si>
  <si>
    <t>this could get deadly</t>
  </si>
  <si>
    <t>CL-C-07-00</t>
  </si>
  <si>
    <t>sawtooth</t>
  </si>
  <si>
    <t>C-A-04-04</t>
  </si>
  <si>
    <t>CL-C-07-01</t>
  </si>
  <si>
    <t>ufo invasion</t>
  </si>
  <si>
    <t>divvy</t>
  </si>
  <si>
    <t>CL-C-07-02</t>
  </si>
  <si>
    <t>C-B-04-00</t>
  </si>
  <si>
    <t>scamper</t>
  </si>
  <si>
    <t>CL-C-07-03</t>
  </si>
  <si>
    <t>traveling companions</t>
  </si>
  <si>
    <t>the abyss</t>
  </si>
  <si>
    <t>C-B-04-01</t>
  </si>
  <si>
    <t>CL-C-07-04</t>
  </si>
  <si>
    <t>the restless typographer</t>
  </si>
  <si>
    <t>CL-D-07-00</t>
  </si>
  <si>
    <t>other N</t>
  </si>
  <si>
    <t>superliminal tiny</t>
  </si>
  <si>
    <t>C-B-04-02</t>
  </si>
  <si>
    <t>CL-D-07-01</t>
  </si>
  <si>
    <t>legends of the fall</t>
  </si>
  <si>
    <t>CL-D-07-02</t>
  </si>
  <si>
    <t>megastructure internal rupture</t>
  </si>
  <si>
    <t>mr. softener</t>
  </si>
  <si>
    <t>C-B-04-03</t>
  </si>
  <si>
    <t>CL-D-07-03</t>
  </si>
  <si>
    <t>superliminal fortress</t>
  </si>
  <si>
    <t>CL-D-07-04</t>
  </si>
  <si>
    <t>mecha</t>
  </si>
  <si>
    <t>energico</t>
  </si>
  <si>
    <t>C-B-04-04</t>
  </si>
  <si>
    <t>CL-E-07-00</t>
  </si>
  <si>
    <t>shenaniganism</t>
  </si>
  <si>
    <t>mild panic</t>
  </si>
  <si>
    <t>CL-E-07-01</t>
  </si>
  <si>
    <t>crawling walls</t>
  </si>
  <si>
    <t>C-C-04-00</t>
  </si>
  <si>
    <t>CL-E-07-02</t>
  </si>
  <si>
    <t>pair bonding</t>
  </si>
  <si>
    <t>on hold</t>
  </si>
  <si>
    <t>CL-E-07-03</t>
  </si>
  <si>
    <t>DO NOT WANT</t>
  </si>
  <si>
    <t>C-C-04-01</t>
  </si>
  <si>
    <t>CL-E-07-04</t>
  </si>
  <si>
    <t>tri tri again, again</t>
  </si>
  <si>
    <t>stay with me, little buddy!</t>
  </si>
  <si>
    <t>CL-A-08-00</t>
  </si>
  <si>
    <t>jump at the gold</t>
  </si>
  <si>
    <t>C-C-04-02</t>
  </si>
  <si>
    <t>CL-A-08-01</t>
  </si>
  <si>
    <t>splash damage</t>
  </si>
  <si>
    <t>switch way</t>
  </si>
  <si>
    <t>CL-A-08-02</t>
  </si>
  <si>
    <t>grad duel</t>
  </si>
  <si>
    <t>C-C-04-03</t>
  </si>
  <si>
    <t>CL-A-08-03</t>
  </si>
  <si>
    <t>deathtrap for two</t>
  </si>
  <si>
    <t>offshoot</t>
  </si>
  <si>
    <t>CL-A-08-04</t>
  </si>
  <si>
    <t>scarless</t>
  </si>
  <si>
    <t>C-C-04-04</t>
  </si>
  <si>
    <t>CL-B-08-00</t>
  </si>
  <si>
    <t>mech worms</t>
  </si>
  <si>
    <t>cut all corners</t>
  </si>
  <si>
    <t>CL-B-08-01</t>
  </si>
  <si>
    <t>launch window edit</t>
  </si>
  <si>
    <t>C-D-04-00</t>
  </si>
  <si>
    <t>CL-B-08-02</t>
  </si>
  <si>
    <t>a neurotic net processor</t>
  </si>
  <si>
    <t>CL-B-08-03</t>
  </si>
  <si>
    <t>heroics</t>
  </si>
  <si>
    <t>distractotron</t>
  </si>
  <si>
    <t>CL-B-08-04</t>
  </si>
  <si>
    <t>C-D-04-01</t>
  </si>
  <si>
    <t>slot it</t>
  </si>
  <si>
    <t>CL-C-08-00</t>
  </si>
  <si>
    <t>legacy of togetherness</t>
  </si>
  <si>
    <t>boostful</t>
  </si>
  <si>
    <t>CL-C-08-01</t>
  </si>
  <si>
    <t>looooooooop</t>
  </si>
  <si>
    <t>C-D-04-02</t>
  </si>
  <si>
    <t>CL-C-08-02</t>
  </si>
  <si>
    <t>deferred bonus</t>
  </si>
  <si>
    <t>charlie grey</t>
  </si>
  <si>
    <t>C-D-04-03</t>
  </si>
  <si>
    <t>CL-C-08-03</t>
  </si>
  <si>
    <t>prismatic bezel</t>
  </si>
  <si>
    <t>CL-C-08-04</t>
  </si>
  <si>
    <t>sneak thieves</t>
  </si>
  <si>
    <t>C-D-04-04</t>
  </si>
  <si>
    <t>CL-D-08-00</t>
  </si>
  <si>
    <t>sleestaks</t>
  </si>
  <si>
    <t>CL-D-08-01</t>
  </si>
  <si>
    <t>order dependent transparency</t>
  </si>
  <si>
    <t>take it in turns</t>
  </si>
  <si>
    <t>C-E-04-00</t>
  </si>
  <si>
    <t>CL-D-08-02</t>
  </si>
  <si>
    <t>reaktors</t>
  </si>
  <si>
    <t>CL-D-08-03</t>
  </si>
  <si>
    <t>two's complement</t>
  </si>
  <si>
    <t>race to the top</t>
  </si>
  <si>
    <t>CL-D-08-04</t>
  </si>
  <si>
    <t>C-E-04-01</t>
  </si>
  <si>
    <t>the grass is always grayer on the other side</t>
  </si>
  <si>
    <t>CL-E-08-00</t>
  </si>
  <si>
    <t>scaffold</t>
  </si>
  <si>
    <t>dancing with yourself</t>
  </si>
  <si>
    <t>C-E-04-02</t>
  </si>
  <si>
    <t>CL-E-08-01</t>
  </si>
  <si>
    <t>synchroninjas</t>
  </si>
  <si>
    <t>CL-E-08-02</t>
  </si>
  <si>
    <t>hub world</t>
  </si>
  <si>
    <t>teamplay</t>
  </si>
  <si>
    <t>C-E-04-03</t>
  </si>
  <si>
    <t>CL-E-08-03</t>
  </si>
  <si>
    <t>a little back and forth</t>
  </si>
  <si>
    <t>C-E-04-04</t>
  </si>
  <si>
    <t>junction</t>
  </si>
  <si>
    <t>CL-E-08-04</t>
  </si>
  <si>
    <t>steeple chaste</t>
  </si>
  <si>
    <t>CL-A-09-00</t>
  </si>
  <si>
    <t>eyed</t>
  </si>
  <si>
    <t>CL-A-09-01</t>
  </si>
  <si>
    <t>fracas</t>
  </si>
  <si>
    <t>CL-A-09-02</t>
  </si>
  <si>
    <t>enigma machine</t>
  </si>
  <si>
    <t>skimmy</t>
  </si>
  <si>
    <t>CL-A-09-03</t>
  </si>
  <si>
    <t>turn-taking</t>
  </si>
  <si>
    <t>C-A-05-00</t>
  </si>
  <si>
    <t>CL-A-09-04</t>
  </si>
  <si>
    <t>tensor</t>
  </si>
  <si>
    <t>CL-B-09-00</t>
  </si>
  <si>
    <t>up and over</t>
  </si>
  <si>
    <t>stairstep stratagem</t>
  </si>
  <si>
    <t>CL-B-09-01</t>
  </si>
  <si>
    <t>C-A-05-01</t>
  </si>
  <si>
    <t>cave-man jimmy</t>
  </si>
  <si>
    <t>CL-B-09-02</t>
  </si>
  <si>
    <t>blurbs</t>
  </si>
  <si>
    <t>pave the way</t>
  </si>
  <si>
    <t>CL-B-09-03</t>
  </si>
  <si>
    <t>banburismus technique</t>
  </si>
  <si>
    <t>CL-B-09-04</t>
  </si>
  <si>
    <t>leap of faith</t>
  </si>
  <si>
    <t>C-A-05-02</t>
  </si>
  <si>
    <t>CL-C-09-00</t>
  </si>
  <si>
    <t>gattaca</t>
  </si>
  <si>
    <t>suspended</t>
  </si>
  <si>
    <t>C-A-05-03</t>
  </si>
  <si>
    <t>travel companion</t>
  </si>
  <si>
    <t>C-A-05-04</t>
  </si>
  <si>
    <t>CL-C-09-01</t>
  </si>
  <si>
    <t>telemetry</t>
  </si>
  <si>
    <t>expedition</t>
  </si>
  <si>
    <t>CL-C-09-02</t>
  </si>
  <si>
    <t>force majeure X</t>
  </si>
  <si>
    <t>C-B-05-00</t>
  </si>
  <si>
    <t>CL-C-09-03</t>
  </si>
  <si>
    <t>attacking that battle station ain't my idea of courage</t>
  </si>
  <si>
    <t>oodles of get</t>
  </si>
  <si>
    <t>CL-C-09-04</t>
  </si>
  <si>
    <t>shall we then?</t>
  </si>
  <si>
    <t>C-B-05-01</t>
  </si>
  <si>
    <t>CL-D-09-00</t>
  </si>
  <si>
    <t>less tired internet meme</t>
  </si>
  <si>
    <t>CL-D-09-01</t>
  </si>
  <si>
    <t>hop+skip+jump</t>
  </si>
  <si>
    <t>quad laser</t>
  </si>
  <si>
    <t>C-B-05-02</t>
  </si>
  <si>
    <t>CL-D-09-02</t>
  </si>
  <si>
    <t>iron-clad _what_ of steel?!</t>
  </si>
  <si>
    <t>CL-D-09-03</t>
  </si>
  <si>
    <t>salazar</t>
  </si>
  <si>
    <t>needing help</t>
  </si>
  <si>
    <t>CL-D-09-04</t>
  </si>
  <si>
    <t>tanked</t>
  </si>
  <si>
    <t>C-B-05-03</t>
  </si>
  <si>
    <t>CL-E-09-00</t>
  </si>
  <si>
    <t>wavering</t>
  </si>
  <si>
    <t>CL-E-09-01</t>
  </si>
  <si>
    <t>little big misadventure</t>
  </si>
  <si>
    <t>pipe dream</t>
  </si>
  <si>
    <t>C-B-05-04</t>
  </si>
  <si>
    <t>CL-E-09-02</t>
  </si>
  <si>
    <t>zapatista</t>
  </si>
  <si>
    <t>CL-E-09-03</t>
  </si>
  <si>
    <t>t minus 1</t>
  </si>
  <si>
    <t>middle management</t>
  </si>
  <si>
    <t>CL-E-09-04</t>
  </si>
  <si>
    <t>prisons we choose to live inside</t>
  </si>
  <si>
    <t>C-C-05-00</t>
  </si>
  <si>
    <t>CL-A-10-00</t>
  </si>
  <si>
    <t>elegant</t>
  </si>
  <si>
    <t>CL-A-10-01</t>
  </si>
  <si>
    <t>ninja's first challenge</t>
  </si>
  <si>
    <t>central nexus</t>
  </si>
  <si>
    <t>CL-A-10-02</t>
  </si>
  <si>
    <t>spelunking</t>
  </si>
  <si>
    <t>C-C-05-01</t>
  </si>
  <si>
    <t>CL-A-10-03</t>
  </si>
  <si>
    <t>artifact 3</t>
  </si>
  <si>
    <t>CL-A-10-04</t>
  </si>
  <si>
    <t>do you know how to walljump?</t>
  </si>
  <si>
    <t>compression waves</t>
  </si>
  <si>
    <t>CL-B-10-00</t>
  </si>
  <si>
    <t>C-C-05-02</t>
  </si>
  <si>
    <t>disco lemon</t>
  </si>
  <si>
    <t>CL-B-10-01</t>
  </si>
  <si>
    <t>gazizza my dilsnoofus</t>
  </si>
  <si>
    <t>coordinated infiltration</t>
  </si>
  <si>
    <t>CL-B-10-02</t>
  </si>
  <si>
    <t>C-C-05-03</t>
  </si>
  <si>
    <t>a very long enragement</t>
  </si>
  <si>
    <t>CL-B-10-03</t>
  </si>
  <si>
    <t>bleed in your own light</t>
  </si>
  <si>
    <t>round and round and round</t>
  </si>
  <si>
    <t>CL-B-10-04</t>
  </si>
  <si>
    <t>C-C-05-04</t>
  </si>
  <si>
    <t>chupes</t>
  </si>
  <si>
    <t>CL-C-10-00</t>
  </si>
  <si>
    <t>team rocket</t>
  </si>
  <si>
    <t>epic squigglies</t>
  </si>
  <si>
    <t>C-D-05-00</t>
  </si>
  <si>
    <t>CL-C-10-01</t>
  </si>
  <si>
    <t>dana skilly</t>
  </si>
  <si>
    <t>chamfered</t>
  </si>
  <si>
    <t>CL-C-10-02</t>
  </si>
  <si>
    <t>C-D-05-01</t>
  </si>
  <si>
    <t>a blaffair to rememblack</t>
  </si>
  <si>
    <t>CL-C-10-03</t>
  </si>
  <si>
    <t>aliased fireball</t>
  </si>
  <si>
    <t>dead end job</t>
  </si>
  <si>
    <t>CL-C-10-04</t>
  </si>
  <si>
    <t>C-D-05-02</t>
  </si>
  <si>
    <t>exit strategies</t>
  </si>
  <si>
    <t>CL-D-10-00</t>
  </si>
  <si>
    <t>part-ay!</t>
  </si>
  <si>
    <t>climbing buddies</t>
  </si>
  <si>
    <t>CL-D-10-01</t>
  </si>
  <si>
    <t>C-D-05-03</t>
  </si>
  <si>
    <t>ringu</t>
  </si>
  <si>
    <t>CL-D-10-02</t>
  </si>
  <si>
    <t>descent into madness</t>
  </si>
  <si>
    <t>the box</t>
  </si>
  <si>
    <t>CL-D-10-03</t>
  </si>
  <si>
    <t>C-D-05-04</t>
  </si>
  <si>
    <t>bottled lightning</t>
  </si>
  <si>
    <t>CL-D-10-04</t>
  </si>
  <si>
    <t>harvey floorbanger</t>
  </si>
  <si>
    <t>keyword: synchronism</t>
  </si>
  <si>
    <t>CL-E-10-00</t>
  </si>
  <si>
    <t>C-E-05-00</t>
  </si>
  <si>
    <t>the slip up</t>
  </si>
  <si>
    <t>CL-E-10-01</t>
  </si>
  <si>
    <t>slitherin'</t>
  </si>
  <si>
    <t>dendritic</t>
  </si>
  <si>
    <t>CL-E-10-02</t>
  </si>
  <si>
    <t>C-E-05-01</t>
  </si>
  <si>
    <t>two ninjas are better than one</t>
  </si>
  <si>
    <t>CL-E-10-03</t>
  </si>
  <si>
    <t>fury</t>
  </si>
  <si>
    <t>moving through a crowded dance</t>
  </si>
  <si>
    <t>CL-E-10-04</t>
  </si>
  <si>
    <t>that's why they call it gold</t>
  </si>
  <si>
    <t>C-E-05-02</t>
  </si>
  <si>
    <t>CL-X-04-00</t>
  </si>
  <si>
    <t>business ends</t>
  </si>
  <si>
    <t>CL-X-04-01</t>
  </si>
  <si>
    <t>caseless edit</t>
  </si>
  <si>
    <t>four fourths</t>
  </si>
  <si>
    <t>CL-X-04-02</t>
  </si>
  <si>
    <t>C-E-05-03</t>
  </si>
  <si>
    <t>lead the follower</t>
  </si>
  <si>
    <t>citadel</t>
  </si>
  <si>
    <t>C-E-05-04</t>
  </si>
  <si>
    <t>CL-X-04-03</t>
  </si>
  <si>
    <t>iron butterfly</t>
  </si>
  <si>
    <t>CL-X-04-04</t>
  </si>
  <si>
    <t>entice</t>
  </si>
  <si>
    <t>dangerously abstracted hills</t>
  </si>
  <si>
    <t>CL-X-05-00</t>
  </si>
  <si>
    <t>crelm toothpaste</t>
  </si>
  <si>
    <t>C-A-06-00</t>
  </si>
  <si>
    <t>CL-X-05-01</t>
  </si>
  <si>
    <t>quad damage</t>
  </si>
  <si>
    <t>depth-independent drag force induced by stirring</t>
  </si>
  <si>
    <t>CL-X-05-02</t>
  </si>
  <si>
    <t>C-A-06-01</t>
  </si>
  <si>
    <t>pace yourselves</t>
  </si>
  <si>
    <t>CL-X-05-03</t>
  </si>
  <si>
    <t>life support, for real this time</t>
  </si>
  <si>
    <t>split risk</t>
  </si>
  <si>
    <t>CL-X-05-04</t>
  </si>
  <si>
    <t>C-A-06-02</t>
  </si>
  <si>
    <t>trope</t>
  </si>
  <si>
    <t>CL-X-06-00</t>
  </si>
  <si>
    <t>the many</t>
  </si>
  <si>
    <t>terrifying rotation</t>
  </si>
  <si>
    <t>CL-X-06-01</t>
  </si>
  <si>
    <t>C-A-06-03</t>
  </si>
  <si>
    <t>the blame game</t>
  </si>
  <si>
    <t>CL-X-06-02</t>
  </si>
  <si>
    <t>spectacular failure</t>
  </si>
  <si>
    <t>phosfriend</t>
  </si>
  <si>
    <t>CL-X-06-03</t>
  </si>
  <si>
    <t>C-A-06-04</t>
  </si>
  <si>
    <t>intertwined</t>
  </si>
  <si>
    <t>CL-X-06-04</t>
  </si>
  <si>
    <t>how do they prevent against thieves?</t>
  </si>
  <si>
    <t>CL-X-07-00</t>
  </si>
  <si>
    <t>the wave</t>
  </si>
  <si>
    <t>cumulative error</t>
  </si>
  <si>
    <t>CL-X-07-01</t>
  </si>
  <si>
    <t>C-B-06-00</t>
  </si>
  <si>
    <t>sanctum</t>
  </si>
  <si>
    <t>CL-X-07-02</t>
  </si>
  <si>
    <t>double dipping</t>
  </si>
  <si>
    <t>apres vous</t>
  </si>
  <si>
    <t>CL-X-07-03</t>
  </si>
  <si>
    <t>elevators to heck</t>
  </si>
  <si>
    <t>C-B-06-01</t>
  </si>
  <si>
    <t>CL-X-07-04</t>
  </si>
  <si>
    <t>obsessio-n</t>
  </si>
  <si>
    <t>attractive</t>
  </si>
  <si>
    <t>CL-X-08-00</t>
  </si>
  <si>
    <t>C-B-06-02</t>
  </si>
  <si>
    <t>damned if you do</t>
  </si>
  <si>
    <t>CL-X-08-01</t>
  </si>
  <si>
    <t>four rooms and some booms</t>
  </si>
  <si>
    <t>C-B-06-03</t>
  </si>
  <si>
    <t>puzzle box for two</t>
  </si>
  <si>
    <t>CL-X-08-02</t>
  </si>
  <si>
    <t>touch and go</t>
  </si>
  <si>
    <t>submarine</t>
  </si>
  <si>
    <t>CL-X-08-03</t>
  </si>
  <si>
    <t>C-B-06-04</t>
  </si>
  <si>
    <t>easy doesn't do it</t>
  </si>
  <si>
    <t>CL-X-08-04</t>
  </si>
  <si>
    <t>inch by inch</t>
  </si>
  <si>
    <t>flip sides</t>
  </si>
  <si>
    <t>CL-X-09-00</t>
  </si>
  <si>
    <t>C-C-06-00</t>
  </si>
  <si>
    <t>cooperativity</t>
  </si>
  <si>
    <t>CL-X-09-01</t>
  </si>
  <si>
    <t>glord have mercy</t>
  </si>
  <si>
    <t>tango chamber</t>
  </si>
  <si>
    <t>CL-X-09-02</t>
  </si>
  <si>
    <t>C-C-06-01</t>
  </si>
  <si>
    <t>stalac tight</t>
  </si>
  <si>
    <t>CL-X-09-03</t>
  </si>
  <si>
    <t>rock it</t>
  </si>
  <si>
    <t>distracted</t>
  </si>
  <si>
    <t>CL-X-09-04</t>
  </si>
  <si>
    <t>C-C-06-02</t>
  </si>
  <si>
    <t>ninja's first loop</t>
  </si>
  <si>
    <t>hard reset</t>
  </si>
  <si>
    <t>CL-X-10-00</t>
  </si>
  <si>
    <t>revenge of pacing</t>
  </si>
  <si>
    <t>C-C-06-03</t>
  </si>
  <si>
    <t>CL-X-10-01</t>
  </si>
  <si>
    <t>straight forward</t>
  </si>
  <si>
    <t>two pair</t>
  </si>
  <si>
    <t>C-C-06-04</t>
  </si>
  <si>
    <t>CL-X-10-02</t>
  </si>
  <si>
    <t>a steadily decreasing chance of survival</t>
  </si>
  <si>
    <t>CL-X-10-03</t>
  </si>
  <si>
    <t>insanity later</t>
  </si>
  <si>
    <t>C-D-06-00</t>
  </si>
  <si>
    <t>the second-last fandango</t>
  </si>
  <si>
    <t>CL-X-10-04</t>
  </si>
  <si>
    <t>hidden risks</t>
  </si>
  <si>
    <t>C-D-06-01</t>
  </si>
  <si>
    <t>death from above</t>
  </si>
  <si>
    <t>C-D-06-02</t>
  </si>
  <si>
    <t>rationing</t>
  </si>
  <si>
    <t>C-D-06-03</t>
  </si>
  <si>
    <t>phase offset</t>
  </si>
  <si>
    <t>C-D-06-04</t>
  </si>
  <si>
    <t>orbital fragments</t>
  </si>
  <si>
    <t>C-E-06-00</t>
  </si>
  <si>
    <t>more equal</t>
  </si>
  <si>
    <t>N++&gt;Score</t>
  </si>
  <si>
    <t>C-E-06-01</t>
  </si>
  <si>
    <t>trouble</t>
  </si>
  <si>
    <t>C-E-06-02</t>
  </si>
  <si>
    <t>shove em</t>
  </si>
  <si>
    <t>Completion</t>
  </si>
  <si>
    <t>C-E-06-03</t>
  </si>
  <si>
    <t>Pre-UE Completion</t>
  </si>
  <si>
    <t>upstream colour</t>
  </si>
  <si>
    <t>C-E-06-04</t>
  </si>
  <si>
    <t>Total Score</t>
  </si>
  <si>
    <t>Pre-UE Score</t>
  </si>
  <si>
    <t>one-shot</t>
  </si>
  <si>
    <t>C-A-07-00</t>
  </si>
  <si>
    <t>zzkllyrrtf</t>
  </si>
  <si>
    <t>C-A-07-01</t>
  </si>
  <si>
    <t>out of my way</t>
  </si>
  <si>
    <t>C-A-07-02</t>
  </si>
  <si>
    <t>Solo Score</t>
  </si>
  <si>
    <t>thanks</t>
  </si>
  <si>
    <t>Hardcore Score</t>
  </si>
  <si>
    <t>Complete</t>
  </si>
  <si>
    <t>C-A-07-03</t>
  </si>
  <si>
    <t>Co-op Score</t>
  </si>
  <si>
    <t>reciprocal knowing process</t>
  </si>
  <si>
    <t>Race Score</t>
  </si>
  <si>
    <t>C-A-07-04</t>
  </si>
  <si>
    <t>Decimal</t>
  </si>
  <si>
    <t>oh</t>
  </si>
  <si>
    <t>C-B-07-00</t>
  </si>
  <si>
    <t>can everyone stop getting shot??</t>
  </si>
  <si>
    <t>C-B-07-01</t>
  </si>
  <si>
    <t>Progress Bar</t>
  </si>
  <si>
    <t>peppercorn branch</t>
  </si>
  <si>
    <t>C-B-07-02</t>
  </si>
  <si>
    <t>the bird</t>
  </si>
  <si>
    <t>C-B-07-03</t>
  </si>
  <si>
    <t>just a moment</t>
  </si>
  <si>
    <t>C-B-07-04</t>
  </si>
  <si>
    <t>stirring</t>
  </si>
  <si>
    <t>C-C-07-00</t>
  </si>
  <si>
    <t>saviour bonus</t>
  </si>
  <si>
    <t>C-C-07-01</t>
  </si>
  <si>
    <t>distributed search net</t>
  </si>
  <si>
    <t>C-C-07-02</t>
  </si>
  <si>
    <t>vertical teleportation lab</t>
  </si>
  <si>
    <t>C-C-07-03</t>
  </si>
  <si>
    <t>UE Completion</t>
  </si>
  <si>
    <t>separation of concerns</t>
  </si>
  <si>
    <t>C-C-07-04</t>
  </si>
  <si>
    <t>UE Score</t>
  </si>
  <si>
    <t>Race</t>
  </si>
  <si>
    <t>hide and seeker</t>
  </si>
  <si>
    <t>C-D-07-00</t>
  </si>
  <si>
    <t>forking and merging</t>
  </si>
  <si>
    <t>C-D-07-01</t>
  </si>
  <si>
    <t>debatable</t>
  </si>
  <si>
    <t>C-D-07-02</t>
  </si>
  <si>
    <t>chaotic creation</t>
  </si>
  <si>
    <t>C-D-07-03</t>
  </si>
  <si>
    <t>hold that door!</t>
  </si>
  <si>
    <t>C-D-07-04</t>
  </si>
  <si>
    <t>value proposition</t>
  </si>
  <si>
    <t>C-E-07-00</t>
  </si>
  <si>
    <t>labyrinthitis</t>
  </si>
  <si>
    <t>C-E-07-01</t>
  </si>
  <si>
    <t>clear</t>
  </si>
  <si>
    <t>unnecessary risks</t>
  </si>
  <si>
    <t>C-E-07-02</t>
  </si>
  <si>
    <t>enemy territory</t>
  </si>
  <si>
    <t>C-E-07-03</t>
  </si>
  <si>
    <t>jarbled</t>
  </si>
  <si>
    <t>C-E-07-04</t>
  </si>
  <si>
    <t>take the shot</t>
  </si>
  <si>
    <t>C-A-08-00</t>
  </si>
  <si>
    <t>security system</t>
  </si>
  <si>
    <t>C-A-08-01</t>
  </si>
  <si>
    <t>the opposite of internecine</t>
  </si>
  <si>
    <t>C-A-08-02</t>
  </si>
  <si>
    <t>[!?]</t>
  </si>
  <si>
    <t>polyphasic cascade</t>
  </si>
  <si>
    <t>C-A-08-03</t>
  </si>
  <si>
    <t>C-A-08-04</t>
  </si>
  <si>
    <t>irregular distribution</t>
  </si>
  <si>
    <t>C-B-08-00</t>
  </si>
  <si>
    <t>insignish</t>
  </si>
  <si>
    <t>C-B-08-01</t>
  </si>
  <si>
    <t>block solver</t>
  </si>
  <si>
    <t>C-B-08-02</t>
  </si>
  <si>
    <t>clean sweep</t>
  </si>
  <si>
    <t>C-B-08-03</t>
  </si>
  <si>
    <t>base 2</t>
  </si>
  <si>
    <t>C-B-08-04</t>
  </si>
  <si>
    <t>under lockdown</t>
  </si>
  <si>
    <t>C-C-08-00</t>
  </si>
  <si>
    <t>consensus</t>
  </si>
  <si>
    <t>C-C-08-01</t>
  </si>
  <si>
    <t>shared progress</t>
  </si>
  <si>
    <t>C-C-08-02</t>
  </si>
  <si>
    <t>applied pressure</t>
  </si>
  <si>
    <t>C-C-08-03</t>
  </si>
  <si>
    <t>soary</t>
  </si>
  <si>
    <t>C-C-08-04</t>
  </si>
  <si>
    <t>loosely connected</t>
  </si>
  <si>
    <t>C-D-08-00</t>
  </si>
  <si>
    <t>ye olde gating mechanism</t>
  </si>
  <si>
    <t>C-D-08-01</t>
  </si>
  <si>
    <t>trapped in the belly of this horrible machine</t>
  </si>
  <si>
    <t>C-D-08-02</t>
  </si>
  <si>
    <t>skills that may eventually pay the bills</t>
  </si>
  <si>
    <t>C-D-08-03</t>
  </si>
  <si>
    <t>the night was dark and full of errors</t>
  </si>
  <si>
    <t>C-D-08-04</t>
  </si>
  <si>
    <t>cross over</t>
  </si>
  <si>
    <t>C-E-08-00</t>
  </si>
  <si>
    <t>to and fro</t>
  </si>
  <si>
    <t>C-E-08-01</t>
  </si>
  <si>
    <t>failed attempt at an easier level</t>
  </si>
  <si>
    <t>C-E-08-02</t>
  </si>
  <si>
    <t>the leg-killer exercise</t>
  </si>
  <si>
    <t>C-E-08-03</t>
  </si>
  <si>
    <t>light from a dead star</t>
  </si>
  <si>
    <t>C-E-08-04</t>
  </si>
  <si>
    <t>team!</t>
  </si>
  <si>
    <t>C-A-09-00</t>
  </si>
  <si>
    <t>wiggle room</t>
  </si>
  <si>
    <t>C-A-09-01</t>
  </si>
  <si>
    <t>laser faire</t>
  </si>
  <si>
    <t>C-A-09-02</t>
  </si>
  <si>
    <t>precious footholds</t>
  </si>
  <si>
    <t>C-A-09-03</t>
  </si>
  <si>
    <t>reluctantly forward</t>
  </si>
  <si>
    <t>C-A-09-04</t>
  </si>
  <si>
    <t>twists</t>
  </si>
  <si>
    <t>C-B-09-00</t>
  </si>
  <si>
    <t>sync points</t>
  </si>
  <si>
    <t>C-B-09-01</t>
  </si>
  <si>
    <t>fear of unknowns</t>
  </si>
  <si>
    <t>C-B-09-02</t>
  </si>
  <si>
    <t>kuribo's boots</t>
  </si>
  <si>
    <t>C-B-09-03</t>
  </si>
  <si>
    <t>triangle&amp;circle&amp;cross&amp;square</t>
  </si>
  <si>
    <t>C-B-09-04</t>
  </si>
  <si>
    <t>mote evolver</t>
  </si>
  <si>
    <t>C-C-09-00</t>
  </si>
  <si>
    <t>attention getting device</t>
  </si>
  <si>
    <t>C-C-09-01</t>
  </si>
  <si>
    <t>armoured cyborg gaffe</t>
  </si>
  <si>
    <t>C-C-09-02</t>
  </si>
  <si>
    <t>the runaround part 1</t>
  </si>
  <si>
    <t>C-C-09-03</t>
  </si>
  <si>
    <t>well wicked</t>
  </si>
  <si>
    <t>C-C-09-04</t>
  </si>
  <si>
    <t>clearing</t>
  </si>
  <si>
    <t>C-D-09-00</t>
  </si>
  <si>
    <t>misdirection</t>
  </si>
  <si>
    <t>C-D-09-01</t>
  </si>
  <si>
    <t>this whole place is gonna get crazy</t>
  </si>
  <si>
    <t>C-D-09-02</t>
  </si>
  <si>
    <t>cloud dancers</t>
  </si>
  <si>
    <t>C-D-09-03</t>
  </si>
  <si>
    <t>running out of options</t>
  </si>
  <si>
    <t>C-D-09-04</t>
  </si>
  <si>
    <t>bouncy castle</t>
  </si>
  <si>
    <t>C-E-09-00</t>
  </si>
  <si>
    <t>unequivalent</t>
  </si>
  <si>
    <t>C-E-09-01</t>
  </si>
  <si>
    <t>wall to wall to wall to wall to wall</t>
  </si>
  <si>
    <t>C-E-09-02</t>
  </si>
  <si>
    <t>let me get that for you</t>
  </si>
  <si>
    <t>C-E-09-03</t>
  </si>
  <si>
    <t>just stick to the plan</t>
  </si>
  <si>
    <t>C-E-09-04</t>
  </si>
  <si>
    <t>double odds</t>
  </si>
  <si>
    <t>C-X-00-00</t>
  </si>
  <si>
    <t>tightrope walker</t>
  </si>
  <si>
    <t>C-X-00-01</t>
  </si>
  <si>
    <t>shatterboxes</t>
  </si>
  <si>
    <t>C-X-00-02</t>
  </si>
  <si>
    <t>mystery box</t>
  </si>
  <si>
    <t>C-X-00-03</t>
  </si>
  <si>
    <t>who goes first?</t>
  </si>
  <si>
    <t>C-X-00-04</t>
  </si>
  <si>
    <t>le back and forth</t>
  </si>
  <si>
    <t>C-X-01-00</t>
  </si>
  <si>
    <t>C-X-01-01</t>
  </si>
  <si>
    <t>parallel entanglement processing core</t>
  </si>
  <si>
    <t>C-X-01-02</t>
  </si>
  <si>
    <t>opportunity thwumps</t>
  </si>
  <si>
    <t>C-X-01-03</t>
  </si>
  <si>
    <t>short straw</t>
  </si>
  <si>
    <t>C-X-01-04</t>
  </si>
  <si>
    <t>Total (by Pre-UE and UE)</t>
  </si>
  <si>
    <t>irregularge</t>
  </si>
  <si>
    <t>C-X-02-00</t>
  </si>
  <si>
    <t>die-ad</t>
  </si>
  <si>
    <t>C-X-02-01</t>
  </si>
  <si>
    <t>do not taunt happy fun ball plus plus</t>
  </si>
  <si>
    <t>C-X-02-02</t>
  </si>
  <si>
    <t>co-operatic</t>
  </si>
  <si>
    <t>C-X-02-03</t>
  </si>
  <si>
    <t>fitting in</t>
  </si>
  <si>
    <t>C-X-02-04</t>
  </si>
  <si>
    <t>heavy crossfire</t>
  </si>
  <si>
    <t>C-X-03-00</t>
  </si>
  <si>
    <t>delirium tremendous</t>
  </si>
  <si>
    <t>C-X-03-01</t>
  </si>
  <si>
    <t>pride and/or prejudice</t>
  </si>
  <si>
    <t>C-X-03-02</t>
  </si>
  <si>
    <t>equalizer</t>
  </si>
  <si>
    <t>C-X-03-03</t>
  </si>
  <si>
    <t>waiting period</t>
  </si>
  <si>
    <t>C-X-03-04</t>
  </si>
  <si>
    <t>ticket for two</t>
  </si>
  <si>
    <t>C-X-04-00</t>
  </si>
  <si>
    <t>the mythical man moth</t>
  </si>
  <si>
    <t>C-X-04-01</t>
  </si>
  <si>
    <t>trust</t>
  </si>
  <si>
    <t>C-X-04-02</t>
  </si>
  <si>
    <t>turn the middle side topwise</t>
  </si>
  <si>
    <t>Total (by tabs)</t>
  </si>
  <si>
    <t>C-X-04-03</t>
  </si>
  <si>
    <t>following protocol</t>
  </si>
  <si>
    <t>C-X-04-04</t>
  </si>
  <si>
    <t>pusher</t>
  </si>
  <si>
    <t>C-X-05-00</t>
  </si>
  <si>
    <t>passed tense</t>
  </si>
  <si>
    <t>C-X-05-01</t>
  </si>
  <si>
    <t>the root of all evil considered harmful</t>
  </si>
  <si>
    <t>C-X-05-02</t>
  </si>
  <si>
    <t>danger zones</t>
  </si>
  <si>
    <t>C-X-05-03</t>
  </si>
  <si>
    <t>running out of slack</t>
  </si>
  <si>
    <t>C-X-05-04</t>
  </si>
  <si>
    <t>cubic sarcophagus</t>
  </si>
  <si>
    <t>C-X-06-00</t>
  </si>
  <si>
    <t>reckless</t>
  </si>
  <si>
    <t>C-X-06-01</t>
  </si>
  <si>
    <t>togetherness</t>
  </si>
  <si>
    <t>C-X-06-02</t>
  </si>
  <si>
    <t>the last minute</t>
  </si>
  <si>
    <t>C-X-06-03</t>
  </si>
  <si>
    <t>somebody else's problem</t>
  </si>
  <si>
    <t>C-X-06-04</t>
  </si>
  <si>
    <t>archaic courtesy gesture</t>
  </si>
  <si>
    <t>C-X-07-00</t>
  </si>
  <si>
    <t>vortex to unreason</t>
  </si>
  <si>
    <t>C-X-07-01</t>
  </si>
  <si>
    <t>withness</t>
  </si>
  <si>
    <t>C-X-07-02</t>
  </si>
  <si>
    <t>performance anxiety</t>
  </si>
  <si>
    <t>C-X-07-03</t>
  </si>
  <si>
    <t>cauchemar a deux</t>
  </si>
  <si>
    <t>C-X-07-04</t>
  </si>
  <si>
    <t>inching forward</t>
  </si>
  <si>
    <t>C-X-08-00</t>
  </si>
  <si>
    <t>creepy climb</t>
  </si>
  <si>
    <t>C-X-08-01</t>
  </si>
  <si>
    <t>life support plus plus</t>
  </si>
  <si>
    <t>C-X-08-02</t>
  </si>
  <si>
    <t>..but it might work for us</t>
  </si>
  <si>
    <t>C-X-08-03</t>
  </si>
  <si>
    <t>if wishes were switches</t>
  </si>
  <si>
    <t>C-X-08-04</t>
  </si>
  <si>
    <t>fast and loose</t>
  </si>
  <si>
    <t>C-X-09-00</t>
  </si>
  <si>
    <t>triple dutch</t>
  </si>
  <si>
    <t>C-X-09-01</t>
  </si>
  <si>
    <t>laser lords</t>
  </si>
  <si>
    <t>C-X-09-02</t>
  </si>
  <si>
    <t>unequal</t>
  </si>
  <si>
    <t>C-X-09-03</t>
  </si>
  <si>
    <t>beyond dark castle</t>
  </si>
  <si>
    <t>C-X-09-04</t>
  </si>
  <si>
    <t>diamond duo</t>
  </si>
  <si>
    <t>C-A-10-00</t>
  </si>
  <si>
    <t>promises that plague</t>
  </si>
  <si>
    <t>C-A-10-01</t>
  </si>
  <si>
    <t>golden riddle</t>
  </si>
  <si>
    <t>C-A-10-02</t>
  </si>
  <si>
    <t>laser sesh</t>
  </si>
  <si>
    <t>C-A-10-03</t>
  </si>
  <si>
    <t>peek a boo</t>
  </si>
  <si>
    <t>C-A-10-04</t>
  </si>
  <si>
    <t>jumping on the death bed</t>
  </si>
  <si>
    <t>C-B-10-00</t>
  </si>
  <si>
    <t>tunnels for two</t>
  </si>
  <si>
    <t>C-B-10-01</t>
  </si>
  <si>
    <t>the spiral arms</t>
  </si>
  <si>
    <t>C-B-10-02</t>
  </si>
  <si>
    <t>zugzwang</t>
  </si>
  <si>
    <t>C-B-10-03</t>
  </si>
  <si>
    <t>the creator</t>
  </si>
  <si>
    <t>C-B-10-04</t>
  </si>
  <si>
    <t>falling for you</t>
  </si>
  <si>
    <t>C-C-10-00</t>
  </si>
  <si>
    <t>ball halla</t>
  </si>
  <si>
    <t>C-C-10-01</t>
  </si>
  <si>
    <t>gravity pipe</t>
  </si>
  <si>
    <t>C-C-10-02</t>
  </si>
  <si>
    <t>foresight required</t>
  </si>
  <si>
    <t>C-C-10-03</t>
  </si>
  <si>
    <t>cahoots</t>
  </si>
  <si>
    <t>C-C-10-04</t>
  </si>
  <si>
    <t>reducible complexity</t>
  </si>
  <si>
    <t>C-D-10-00</t>
  </si>
  <si>
    <t>even the smallest slip</t>
  </si>
  <si>
    <t>C-D-10-01</t>
  </si>
  <si>
    <t>duality</t>
  </si>
  <si>
    <t>C-D-10-02</t>
  </si>
  <si>
    <t>drawing fire++</t>
  </si>
  <si>
    <t>C-D-10-03</t>
  </si>
  <si>
    <t>N++&gt;Data</t>
  </si>
  <si>
    <t>dissolution</t>
  </si>
  <si>
    <t>Player List</t>
  </si>
  <si>
    <t>C-D-10-04</t>
  </si>
  <si>
    <t>Player Videos</t>
  </si>
  <si>
    <t>full disclosure</t>
  </si>
  <si>
    <t>C-E-10-00</t>
  </si>
  <si>
    <t>Post-UE Score</t>
  </si>
  <si>
    <t>Note</t>
  </si>
  <si>
    <t>modular network</t>
  </si>
  <si>
    <t>C-E-10-01</t>
  </si>
  <si>
    <t>fear of unknowns, part 2</t>
  </si>
  <si>
    <t>These are NOT official challenges. These challenges are not in the game. These are unofficial challenges that have been completed by the community.</t>
  </si>
  <si>
    <t>C-E-10-02</t>
  </si>
  <si>
    <t>Post-UE Completion</t>
  </si>
  <si>
    <t>letterboxing</t>
  </si>
  <si>
    <t>C-E-10-03</t>
  </si>
  <si>
    <t>two on four</t>
  </si>
  <si>
    <t>C-E-10-04</t>
  </si>
  <si>
    <t>high wire</t>
  </si>
  <si>
    <t>C-A-11-00</t>
  </si>
  <si>
    <t>pillary</t>
  </si>
  <si>
    <t>C-A-11-01</t>
  </si>
  <si>
    <t>glutamates</t>
  </si>
  <si>
    <t>C-A-11-02</t>
  </si>
  <si>
    <t>the story so far</t>
  </si>
  <si>
    <t>C-A-11-03</t>
  </si>
  <si>
    <t>twintertwined</t>
  </si>
  <si>
    <t>C-A-11-04</t>
  </si>
  <si>
    <t>rubber bridge</t>
  </si>
  <si>
    <t>C-B-11-00</t>
  </si>
  <si>
    <t>octodead</t>
  </si>
  <si>
    <t>C-B-11-01</t>
  </si>
  <si>
    <t>tapestry, try again</t>
  </si>
  <si>
    <t>C-B-11-02</t>
  </si>
  <si>
    <t>parallel worlds</t>
  </si>
  <si>
    <t>C-B-11-03</t>
  </si>
  <si>
    <t>back and fifth</t>
  </si>
  <si>
    <t>C-B-11-04</t>
  </si>
  <si>
    <t>synchronized launching</t>
  </si>
  <si>
    <t>C-C-11-00</t>
  </si>
  <si>
    <t>goldschool</t>
  </si>
  <si>
    <t>C-C-11-01</t>
  </si>
  <si>
    <t>nascent ascent</t>
  </si>
  <si>
    <t>C-C-11-02</t>
  </si>
  <si>
    <t>dignitask</t>
  </si>
  <si>
    <t>C-C-11-03</t>
  </si>
  <si>
    <t>close calls</t>
  </si>
  <si>
    <t>C-C-11-04</t>
  </si>
  <si>
    <t>damn skippy</t>
  </si>
  <si>
    <t>C-D-11-00</t>
  </si>
  <si>
    <t>bildungsroman++</t>
  </si>
  <si>
    <t>C-D-11-01</t>
  </si>
  <si>
    <t>[‽]</t>
  </si>
  <si>
    <t>enjambment</t>
  </si>
  <si>
    <t>C-D-11-02</t>
  </si>
  <si>
    <t>fancy plans, and pants to match</t>
  </si>
  <si>
    <t>C-D-11-03</t>
  </si>
  <si>
    <t>angularity</t>
  </si>
  <si>
    <t>C-D-11-04</t>
  </si>
  <si>
    <t>you put your left foot in</t>
  </si>
  <si>
    <t>C-E-11-00</t>
  </si>
  <si>
    <t>illogical leaps</t>
  </si>
  <si>
    <t>C-E-11-01</t>
  </si>
  <si>
    <t>simultaneity</t>
  </si>
  <si>
    <t>C-E-11-02</t>
  </si>
  <si>
    <t>paved with gold intentions</t>
  </si>
  <si>
    <t>C-E-11-03</t>
  </si>
  <si>
    <t>eidetic remembery</t>
  </si>
  <si>
    <t>C-E-11-04</t>
  </si>
  <si>
    <t>parametric stepping</t>
  </si>
  <si>
    <t>C-A-12-00</t>
  </si>
  <si>
    <t>malgorithmic</t>
  </si>
  <si>
    <t>C-A-12-01</t>
  </si>
  <si>
    <t>rocket to me</t>
  </si>
  <si>
    <t>C-A-12-02</t>
  </si>
  <si>
    <t>thank the maker</t>
  </si>
  <si>
    <t>C-A-12-03</t>
  </si>
  <si>
    <t>infinite potential</t>
  </si>
  <si>
    <t>C-A-12-04</t>
  </si>
  <si>
    <t>helping out</t>
  </si>
  <si>
    <t>C-B-12-00</t>
  </si>
  <si>
    <t>strategic pursuers</t>
  </si>
  <si>
    <t>C-B-12-01</t>
  </si>
  <si>
    <t>the juicer</t>
  </si>
  <si>
    <t>C-B-12-02</t>
  </si>
  <si>
    <t>prickly</t>
  </si>
  <si>
    <t>C-B-12-03</t>
  </si>
  <si>
    <t>Debug</t>
  </si>
  <si>
    <t>delaying tactics</t>
  </si>
  <si>
    <t>C-B-12-04</t>
  </si>
  <si>
    <t>intransigent</t>
  </si>
  <si>
    <t>C-C-12-00</t>
  </si>
  <si>
    <t>help me up</t>
  </si>
  <si>
    <t>C-C-12-01</t>
  </si>
  <si>
    <t>trigger mortis</t>
  </si>
  <si>
    <t>C-C-12-02</t>
  </si>
  <si>
    <t>?*</t>
  </si>
  <si>
    <t>spindizzy</t>
  </si>
  <si>
    <t>C-C-12-03</t>
  </si>
  <si>
    <t>robot magnetism</t>
  </si>
  <si>
    <t>C-C-12-04</t>
  </si>
  <si>
    <t>ultraviolet catastrophe</t>
  </si>
  <si>
    <t>C-D-12-00</t>
  </si>
  <si>
    <t>[~?]</t>
  </si>
  <si>
    <t>[~??]</t>
  </si>
  <si>
    <t>[~???]</t>
  </si>
  <si>
    <t>[~????]</t>
  </si>
  <si>
    <t>up over down</t>
  </si>
  <si>
    <t>[~?????]</t>
  </si>
  <si>
    <t>C-D-12-01</t>
  </si>
  <si>
    <t>[‽‽]</t>
  </si>
  <si>
    <t>[‽‽‽]</t>
  </si>
  <si>
    <t>[‽‽‽‽]</t>
  </si>
  <si>
    <t>complex rotation</t>
  </si>
  <si>
    <t>[‽‽‽‽‽]</t>
  </si>
  <si>
    <t>C-D-12-02</t>
  </si>
  <si>
    <t>slow dance</t>
  </si>
  <si>
    <t>C-D-12-03</t>
  </si>
  <si>
    <t>militated</t>
  </si>
  <si>
    <t>C-D-12-04</t>
  </si>
  <si>
    <t>up top</t>
  </si>
  <si>
    <t>C-E-12-00</t>
  </si>
  <si>
    <t>room mates</t>
  </si>
  <si>
    <t>C-E-12-01</t>
  </si>
  <si>
    <t>crowded platform</t>
  </si>
  <si>
    <t>C-E-12-02</t>
  </si>
  <si>
    <t>taking it for the team</t>
  </si>
  <si>
    <t>C-E-12-03</t>
  </si>
  <si>
    <t>micro pros</t>
  </si>
  <si>
    <t>C-E-12-04</t>
  </si>
  <si>
    <t>refracted hallway</t>
  </si>
  <si>
    <t>C-A-13-00</t>
  </si>
  <si>
    <t>hypnotisch</t>
  </si>
  <si>
    <t>C-A-13-01</t>
  </si>
  <si>
    <t>warp and weft</t>
  </si>
  <si>
    <t>C-A-13-02</t>
  </si>
  <si>
    <t>spotty</t>
  </si>
  <si>
    <t>C-A-13-03</t>
  </si>
  <si>
    <t>colossal cave misadventure</t>
  </si>
  <si>
    <t>C-A-13-04</t>
  </si>
  <si>
    <t>incursion</t>
  </si>
  <si>
    <t>C-B-13-00</t>
  </si>
  <si>
    <t>simultaneous intrusion</t>
  </si>
  <si>
    <t>C-B-13-01</t>
  </si>
  <si>
    <t>Player Stats</t>
  </si>
  <si>
    <t>infiltration buddies</t>
  </si>
  <si>
    <t>Library Progress</t>
  </si>
  <si>
    <t>C-B-13-02</t>
  </si>
  <si>
    <t>stir stuck</t>
  </si>
  <si>
    <t>words</t>
  </si>
  <si>
    <t>C-B-13-03</t>
  </si>
  <si>
    <t>distribution problem</t>
  </si>
  <si>
    <t>C-B-13-04</t>
  </si>
  <si>
    <t>overlord</t>
  </si>
  <si>
    <t>C-C-13-00</t>
  </si>
  <si>
    <t>meet me in the middle</t>
  </si>
  <si>
    <t>C-C-13-01</t>
  </si>
  <si>
    <t>choke points</t>
  </si>
  <si>
    <t>C-C-13-02</t>
  </si>
  <si>
    <t>septa</t>
  </si>
  <si>
    <t>a slight imbalance in work-loads</t>
  </si>
  <si>
    <t>C-C-13-03</t>
  </si>
  <si>
    <t>fly</t>
  </si>
  <si>
    <t>plummet pals</t>
  </si>
  <si>
    <t>car</t>
  </si>
  <si>
    <t>jet</t>
  </si>
  <si>
    <t>C-C-13-04</t>
  </si>
  <si>
    <t>photon slide</t>
  </si>
  <si>
    <t>C-D-13-00</t>
  </si>
  <si>
    <t>leaving somewhere with someone</t>
  </si>
  <si>
    <t>C-D-13-01</t>
  </si>
  <si>
    <t>duo-tang</t>
  </si>
  <si>
    <t>C-D-13-02</t>
  </si>
  <si>
    <t>the very last second</t>
  </si>
  <si>
    <t>C-D-13-03</t>
  </si>
  <si>
    <t>leading question</t>
  </si>
  <si>
    <t>C-D-13-04</t>
  </si>
  <si>
    <t>video nasties</t>
  </si>
  <si>
    <t>C-E-13-00</t>
  </si>
  <si>
    <t>unbalanced</t>
  </si>
  <si>
    <t>C-E-13-01</t>
  </si>
  <si>
    <t>probably a metaphor for something</t>
  </si>
  <si>
    <t>C-E-13-02</t>
  </si>
  <si>
    <t>artificial barriers to entry</t>
  </si>
  <si>
    <t>C-E-13-03</t>
  </si>
  <si>
    <t>suspiciously lasery at the oceanographic research institute</t>
  </si>
  <si>
    <t>C-E-13-04</t>
  </si>
  <si>
    <t>octet-a-tete</t>
  </si>
  <si>
    <t>C-A-14-00</t>
  </si>
  <si>
    <t>two on two</t>
  </si>
  <si>
    <t>C-A-14-01</t>
  </si>
  <si>
    <t>twisted turns</t>
  </si>
  <si>
    <t>C-A-14-02</t>
  </si>
  <si>
    <t>swithering heights</t>
  </si>
  <si>
    <t>C-A-14-03</t>
  </si>
  <si>
    <t>micro clockwork</t>
  </si>
  <si>
    <t>C-A-14-04</t>
  </si>
  <si>
    <t>vast</t>
  </si>
  <si>
    <t>C-B-14-00</t>
  </si>
  <si>
    <t>other you</t>
  </si>
  <si>
    <t>C-B-14-01</t>
  </si>
  <si>
    <t>room for two</t>
  </si>
  <si>
    <t>C-B-14-02</t>
  </si>
  <si>
    <t>twinnies</t>
  </si>
  <si>
    <t>C-B-14-03</t>
  </si>
  <si>
    <t>sandwell district</t>
  </si>
  <si>
    <t>C-B-14-04</t>
  </si>
  <si>
    <t>delicate procedures</t>
  </si>
  <si>
    <t>C-C-14-00</t>
  </si>
  <si>
    <t>couloir</t>
  </si>
  <si>
    <t>C-C-14-01</t>
  </si>
  <si>
    <t>passing</t>
  </si>
  <si>
    <t>C-C-14-02</t>
  </si>
  <si>
    <t>rumble boxes</t>
  </si>
  <si>
    <t>C-C-14-03</t>
  </si>
  <si>
    <t>fate of precarity</t>
  </si>
  <si>
    <t>C-C-14-04</t>
  </si>
  <si>
    <t>a constellation of similarities</t>
  </si>
  <si>
    <t>C-D-14-00</t>
  </si>
  <si>
    <t>goldfashioned</t>
  </si>
  <si>
    <t>C-D-14-01</t>
  </si>
  <si>
    <t>luree</t>
  </si>
  <si>
    <t>C-D-14-02</t>
  </si>
  <si>
    <t>twisted</t>
  </si>
  <si>
    <t>C-D-14-03</t>
  </si>
  <si>
    <t>onslaughtered</t>
  </si>
  <si>
    <t>C-D-14-04</t>
  </si>
  <si>
    <t>under this wasted sky</t>
  </si>
  <si>
    <t>C-E-14-00</t>
  </si>
  <si>
    <t>releasing the hounds</t>
  </si>
  <si>
    <t>C-E-14-01</t>
  </si>
  <si>
    <t>golden core</t>
  </si>
  <si>
    <t>C-E-14-02</t>
  </si>
  <si>
    <t>create a diversion</t>
  </si>
  <si>
    <t>C-E-14-03</t>
  </si>
  <si>
    <t>pending</t>
  </si>
  <si>
    <t>C-E-14-04</t>
  </si>
  <si>
    <t>here's to shutting up</t>
  </si>
  <si>
    <t>C-A-15-00</t>
  </si>
  <si>
    <t>aerial intruders</t>
  </si>
  <si>
    <t>C-A-15-01</t>
  </si>
  <si>
    <t>modular system</t>
  </si>
  <si>
    <t>C-A-15-02</t>
  </si>
  <si>
    <t>two space</t>
  </si>
  <si>
    <t>C-A-15-03</t>
  </si>
  <si>
    <t>puzzled</t>
  </si>
  <si>
    <t>C-A-15-04</t>
  </si>
  <si>
    <t>fizzle me this</t>
  </si>
  <si>
    <t>C-B-15-00</t>
  </si>
  <si>
    <t>to each their own</t>
  </si>
  <si>
    <t>C-B-15-01</t>
  </si>
  <si>
    <t>thwump sandwich</t>
  </si>
  <si>
    <t>C-B-15-02</t>
  </si>
  <si>
    <t>it just got real</t>
  </si>
  <si>
    <t>C-B-15-03</t>
  </si>
  <si>
    <t>hurry the f up</t>
  </si>
  <si>
    <t>C-B-15-04</t>
  </si>
  <si>
    <t>improper coordinationing</t>
  </si>
  <si>
    <t>C-C-15-00</t>
  </si>
  <si>
    <t>evil golden chamber</t>
  </si>
  <si>
    <t>C-C-15-01</t>
  </si>
  <si>
    <t>architecionados</t>
  </si>
  <si>
    <t>C-C-15-02</t>
  </si>
  <si>
    <t>twinkle toes</t>
  </si>
  <si>
    <t>C-C-15-03</t>
  </si>
  <si>
    <t>the weakest link</t>
  </si>
  <si>
    <t>C-C-15-04</t>
  </si>
  <si>
    <t>rotational inertia</t>
  </si>
  <si>
    <t>C-D-15-00</t>
  </si>
  <si>
    <t>videoballs</t>
  </si>
  <si>
    <t>C-D-15-01</t>
  </si>
  <si>
    <t>C-D-15-02</t>
  </si>
  <si>
    <t>the push up</t>
  </si>
  <si>
    <t>C-D-15-03</t>
  </si>
  <si>
    <t>refreshilicious</t>
  </si>
  <si>
    <t>C-D-15-04</t>
  </si>
  <si>
    <t>spin cycle</t>
  </si>
  <si>
    <t>C-E-15-00</t>
  </si>
  <si>
    <t>the smasher</t>
  </si>
  <si>
    <t>C-E-15-01</t>
  </si>
  <si>
    <t>weaponized cadence</t>
  </si>
  <si>
    <t>C-E-15-02</t>
  </si>
  <si>
    <t>futuristic looking road to nowhere</t>
  </si>
  <si>
    <t>C-E-15-03</t>
  </si>
  <si>
    <t>the path of most resistance</t>
  </si>
  <si>
    <t>C-E-15-04</t>
  </si>
  <si>
    <t>slip slidin' away</t>
  </si>
  <si>
    <t>C-A-16-00</t>
  </si>
  <si>
    <t>longee</t>
  </si>
  <si>
    <t>C-A-16-01</t>
  </si>
  <si>
    <t>chirality</t>
  </si>
  <si>
    <t>C-A-16-02</t>
  </si>
  <si>
    <t>worm buddies</t>
  </si>
  <si>
    <t>C-A-16-03</t>
  </si>
  <si>
    <t>partners in crime</t>
  </si>
  <si>
    <t>C-A-16-04</t>
  </si>
  <si>
    <t>the great wave</t>
  </si>
  <si>
    <t>C-B-16-00</t>
  </si>
  <si>
    <t>jalapeneasy</t>
  </si>
  <si>
    <t>C-B-16-01</t>
  </si>
  <si>
    <t>wrenched</t>
  </si>
  <si>
    <t>C-B-16-02</t>
  </si>
  <si>
    <t>technoid</t>
  </si>
  <si>
    <t>C-B-16-03</t>
  </si>
  <si>
    <t>plus plus one</t>
  </si>
  <si>
    <t>C-B-16-04</t>
  </si>
  <si>
    <t>digraph</t>
  </si>
  <si>
    <t>C-C-16-00</t>
  </si>
  <si>
    <t>lair of the mad wizard</t>
  </si>
  <si>
    <t>C-C-16-01</t>
  </si>
  <si>
    <t>creatricks</t>
  </si>
  <si>
    <t>C-C-16-02</t>
  </si>
  <si>
    <t>staggering</t>
  </si>
  <si>
    <t>C-C-16-03</t>
  </si>
  <si>
    <t>come together</t>
  </si>
  <si>
    <t>C-C-16-04</t>
  </si>
  <si>
    <t>same</t>
  </si>
  <si>
    <t>C-D-16-00</t>
  </si>
  <si>
    <t>roundamouth</t>
  </si>
  <si>
    <t>C-D-16-01</t>
  </si>
  <si>
    <t>C-D-16-02</t>
  </si>
  <si>
    <t>rocket chums</t>
  </si>
  <si>
    <t>C-D-16-03</t>
  </si>
  <si>
    <t>getting crowded in here</t>
  </si>
  <si>
    <t>C-D-16-04</t>
  </si>
  <si>
    <t>the plus key switch</t>
  </si>
  <si>
    <t>C-E-16-00</t>
  </si>
  <si>
    <t>weird decision theory</t>
  </si>
  <si>
    <t>C-E-16-01</t>
  </si>
  <si>
    <t>i escape into your escape</t>
  </si>
  <si>
    <t>C-E-16-02</t>
  </si>
  <si>
    <t>eke</t>
  </si>
  <si>
    <t>C-E-16-03</t>
  </si>
  <si>
    <t>turn-based</t>
  </si>
  <si>
    <t>C-E-16-04</t>
  </si>
  <si>
    <t>nodules of death</t>
  </si>
  <si>
    <t>C-A-17-00</t>
  </si>
  <si>
    <t>blazin lazers</t>
  </si>
  <si>
    <t>C-A-17-01</t>
  </si>
  <si>
    <t>it's mine time</t>
  </si>
  <si>
    <t>C-A-17-02</t>
  </si>
  <si>
    <t>scattered</t>
  </si>
  <si>
    <t>C-A-17-03</t>
  </si>
  <si>
    <t>the runaround part 2</t>
  </si>
  <si>
    <t>C-A-17-04</t>
  </si>
  <si>
    <t>off-diagonal elements</t>
  </si>
  <si>
    <t>C-B-17-00</t>
  </si>
  <si>
    <t>collocation</t>
  </si>
  <si>
    <t>C-B-17-01</t>
  </si>
  <si>
    <t>les douleurs de la morte</t>
  </si>
  <si>
    <t>C-B-17-02</t>
  </si>
  <si>
    <t>upwards together</t>
  </si>
  <si>
    <t>C-B-17-03</t>
  </si>
  <si>
    <t>deathstiny</t>
  </si>
  <si>
    <t>C-B-17-04</t>
  </si>
  <si>
    <t>dragony</t>
  </si>
  <si>
    <t>C-C-17-00</t>
  </si>
  <si>
    <t>hexagram 8</t>
  </si>
  <si>
    <t>C-C-17-01</t>
  </si>
  <si>
    <t>moving as one</t>
  </si>
  <si>
    <t>C-C-17-02</t>
  </si>
  <si>
    <t>double jeopardy</t>
  </si>
  <si>
    <t>C-C-17-03</t>
  </si>
  <si>
    <t>a rather devious mechanism</t>
  </si>
  <si>
    <t>C-C-17-04</t>
  </si>
  <si>
    <t>golden bound</t>
  </si>
  <si>
    <t>C-D-17-00</t>
  </si>
  <si>
    <t>rocket rage</t>
  </si>
  <si>
    <t>C-D-17-01</t>
  </si>
  <si>
    <t>mergatroid</t>
  </si>
  <si>
    <t>C-D-17-02</t>
  </si>
  <si>
    <t>one-trick ponies</t>
  </si>
  <si>
    <t>C-D-17-03</t>
  </si>
  <si>
    <t>access to arasaka</t>
  </si>
  <si>
    <t>C-D-17-04</t>
  </si>
  <si>
    <t>dancing chambers</t>
  </si>
  <si>
    <t>C-E-17-00</t>
  </si>
  <si>
    <t>unison</t>
  </si>
  <si>
    <t>C-E-17-01</t>
  </si>
  <si>
    <t>octuple trouble</t>
  </si>
  <si>
    <t>C-E-17-02</t>
  </si>
  <si>
    <t>live bait</t>
  </si>
  <si>
    <t>C-E-17-03</t>
  </si>
  <si>
    <t>timeline of the far future</t>
  </si>
  <si>
    <t>C-E-17-04</t>
  </si>
  <si>
    <t>deathstinations</t>
  </si>
  <si>
    <t>C-A-18-00</t>
  </si>
  <si>
    <t>alternate current</t>
  </si>
  <si>
    <t>C-A-18-01</t>
  </si>
  <si>
    <t>just you hold it</t>
  </si>
  <si>
    <t>C-A-18-02</t>
  </si>
  <si>
    <t>conical sectioned</t>
  </si>
  <si>
    <t>C-A-18-03</t>
  </si>
  <si>
    <t>minesweeper</t>
  </si>
  <si>
    <t>C-A-18-04</t>
  </si>
  <si>
    <t>gloire</t>
  </si>
  <si>
    <t>C-B-18-00</t>
  </si>
  <si>
    <t>evil stampede</t>
  </si>
  <si>
    <t>C-B-18-01</t>
  </si>
  <si>
    <t>pedestal</t>
  </si>
  <si>
    <t>C-B-18-02</t>
  </si>
  <si>
    <t>you can always depend on the timing of lasers</t>
  </si>
  <si>
    <t>C-B-18-03</t>
  </si>
  <si>
    <t>frantically throwing switches</t>
  </si>
  <si>
    <t>C-B-18-04</t>
  </si>
  <si>
    <t>everyday shootees</t>
  </si>
  <si>
    <t>C-C-18-00</t>
  </si>
  <si>
    <t>frantic planning</t>
  </si>
  <si>
    <t>C-C-18-01</t>
  </si>
  <si>
    <t>running towards nothing</t>
  </si>
  <si>
    <t>C-C-18-02</t>
  </si>
  <si>
    <t>tubular tunnel twins</t>
  </si>
  <si>
    <t>C-C-18-03</t>
  </si>
  <si>
    <t>died slippy</t>
  </si>
  <si>
    <t>C-C-18-04</t>
  </si>
  <si>
    <t>oh the places you'll die</t>
  </si>
  <si>
    <t>C-D-18-00</t>
  </si>
  <si>
    <t>protection</t>
  </si>
  <si>
    <t>C-D-18-01</t>
  </si>
  <si>
    <t>histories</t>
  </si>
  <si>
    <t>C-D-18-02</t>
  </si>
  <si>
    <t>going down together</t>
  </si>
  <si>
    <t>C-D-18-03</t>
  </si>
  <si>
    <t>suicide as a sort of present</t>
  </si>
  <si>
    <t>C-D-18-04</t>
  </si>
  <si>
    <t>dead center</t>
  </si>
  <si>
    <t>C-E-18-00</t>
  </si>
  <si>
    <t>the elevator</t>
  </si>
  <si>
    <t>C-E-18-01</t>
  </si>
  <si>
    <t>rotational asymmetry</t>
  </si>
  <si>
    <t>C-E-18-02</t>
  </si>
  <si>
    <t>double dare</t>
  </si>
  <si>
    <t>C-E-18-03</t>
  </si>
  <si>
    <t>run come save me</t>
  </si>
  <si>
    <t>C-E-18-04</t>
  </si>
  <si>
    <t>stepping stone</t>
  </si>
  <si>
    <t>C-A-19-00</t>
  </si>
  <si>
    <t>finishing each other's sandwiches</t>
  </si>
  <si>
    <t>C-A-19-01</t>
  </si>
  <si>
    <t>above and beyond</t>
  </si>
  <si>
    <t>C-A-19-02</t>
  </si>
  <si>
    <t>rocket bait</t>
  </si>
  <si>
    <t>C-A-19-03</t>
  </si>
  <si>
    <t>shattered consensus</t>
  </si>
  <si>
    <t>C-A-19-04</t>
  </si>
  <si>
    <t>radical praxis</t>
  </si>
  <si>
    <t>C-B-19-00</t>
  </si>
  <si>
    <t>the six chambers</t>
  </si>
  <si>
    <t>C-B-19-01</t>
  </si>
  <si>
    <t>on a thwumpcycle built for two</t>
  </si>
  <si>
    <t>C-B-19-02</t>
  </si>
  <si>
    <t>rain of fire</t>
  </si>
  <si>
    <t>C-B-19-03</t>
  </si>
  <si>
    <t>escape from yesterday</t>
  </si>
  <si>
    <t>C-B-19-04</t>
  </si>
  <si>
    <t>coming up</t>
  </si>
  <si>
    <t>C-C-19-00</t>
  </si>
  <si>
    <t>a series of close calls</t>
  </si>
  <si>
    <t>C-C-19-01</t>
  </si>
  <si>
    <t>go go go go now</t>
  </si>
  <si>
    <t>C-C-19-02</t>
  </si>
  <si>
    <t>tricky back alley ways long forgotten</t>
  </si>
  <si>
    <t>C-C-19-03</t>
  </si>
  <si>
    <t>dualorg</t>
  </si>
  <si>
    <t>C-C-19-04</t>
  </si>
  <si>
    <t>side-by-side slide</t>
  </si>
  <si>
    <t>C-D-19-00</t>
  </si>
  <si>
    <t>thwump ladder</t>
  </si>
  <si>
    <t>C-D-19-01</t>
  </si>
  <si>
    <t>stayin' alive</t>
  </si>
  <si>
    <t>C-D-19-02</t>
  </si>
  <si>
    <t>things can always get worse</t>
  </si>
  <si>
    <t>C-D-19-03</t>
  </si>
  <si>
    <t>core of the abyss</t>
  </si>
  <si>
    <t>C-D-19-04</t>
  </si>
  <si>
    <t>a luring</t>
  </si>
  <si>
    <t>C-E-19-00</t>
  </si>
  <si>
    <t>closing in</t>
  </si>
  <si>
    <t>C-E-19-01</t>
  </si>
  <si>
    <t>the friendship-ending chamber</t>
  </si>
  <si>
    <t>C-E-19-02</t>
  </si>
  <si>
    <t>tridiagonal block solver</t>
  </si>
  <si>
    <t>C-E-19-03</t>
  </si>
  <si>
    <t>wither without you</t>
  </si>
  <si>
    <t>C-E-19-04</t>
  </si>
  <si>
    <t>guard distraction window</t>
  </si>
  <si>
    <t>C-X-10-00</t>
  </si>
  <si>
    <t>lack-of-space hopper</t>
  </si>
  <si>
    <t>C-X-10-01</t>
  </si>
  <si>
    <t>a room of one's clone</t>
  </si>
  <si>
    <t>C-X-10-02</t>
  </si>
  <si>
    <t>double ring</t>
  </si>
  <si>
    <t>C-X-10-03</t>
  </si>
  <si>
    <t>the witless</t>
  </si>
  <si>
    <t>C-X-10-04</t>
  </si>
  <si>
    <t>the secret of flight</t>
  </si>
  <si>
    <t>C-X-11-00</t>
  </si>
  <si>
    <t>mad close</t>
  </si>
  <si>
    <t>C-X-11-01</t>
  </si>
  <si>
    <t>dungeoneering</t>
  </si>
  <si>
    <t>C-X-11-02</t>
  </si>
  <si>
    <t>eliminate the impossible</t>
  </si>
  <si>
    <t>C-X-11-03</t>
  </si>
  <si>
    <t>n-tuple</t>
  </si>
  <si>
    <t>C-X-11-04</t>
  </si>
  <si>
    <t>message intercept base</t>
  </si>
  <si>
    <t>C-X-12-00</t>
  </si>
  <si>
    <t>el furibundo</t>
  </si>
  <si>
    <t>C-X-12-01</t>
  </si>
  <si>
    <t>pusher two</t>
  </si>
  <si>
    <t>C-X-12-02</t>
  </si>
  <si>
    <t>in a blur</t>
  </si>
  <si>
    <t>C-X-12-03</t>
  </si>
  <si>
    <t>inner and outer demons</t>
  </si>
  <si>
    <t>C-X-12-04</t>
  </si>
  <si>
    <t>timing twins</t>
  </si>
  <si>
    <t>C-X-13-00</t>
  </si>
  <si>
    <t>treading water</t>
  </si>
  <si>
    <t>C-X-13-01</t>
  </si>
  <si>
    <t>you knew I had a temper when you married me</t>
  </si>
  <si>
    <t>C-X-13-02</t>
  </si>
  <si>
    <t>C-X-13-03</t>
  </si>
  <si>
    <t>clinging together</t>
  </si>
  <si>
    <t>C-X-13-04</t>
  </si>
  <si>
    <t>staggered launch windows</t>
  </si>
  <si>
    <t>C-X-14-00</t>
  </si>
  <si>
    <t>double date</t>
  </si>
  <si>
    <t>C-X-14-01</t>
  </si>
  <si>
    <t>spin city</t>
  </si>
  <si>
    <t>C-X-14-02</t>
  </si>
  <si>
    <t>infamous last worlds</t>
  </si>
  <si>
    <t>C-X-14-03</t>
  </si>
  <si>
    <t>gezellig</t>
  </si>
  <si>
    <t>C-X-14-04</t>
  </si>
  <si>
    <t>exchanging glances</t>
  </si>
  <si>
    <t>C-X-15-00</t>
  </si>
  <si>
    <t>sequencing</t>
  </si>
  <si>
    <t>C-X-15-01</t>
  </si>
  <si>
    <t>rocket roommate</t>
  </si>
  <si>
    <t>C-X-15-02</t>
  </si>
  <si>
    <t>tight coupling</t>
  </si>
  <si>
    <t>C-X-15-03</t>
  </si>
  <si>
    <t>double enmity</t>
  </si>
  <si>
    <t>C-X-15-04</t>
  </si>
  <si>
    <t>two-fer</t>
  </si>
  <si>
    <t>C-X-16-00</t>
  </si>
  <si>
    <t>shot timer</t>
  </si>
  <si>
    <t>C-X-16-01</t>
  </si>
  <si>
    <t>teamwork!</t>
  </si>
  <si>
    <t>C-X-16-02</t>
  </si>
  <si>
    <t>target practice</t>
  </si>
  <si>
    <t>C-X-16-03</t>
  </si>
  <si>
    <t>double trouble</t>
  </si>
  <si>
    <t>C-X-16-04</t>
  </si>
  <si>
    <t>we're twins</t>
  </si>
  <si>
    <t>C-X-17-00</t>
  </si>
  <si>
    <t>juggling yourself</t>
  </si>
  <si>
    <t>C-X-17-01</t>
  </si>
  <si>
    <t>stepping on toes</t>
  </si>
  <si>
    <t>C-X-17-02</t>
  </si>
  <si>
    <t>vertical shepherd</t>
  </si>
  <si>
    <t>C-X-17-03</t>
  </si>
  <si>
    <t>dis assembly</t>
  </si>
  <si>
    <t>C-X-17-04</t>
  </si>
  <si>
    <t>buying time</t>
  </si>
  <si>
    <t>C-X-18-00</t>
  </si>
  <si>
    <t>attractive strategy</t>
  </si>
  <si>
    <t>C-X-18-01</t>
  </si>
  <si>
    <t>dancing with myself</t>
  </si>
  <si>
    <t>C-X-18-02</t>
  </si>
  <si>
    <t>in the line of you're fired</t>
  </si>
  <si>
    <t>C-X-18-03</t>
  </si>
  <si>
    <t>phobos anomaly</t>
  </si>
  <si>
    <t>C-X-18-04</t>
  </si>
  <si>
    <t>crazy clone time</t>
  </si>
  <si>
    <t>C-X-19-00</t>
  </si>
  <si>
    <t>glyphics</t>
  </si>
  <si>
    <t>C-X-19-01</t>
  </si>
  <si>
    <t>intricate teamwork</t>
  </si>
  <si>
    <t>C-X-19-02</t>
  </si>
  <si>
    <t>increasingly crowded</t>
  </si>
  <si>
    <t>C-X-19-03</t>
  </si>
  <si>
    <t>good luck</t>
  </si>
  <si>
    <t>C-X-19-04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</si>
</sst>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m&quot; &quot;yyyy"/>
    <numFmt numFmtId="165" formatCode="mmmm&quot; &quot;d&quot;, &quot;yyyy"/>
  </numFmts>
  <fonts count="44">
    <font>
      <sz val="10.0"/>
      <color rgb="FF000000"/>
      <name val="Arial"/>
    </font>
    <font>
      <color rgb="FF353534"/>
      <name val="Exo 2"/>
    </font>
    <font>
      <sz val="36.0"/>
      <color rgb="FF353534"/>
      <name val="Exo 2"/>
    </font>
    <font>
      <u/>
      <sz val="36.0"/>
      <color rgb="FF353534"/>
      <name val="Exo 2"/>
    </font>
    <font>
      <sz val="10.0"/>
      <color rgb="FF353534"/>
      <name val="Exo 2"/>
    </font>
    <font>
      <color rgb="FFC8C8CD"/>
      <name val="Exo 2"/>
    </font>
    <font/>
    <font>
      <u/>
      <color rgb="FFC8C8CD"/>
      <name val="Exo 2"/>
    </font>
    <font>
      <u/>
      <color rgb="FFC8C8CD"/>
      <name val="Exo 2"/>
    </font>
    <font>
      <sz val="24.0"/>
      <color rgb="FF7B7987"/>
      <name val="Exo 2"/>
    </font>
    <font>
      <sz val="10.0"/>
      <color rgb="FFC8C8CD"/>
      <name val="Exo 2"/>
    </font>
    <font>
      <color rgb="FFFBF9D1"/>
      <name val="Exo 2"/>
    </font>
    <font>
      <sz val="10.0"/>
      <color rgb="FF000000"/>
      <name val="Exo 2"/>
    </font>
    <font>
      <u/>
      <color rgb="FFFBF9D1"/>
      <name val="Exo 2"/>
    </font>
    <font>
      <sz val="24.0"/>
      <color rgb="FFC8C8CD"/>
      <name val="Exo 2"/>
    </font>
    <font>
      <u/>
      <sz val="10.0"/>
      <color rgb="FF353534"/>
      <name val="Exo 2"/>
    </font>
    <font>
      <color rgb="FF7B7987"/>
      <name val="Exo 2"/>
    </font>
    <font>
      <color rgb="FF000000"/>
      <name val="Exo 2"/>
    </font>
    <font>
      <u/>
      <color rgb="FFFBF9D1"/>
      <name val="Exo 2"/>
    </font>
    <font>
      <name val="Exo 2"/>
    </font>
    <font>
      <sz val="10.0"/>
      <color rgb="FF7B7987"/>
      <name val="Exo 2"/>
    </font>
    <font>
      <sz val="10.0"/>
      <color rgb="FFFFFFFF"/>
      <name val="Exo 2"/>
    </font>
    <font>
      <u/>
      <color rgb="FFC8C8CD"/>
      <name val="Exo 2"/>
    </font>
    <font>
      <u/>
      <color rgb="FFC8C8CD"/>
      <name val="Exo 2"/>
    </font>
    <font>
      <name val="Arial"/>
    </font>
    <font>
      <u/>
      <sz val="10.0"/>
      <color rgb="FF353534"/>
      <name val="Exo 2"/>
    </font>
    <font>
      <sz val="24.0"/>
      <color rgb="FF353534"/>
      <name val="Exo 2"/>
    </font>
    <font>
      <sz val="10.0"/>
      <color rgb="FFFBF9D1"/>
      <name val="Exo 2"/>
    </font>
    <font>
      <sz val="24.0"/>
      <color rgb="FF9900FF"/>
      <name val="Exo 2"/>
    </font>
    <font>
      <u/>
      <color rgb="FFC8C8CD"/>
      <name val="Exo 2"/>
    </font>
    <font>
      <sz val="10.0"/>
      <color rgb="FF9900FF"/>
      <name val="Exo 2"/>
    </font>
    <font>
      <color rgb="FF9900FF"/>
      <name val="Muli"/>
    </font>
    <font>
      <color rgb="FF353534"/>
      <name val="Muli"/>
    </font>
    <font>
      <u/>
      <sz val="36.0"/>
      <color rgb="FF353534"/>
      <name val="Muli"/>
    </font>
    <font>
      <sz val="10.0"/>
      <color rgb="FF353534"/>
      <name val="Muli"/>
    </font>
    <font>
      <color rgb="FFC8C8CD"/>
      <name val="Muli"/>
    </font>
    <font>
      <u/>
      <color rgb="FFC8C8CD"/>
      <name val="Muli"/>
    </font>
    <font>
      <sz val="10.0"/>
      <color rgb="FFC8C8CD"/>
      <name val="Muli"/>
    </font>
    <font>
      <sz val="24.0"/>
      <color rgb="FF7B7987"/>
      <name val="Muli"/>
    </font>
    <font>
      <sz val="10.0"/>
      <color rgb="FF9900FF"/>
      <name val="Muli"/>
    </font>
    <font>
      <sz val="10.0"/>
      <color rgb="FF000000"/>
      <name val="Muli"/>
    </font>
    <font>
      <color rgb="FFFBF9D1"/>
      <name val="Muli"/>
    </font>
    <font>
      <u/>
      <sz val="10.0"/>
      <color rgb="FF353534"/>
      <name val="Muli"/>
    </font>
    <font>
      <u/>
      <sz val="10.0"/>
      <color rgb="FF353534"/>
      <name val="Muli"/>
    </font>
  </fonts>
  <fills count="7">
    <fill>
      <patternFill patternType="none"/>
    </fill>
    <fill>
      <patternFill patternType="lightGray"/>
    </fill>
    <fill>
      <patternFill patternType="solid">
        <fgColor rgb="FFC8C8CD"/>
        <bgColor rgb="FFC8C8CD"/>
      </patternFill>
    </fill>
    <fill>
      <patternFill patternType="solid">
        <fgColor rgb="FF353534"/>
        <bgColor rgb="FF353534"/>
      </patternFill>
    </fill>
    <fill>
      <patternFill patternType="solid">
        <fgColor rgb="FF7B7987"/>
        <bgColor rgb="FF7B7987"/>
      </patternFill>
    </fill>
    <fill>
      <patternFill patternType="solid">
        <fgColor rgb="FF882285"/>
        <bgColor rgb="FF882285"/>
      </patternFill>
    </fill>
    <fill>
      <patternFill patternType="solid">
        <fgColor rgb="FFF4CCCC"/>
        <bgColor rgb="FFF4CCCC"/>
      </patternFill>
    </fill>
  </fills>
  <borders count="12">
    <border/>
    <border>
      <right style="thin">
        <color rgb="FFC8C8CD"/>
      </right>
    </border>
    <border>
      <left style="thin">
        <color rgb="FFC8C8CD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C8C8CD"/>
      </left>
      <right style="thin">
        <color rgb="FFC8C8CD"/>
      </right>
      <top style="thin">
        <color rgb="FFC8C8CD"/>
      </top>
      <bottom style="thin">
        <color rgb="FFC8C8CD"/>
      </bottom>
    </border>
    <border>
      <right style="thin">
        <color rgb="FFC8C8CD"/>
      </right>
      <top style="thin">
        <color rgb="FFC8C8CD"/>
      </top>
      <bottom style="thin">
        <color rgb="FFC8C8CD"/>
      </bottom>
    </border>
    <border>
      <bottom style="thin">
        <color rgb="FFC8C8CD"/>
      </bottom>
    </border>
    <border>
      <right style="thin">
        <color rgb="FFC8C8CD"/>
      </right>
      <bottom style="thin">
        <color rgb="FFC8C8CD"/>
      </bottom>
    </border>
    <border>
      <left style="thin">
        <color rgb="FFC8C8CD"/>
      </left>
      <right style="thin">
        <color rgb="FFC8C8CD"/>
      </right>
      <bottom style="thin">
        <color rgb="FFC8C8CD"/>
      </bottom>
    </border>
    <border>
      <left style="thin">
        <color rgb="FFC8C8CD"/>
      </left>
      <right style="thin">
        <color rgb="FFC8C8CD"/>
      </right>
      <top style="thin">
        <color rgb="FFC8C8CD"/>
      </top>
    </border>
    <border>
      <left style="thin">
        <color rgb="FFC8C8CD"/>
      </left>
      <right style="thin">
        <color rgb="FFC8C8CD"/>
      </right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3" fontId="5" numFmtId="0" xfId="0" applyAlignment="1" applyFill="1" applyFont="1">
      <alignment horizontal="right" readingOrder="0" shrinkToFit="0" vertical="center" wrapText="1"/>
    </xf>
    <xf borderId="1" fillId="0" fontId="6" numFmtId="0" xfId="0" applyBorder="1" applyFont="1"/>
    <xf borderId="2" fillId="4" fontId="7" numFmtId="0" xfId="0" applyAlignment="1" applyBorder="1" applyFill="1" applyFont="1">
      <alignment horizontal="right" readingOrder="0" shrinkToFit="0" vertical="center" wrapText="1"/>
    </xf>
    <xf borderId="2" fillId="4" fontId="8" numFmtId="0" xfId="0" applyAlignment="1" applyBorder="1" applyFont="1">
      <alignment horizontal="right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right" readingOrder="0" shrinkToFit="0" vertical="center" wrapText="1"/>
    </xf>
    <xf borderId="0" fillId="2" fontId="1" numFmtId="0" xfId="0" applyAlignment="1" applyFont="1">
      <alignment horizontal="right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3" fillId="2" fontId="4" numFmtId="0" xfId="0" applyAlignment="1" applyBorder="1" applyFont="1">
      <alignment horizontal="left" readingOrder="0" shrinkToFit="0" vertical="center" wrapText="1"/>
    </xf>
    <xf borderId="3" fillId="4" fontId="11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0" fillId="2" fontId="12" numFmtId="0" xfId="0" applyAlignment="1" applyFont="1">
      <alignment horizontal="center" readingOrder="0" shrinkToFit="0" vertical="center" wrapText="1"/>
    </xf>
    <xf borderId="0" fillId="4" fontId="13" numFmtId="0" xfId="0" applyAlignment="1" applyFont="1">
      <alignment horizontal="center" shrinkToFit="0" vertical="center" wrapText="1"/>
    </xf>
    <xf borderId="0" fillId="5" fontId="14" numFmtId="0" xfId="0" applyAlignment="1" applyFill="1" applyFont="1">
      <alignment horizontal="left" readingOrder="0" shrinkToFit="0" vertical="center" wrapText="1"/>
    </xf>
    <xf borderId="0" fillId="5" fontId="10" numFmtId="0" xfId="0" applyAlignment="1" applyFont="1">
      <alignment horizontal="left" readingOrder="0" shrinkToFit="0" vertical="center" wrapText="1"/>
    </xf>
    <xf borderId="3" fillId="2" fontId="15" numFmtId="0" xfId="0" applyAlignment="1" applyBorder="1" applyFont="1">
      <alignment horizontal="left" readingOrder="0" shrinkToFit="0" vertical="center" wrapText="1"/>
    </xf>
    <xf borderId="3" fillId="2" fontId="4" numFmtId="0" xfId="0" applyAlignment="1" applyBorder="1" applyFont="1">
      <alignment horizontal="right" readingOrder="0" shrinkToFit="0" vertical="center" wrapText="1"/>
    </xf>
    <xf borderId="0" fillId="2" fontId="4" numFmtId="0" xfId="0" applyAlignment="1" applyFont="1">
      <alignment horizontal="right" readingOrder="0" shrinkToFit="0" vertical="center" wrapText="1"/>
    </xf>
    <xf borderId="3" fillId="2" fontId="4" numFmtId="0" xfId="0" applyAlignment="1" applyBorder="1" applyFont="1">
      <alignment horizontal="left" shrinkToFit="0" vertical="center" wrapText="1"/>
    </xf>
    <xf borderId="0" fillId="2" fontId="16" numFmtId="0" xfId="0" applyAlignment="1" applyFont="1">
      <alignment horizontal="right" readingOrder="0" shrinkToFit="0" vertical="center" wrapText="1"/>
    </xf>
    <xf borderId="0" fillId="2" fontId="17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shrinkToFit="0" vertical="center" wrapText="1"/>
    </xf>
    <xf borderId="0" fillId="4" fontId="18" numFmtId="0" xfId="0" applyAlignment="1" applyFont="1">
      <alignment horizontal="center" shrinkToFit="0" vertical="center" wrapText="1"/>
    </xf>
    <xf borderId="0" fillId="2" fontId="19" numFmtId="0" xfId="0" applyAlignment="1" applyFont="1">
      <alignment horizontal="center" shrinkToFit="0" vertical="center" wrapText="1"/>
    </xf>
    <xf borderId="0" fillId="2" fontId="19" numFmtId="0" xfId="0" applyAlignment="1" applyFont="1">
      <alignment vertical="center"/>
    </xf>
    <xf borderId="2" fillId="3" fontId="5" numFmtId="0" xfId="0" applyAlignment="1" applyBorder="1" applyFont="1">
      <alignment horizontal="right" readingOrder="0" shrinkToFit="0" vertical="center" wrapText="1"/>
    </xf>
    <xf borderId="0" fillId="2" fontId="19" numFmtId="0" xfId="0" applyAlignment="1" applyFont="1">
      <alignment vertical="center"/>
    </xf>
    <xf borderId="0" fillId="2" fontId="20" numFmtId="0" xfId="0" applyAlignment="1" applyFont="1">
      <alignment horizontal="right" readingOrder="0" shrinkToFit="0" vertical="center" wrapText="1"/>
    </xf>
    <xf borderId="0" fillId="2" fontId="16" numFmtId="0" xfId="0" applyAlignment="1" applyFont="1">
      <alignment horizontal="right" shrinkToFit="0" vertical="center" wrapText="1"/>
    </xf>
    <xf borderId="0" fillId="2" fontId="21" numFmtId="0" xfId="0" applyAlignment="1" applyFont="1">
      <alignment horizontal="left" readingOrder="0" shrinkToFit="0" vertical="center" wrapText="1"/>
    </xf>
    <xf borderId="0" fillId="2" fontId="21" numFmtId="0" xfId="0" applyAlignment="1" applyFont="1">
      <alignment horizontal="center" readingOrder="0" shrinkToFit="0" vertical="center" wrapText="1"/>
    </xf>
    <xf borderId="4" fillId="2" fontId="16" numFmtId="0" xfId="0" applyAlignment="1" applyBorder="1" applyFont="1">
      <alignment horizontal="right" shrinkToFit="0" vertical="center" wrapText="1"/>
    </xf>
    <xf borderId="4" fillId="2" fontId="17" numFmtId="0" xfId="0" applyAlignment="1" applyBorder="1" applyFont="1">
      <alignment horizontal="center" shrinkToFit="0" vertical="center" wrapText="1"/>
    </xf>
    <xf borderId="2" fillId="3" fontId="22" numFmtId="0" xfId="0" applyAlignment="1" applyBorder="1" applyFont="1">
      <alignment horizontal="right" readingOrder="0" shrinkToFit="0" vertical="center" wrapText="1"/>
    </xf>
    <xf borderId="0" fillId="4" fontId="23" numFmtId="0" xfId="0" applyAlignment="1" applyFont="1">
      <alignment horizontal="right" shrinkToFit="0" vertical="center" wrapText="1"/>
    </xf>
    <xf borderId="0" fillId="2" fontId="24" numFmtId="0" xfId="0" applyAlignment="1" applyFont="1">
      <alignment vertical="center"/>
    </xf>
    <xf borderId="3" fillId="2" fontId="25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2" fontId="4" numFmtId="164" xfId="0" applyAlignment="1" applyBorder="1" applyFont="1" applyNumberForma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horizontal="center" shrinkToFit="0" vertical="center" wrapText="1"/>
    </xf>
    <xf borderId="0" fillId="2" fontId="20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3" fillId="2" fontId="10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2" fontId="26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2" fontId="9" numFmtId="49" xfId="0" applyAlignment="1" applyFont="1" applyNumberFormat="1">
      <alignment horizontal="left" readingOrder="0" shrinkToFit="0" vertical="center" wrapText="1"/>
    </xf>
    <xf borderId="0" fillId="2" fontId="9" numFmtId="49" xfId="0" applyAlignment="1" applyFont="1" applyNumberFormat="1">
      <alignment horizontal="right" readingOrder="0" shrinkToFit="0" vertical="center" wrapText="1"/>
    </xf>
    <xf borderId="0" fillId="4" fontId="10" numFmtId="10" xfId="0" applyAlignment="1" applyFont="1" applyNumberFormat="1">
      <alignment horizontal="center" readingOrder="0" shrinkToFit="0" vertical="center" wrapText="1"/>
    </xf>
    <xf borderId="0" fillId="4" fontId="5" numFmtId="0" xfId="0" applyAlignment="1" applyFont="1">
      <alignment horizontal="right" readingOrder="0" shrinkToFit="0" vertical="center" wrapText="1"/>
    </xf>
    <xf borderId="0" fillId="2" fontId="12" numFmtId="0" xfId="0" applyAlignment="1" applyFont="1">
      <alignment horizontal="right" readingOrder="0" shrinkToFit="0" vertical="center" wrapText="1"/>
    </xf>
    <xf borderId="0" fillId="2" fontId="10" numFmtId="0" xfId="0" applyAlignment="1" applyFont="1">
      <alignment horizontal="right" readingOrder="0" shrinkToFit="0" vertical="center" wrapText="1"/>
    </xf>
    <xf borderId="0" fillId="2" fontId="17" numFmtId="0" xfId="0" applyAlignment="1" applyFont="1">
      <alignment horizontal="right" readingOrder="0" shrinkToFit="0" vertical="center" wrapText="1"/>
    </xf>
    <xf borderId="0" fillId="2" fontId="20" numFmtId="10" xfId="0" applyAlignment="1" applyFont="1" applyNumberFormat="1">
      <alignment horizontal="center" readingOrder="0" shrinkToFit="0" vertical="center" wrapText="1"/>
    </xf>
    <xf borderId="0" fillId="2" fontId="28" numFmtId="0" xfId="0" applyAlignment="1" applyFont="1">
      <alignment horizontal="left" readingOrder="0" shrinkToFit="0" vertical="center" wrapText="1"/>
    </xf>
    <xf borderId="5" fillId="4" fontId="10" numFmtId="10" xfId="0" applyAlignment="1" applyBorder="1" applyFont="1" applyNumberFormat="1">
      <alignment horizontal="center" readingOrder="0" shrinkToFit="0" vertical="center" wrapText="1"/>
    </xf>
    <xf borderId="5" fillId="2" fontId="9" numFmtId="49" xfId="0" applyAlignment="1" applyBorder="1" applyFont="1" applyNumberFormat="1">
      <alignment horizontal="left" readingOrder="0" shrinkToFit="0" vertical="center" wrapText="1"/>
    </xf>
    <xf borderId="6" fillId="2" fontId="9" numFmtId="49" xfId="0" applyAlignment="1" applyBorder="1" applyFont="1" applyNumberFormat="1">
      <alignment horizontal="left" readingOrder="0" shrinkToFit="0" vertical="center" wrapText="1"/>
    </xf>
    <xf borderId="0" fillId="4" fontId="29" numFmtId="0" xfId="0" applyAlignment="1" applyFont="1">
      <alignment horizontal="right" readingOrder="0" shrinkToFit="0" vertical="center" wrapText="1"/>
    </xf>
    <xf borderId="0" fillId="2" fontId="9" numFmtId="0" xfId="0" applyAlignment="1" applyFont="1">
      <alignment shrinkToFit="0" vertical="center" wrapText="1"/>
    </xf>
    <xf borderId="2" fillId="4" fontId="5" numFmtId="0" xfId="0" applyAlignment="1" applyBorder="1" applyFont="1">
      <alignment horizontal="right" readingOrder="0" shrinkToFit="0" vertical="center" wrapText="1"/>
    </xf>
    <xf borderId="0" fillId="2" fontId="17" numFmtId="0" xfId="0" applyAlignment="1" applyFont="1">
      <alignment horizontal="right" shrinkToFit="0" wrapText="1"/>
    </xf>
    <xf borderId="7" fillId="2" fontId="16" numFmtId="10" xfId="0" applyAlignment="1" applyBorder="1" applyFont="1" applyNumberFormat="1">
      <alignment horizontal="center" shrinkToFit="0" wrapText="1"/>
    </xf>
    <xf borderId="8" fillId="4" fontId="24" numFmtId="10" xfId="0" applyBorder="1" applyFont="1" applyNumberFormat="1"/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6" numFmtId="0" xfId="0" applyAlignment="1" applyFont="1">
      <alignment horizontal="center" shrinkToFit="0" vertical="bottom" wrapText="1"/>
    </xf>
    <xf borderId="9" fillId="4" fontId="24" numFmtId="10" xfId="0" applyBorder="1" applyFont="1" applyNumberFormat="1"/>
    <xf borderId="5" fillId="4" fontId="4" numFmtId="0" xfId="0" applyAlignment="1" applyBorder="1" applyFont="1">
      <alignment horizontal="left" readingOrder="0" shrinkToFit="0" vertical="center" wrapText="1"/>
    </xf>
    <xf borderId="5" fillId="2" fontId="4" numFmtId="0" xfId="0" applyAlignment="1" applyBorder="1" applyFont="1">
      <alignment horizontal="left" readingOrder="0" shrinkToFit="0" vertical="center" wrapText="1"/>
    </xf>
    <xf borderId="0" fillId="2" fontId="6" numFmtId="0" xfId="0" applyFont="1"/>
    <xf borderId="10" fillId="4" fontId="4" numFmtId="0" xfId="0" applyAlignment="1" applyBorder="1" applyFont="1">
      <alignment horizontal="left" readingOrder="0" shrinkToFit="0" vertical="center" wrapText="1"/>
    </xf>
    <xf borderId="11" fillId="0" fontId="6" numFmtId="0" xfId="0" applyBorder="1" applyFont="1"/>
    <xf borderId="9" fillId="0" fontId="6" numFmtId="0" xfId="0" applyBorder="1" applyFont="1"/>
    <xf borderId="0" fillId="2" fontId="16" numFmtId="0" xfId="0" applyAlignment="1" applyFont="1">
      <alignment horizontal="center" shrinkToFit="0" wrapText="1"/>
    </xf>
    <xf borderId="0" fillId="6" fontId="9" numFmtId="49" xfId="0" applyAlignment="1" applyFill="1" applyFont="1" applyNumberFormat="1">
      <alignment horizontal="left" readingOrder="0" shrinkToFit="0" vertical="center" wrapText="1"/>
    </xf>
    <xf borderId="0" fillId="6" fontId="9" numFmtId="49" xfId="0" applyAlignment="1" applyFont="1" applyNumberFormat="1">
      <alignment horizontal="right" readingOrder="0" shrinkToFit="0" vertical="center" wrapText="1"/>
    </xf>
    <xf borderId="0" fillId="6" fontId="12" numFmtId="0" xfId="0" applyAlignment="1" applyFont="1">
      <alignment horizontal="left" readingOrder="0" shrinkToFit="0" vertical="center" wrapText="1"/>
    </xf>
    <xf borderId="0" fillId="2" fontId="17" numFmtId="0" xfId="0" applyAlignment="1" applyFont="1">
      <alignment horizontal="right" readingOrder="0" shrinkToFit="0" wrapText="1"/>
    </xf>
    <xf borderId="0" fillId="2" fontId="1" numFmtId="0" xfId="0" applyAlignment="1" applyFont="1">
      <alignment horizontal="center" shrinkToFit="0" wrapText="1"/>
    </xf>
    <xf borderId="0" fillId="2" fontId="9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1" numFmtId="20" xfId="0" applyAlignment="1" applyFont="1" applyNumberFormat="1">
      <alignment horizontal="right" readingOrder="0" shrinkToFit="0" vertical="center" wrapText="1"/>
    </xf>
    <xf borderId="0" fillId="2" fontId="5" numFmtId="0" xfId="0" applyAlignment="1" applyFont="1">
      <alignment horizontal="right" readingOrder="0" shrinkToFit="0" vertical="center" wrapText="1"/>
    </xf>
    <xf borderId="0" fillId="3" fontId="5" numFmtId="0" xfId="0" applyAlignment="1" applyFont="1">
      <alignment horizontal="right" shrinkToFit="0" wrapText="1"/>
    </xf>
    <xf borderId="0" fillId="2" fontId="30" numFmtId="0" xfId="0" applyAlignment="1" applyFont="1">
      <alignment horizontal="center" readingOrder="0" shrinkToFit="0" vertical="center" wrapText="1"/>
    </xf>
    <xf borderId="0" fillId="2" fontId="30" numFmtId="0" xfId="0" applyAlignment="1" applyFont="1">
      <alignment horizontal="center" shrinkToFit="0" vertical="center" wrapText="1"/>
    </xf>
    <xf borderId="0" fillId="2" fontId="31" numFmtId="0" xfId="0" applyAlignment="1" applyFont="1">
      <alignment horizontal="center" shrinkToFit="0" vertical="center" wrapText="1"/>
    </xf>
    <xf borderId="0" fillId="2" fontId="32" numFmtId="0" xfId="0" applyAlignment="1" applyFont="1">
      <alignment horizontal="center" shrinkToFit="0" vertical="center" wrapText="1"/>
    </xf>
    <xf borderId="0" fillId="2" fontId="33" numFmtId="0" xfId="0" applyAlignment="1" applyFont="1">
      <alignment horizontal="left" readingOrder="0" shrinkToFit="0" vertical="center" wrapText="1"/>
    </xf>
    <xf borderId="0" fillId="2" fontId="34" numFmtId="0" xfId="0" applyAlignment="1" applyFont="1">
      <alignment horizontal="left" readingOrder="0" shrinkToFit="0" vertical="center" wrapText="1"/>
    </xf>
    <xf borderId="0" fillId="3" fontId="35" numFmtId="0" xfId="0" applyAlignment="1" applyFont="1">
      <alignment horizontal="right" readingOrder="0" shrinkToFit="0" vertical="center" wrapText="1"/>
    </xf>
    <xf borderId="2" fillId="4" fontId="36" numFmtId="0" xfId="0" applyAlignment="1" applyBorder="1" applyFont="1">
      <alignment horizontal="right" readingOrder="0" shrinkToFit="0" vertical="center" wrapText="1"/>
    </xf>
    <xf borderId="0" fillId="2" fontId="32" numFmtId="0" xfId="0" applyAlignment="1" applyFont="1">
      <alignment horizontal="right" readingOrder="0" shrinkToFit="0" vertical="center" wrapText="1"/>
    </xf>
    <xf borderId="0" fillId="2" fontId="37" numFmtId="0" xfId="0" applyAlignment="1" applyFont="1">
      <alignment horizontal="center" readingOrder="0" shrinkToFit="0" vertical="center" wrapText="1"/>
    </xf>
    <xf borderId="0" fillId="2" fontId="38" numFmtId="0" xfId="0" applyAlignment="1" applyFont="1">
      <alignment horizontal="left" readingOrder="0" shrinkToFit="0" vertical="center" wrapText="1"/>
    </xf>
    <xf borderId="0" fillId="2" fontId="39" numFmtId="0" xfId="0" applyAlignment="1" applyFont="1">
      <alignment horizontal="center" readingOrder="0" shrinkToFit="0" vertical="center" wrapText="1"/>
    </xf>
    <xf borderId="3" fillId="2" fontId="34" numFmtId="0" xfId="0" applyAlignment="1" applyBorder="1" applyFont="1">
      <alignment horizontal="left" readingOrder="0" shrinkToFit="0" vertical="center" wrapText="1"/>
    </xf>
    <xf borderId="0" fillId="2" fontId="38" numFmtId="0" xfId="0" applyAlignment="1" applyFont="1">
      <alignment horizontal="right" readingOrder="0" shrinkToFit="0" vertical="center" wrapText="1"/>
    </xf>
    <xf borderId="0" fillId="2" fontId="34" numFmtId="0" xfId="0" applyAlignment="1" applyFont="1">
      <alignment horizontal="center" readingOrder="0" shrinkToFit="0" vertical="center" wrapText="1"/>
    </xf>
    <xf borderId="0" fillId="2" fontId="40" numFmtId="0" xfId="0" applyAlignment="1" applyFont="1">
      <alignment horizontal="center" readingOrder="0" shrinkToFit="0" vertical="center" wrapText="1"/>
    </xf>
    <xf borderId="3" fillId="4" fontId="41" numFmtId="0" xfId="0" applyAlignment="1" applyBorder="1" applyFont="1">
      <alignment horizontal="center" readingOrder="0" shrinkToFit="0" vertical="center" wrapText="1"/>
    </xf>
    <xf borderId="3" fillId="2" fontId="42" numFmtId="0" xfId="0" applyAlignment="1" applyBorder="1" applyFont="1">
      <alignment horizontal="center" readingOrder="0" shrinkToFit="0" vertical="center" wrapText="1"/>
    </xf>
    <xf borderId="3" fillId="2" fontId="34" numFmtId="0" xfId="0" applyAlignment="1" applyBorder="1" applyFont="1">
      <alignment horizontal="center" readingOrder="0" shrinkToFit="0" vertical="center" wrapText="1"/>
    </xf>
    <xf borderId="3" fillId="2" fontId="34" numFmtId="165" xfId="0" applyAlignment="1" applyBorder="1" applyFont="1" applyNumberFormat="1">
      <alignment horizontal="left" readingOrder="0" shrinkToFit="0" vertical="center" wrapText="1"/>
    </xf>
    <xf borderId="3" fillId="2" fontId="4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7B7987"/>
      </font>
      <fill>
        <patternFill patternType="solid">
          <fgColor rgb="FFC8C8CD"/>
          <bgColor rgb="FFC8C8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2" t="s">
        <v>0</v>
      </c>
      <c r="N1" s="4"/>
    </row>
    <row r="2">
      <c r="A2" s="1"/>
      <c r="N2" s="4"/>
    </row>
    <row r="3">
      <c r="A3" s="1"/>
      <c r="N3" s="4"/>
    </row>
    <row r="4">
      <c r="A4" s="1"/>
      <c r="B4" s="5" t="str">
        <f>TEXT(NOW(), "dddd")</f>
        <v>Monday</v>
      </c>
      <c r="C4" s="6"/>
      <c r="D4" s="5" t="str">
        <f>TEXT(NOW(), "d")</f>
        <v>6</v>
      </c>
      <c r="E4" s="6"/>
      <c r="F4" s="5" t="str">
        <f>TEXT(NOW(), "mmmm")</f>
        <v>May</v>
      </c>
      <c r="G4" s="6"/>
      <c r="H4" s="5" t="str">
        <f>TEXT(NOW(), "yyyy")</f>
        <v>2019</v>
      </c>
      <c r="I4" s="6"/>
      <c r="J4" s="9"/>
      <c r="L4" s="9"/>
      <c r="N4" s="9"/>
    </row>
    <row r="5">
      <c r="A5" s="1"/>
      <c r="B5" s="10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9"/>
    </row>
    <row r="6">
      <c r="A6" s="1"/>
      <c r="B6" s="10" t="s">
        <v>8</v>
      </c>
      <c r="L6" s="11">
        <f>'Players&gt;Videos'!I34</f>
        <v>4750</v>
      </c>
      <c r="N6" s="9"/>
    </row>
    <row r="7">
      <c r="A7" s="1"/>
      <c r="N7" s="9"/>
    </row>
    <row r="8">
      <c r="A8" s="1"/>
      <c r="B8" s="4" t="s">
        <v>12</v>
      </c>
      <c r="N8" s="9"/>
    </row>
    <row r="9">
      <c r="A9" s="1"/>
      <c r="B9" s="15" t="str">
        <f>'Players&gt;List'!B29</f>
        <v>[SYS]</v>
      </c>
      <c r="C9" s="14" t="str">
        <f>'Players&gt;List'!C29</f>
        <v>systeminspired</v>
      </c>
      <c r="D9" s="16"/>
      <c r="E9" s="16"/>
      <c r="F9" s="16"/>
      <c r="G9" s="16"/>
      <c r="H9" s="15" t="str">
        <f>'Players&gt;List'!B11</f>
        <v>[CHB]</v>
      </c>
      <c r="I9" s="14" t="str">
        <f>'Players&gt;List'!C11</f>
        <v>Chebyshevrolet</v>
      </c>
      <c r="J9" s="16"/>
      <c r="K9" s="16"/>
      <c r="L9" s="16"/>
      <c r="M9" s="16"/>
      <c r="N9" s="9"/>
    </row>
    <row r="10">
      <c r="A10" s="1"/>
      <c r="B10" s="10" t="s">
        <v>16</v>
      </c>
      <c r="N10" s="9"/>
    </row>
    <row r="11">
      <c r="A11" s="1"/>
      <c r="N11" s="9"/>
    </row>
    <row r="12">
      <c r="A12" s="1"/>
      <c r="B12" s="7" t="s">
        <v>2</v>
      </c>
      <c r="D12" s="7" t="s">
        <v>3</v>
      </c>
      <c r="E12" s="6"/>
      <c r="F12" s="8" t="s">
        <v>4</v>
      </c>
      <c r="G12" s="6"/>
      <c r="H12" s="7" t="s">
        <v>5</v>
      </c>
      <c r="I12" s="6"/>
      <c r="J12" s="8" t="s">
        <v>6</v>
      </c>
      <c r="K12" s="6"/>
      <c r="L12" s="7" t="s">
        <v>7</v>
      </c>
      <c r="N12" s="9"/>
    </row>
    <row r="13">
      <c r="A13" s="1"/>
      <c r="B13" s="10" t="s">
        <v>21</v>
      </c>
      <c r="N13" s="9"/>
    </row>
    <row r="14">
      <c r="A14" s="1"/>
      <c r="N14" s="9"/>
    </row>
    <row r="15">
      <c r="A15" s="1"/>
      <c r="B15" s="7" t="s">
        <v>3</v>
      </c>
      <c r="C15" s="6"/>
      <c r="D15" s="8" t="s">
        <v>4</v>
      </c>
      <c r="E15" s="6"/>
      <c r="F15" s="9"/>
      <c r="G15" s="9"/>
      <c r="H15" s="9"/>
      <c r="I15" s="9"/>
      <c r="J15" s="9"/>
      <c r="K15" s="9"/>
      <c r="L15" s="9"/>
      <c r="M15" s="9"/>
      <c r="N15" s="9"/>
    </row>
    <row r="16">
      <c r="A16" s="1"/>
      <c r="B16" s="10" t="s">
        <v>26</v>
      </c>
      <c r="N16" s="9"/>
    </row>
    <row r="17">
      <c r="A17" s="1"/>
      <c r="N17" s="9"/>
    </row>
    <row r="18">
      <c r="A18" s="1"/>
      <c r="B18" s="7" t="s">
        <v>2</v>
      </c>
      <c r="D18" s="7" t="s">
        <v>3</v>
      </c>
      <c r="E18" s="6"/>
      <c r="F18" s="8" t="s">
        <v>4</v>
      </c>
      <c r="G18" s="6"/>
      <c r="H18" s="7" t="s">
        <v>5</v>
      </c>
      <c r="I18" s="6"/>
      <c r="J18" s="9"/>
      <c r="K18" s="9"/>
      <c r="L18" s="9"/>
      <c r="M18" s="9"/>
      <c r="N18" s="9"/>
    </row>
    <row r="19">
      <c r="A19" s="1"/>
      <c r="B19" s="10" t="s">
        <v>32</v>
      </c>
      <c r="N19" s="9"/>
    </row>
    <row r="20">
      <c r="A20" s="1"/>
      <c r="N20" s="9"/>
    </row>
    <row r="21">
      <c r="A21" s="1"/>
      <c r="B21" s="7" t="s">
        <v>2</v>
      </c>
      <c r="D21" s="7" t="s">
        <v>3</v>
      </c>
      <c r="E21" s="6"/>
      <c r="F21" s="7" t="s">
        <v>5</v>
      </c>
      <c r="G21" s="6"/>
      <c r="H21" s="9"/>
      <c r="I21" s="9"/>
      <c r="J21" s="9"/>
      <c r="K21" s="9"/>
      <c r="L21" s="9"/>
      <c r="M21" s="9"/>
      <c r="N21" s="9"/>
    </row>
    <row r="22">
      <c r="A22" s="1"/>
      <c r="B22" s="10" t="s">
        <v>38</v>
      </c>
      <c r="N22" s="9"/>
    </row>
    <row r="23">
      <c r="A23" s="1"/>
      <c r="N23" s="9"/>
    </row>
    <row r="24">
      <c r="A24" s="1"/>
      <c r="B24" s="7" t="s">
        <v>39</v>
      </c>
      <c r="D24" s="7" t="s">
        <v>41</v>
      </c>
      <c r="E24" s="6"/>
      <c r="F24" s="9"/>
      <c r="G24" s="9"/>
      <c r="H24" s="9"/>
      <c r="I24" s="9"/>
      <c r="J24" s="9"/>
      <c r="K24" s="9"/>
      <c r="L24" s="9"/>
      <c r="M24" s="9"/>
      <c r="N24" s="9"/>
    </row>
    <row r="25">
      <c r="A25" s="1"/>
      <c r="B25" s="10" t="s">
        <v>42</v>
      </c>
      <c r="N25" s="9"/>
    </row>
    <row r="26">
      <c r="A26" s="1"/>
      <c r="N26" s="9"/>
    </row>
    <row r="27">
      <c r="A27" s="1"/>
      <c r="B27" s="7" t="s">
        <v>43</v>
      </c>
      <c r="D27" s="7" t="s">
        <v>44</v>
      </c>
      <c r="F27" s="7" t="s">
        <v>45</v>
      </c>
      <c r="H27" s="7" t="s">
        <v>47</v>
      </c>
      <c r="J27" s="9"/>
      <c r="K27" s="9"/>
      <c r="L27" s="9"/>
      <c r="M27" s="9"/>
      <c r="N27" s="9"/>
    </row>
    <row r="28">
      <c r="A28" s="1"/>
      <c r="B28" s="19" t="s">
        <v>49</v>
      </c>
      <c r="L28" s="20"/>
      <c r="M28" s="20"/>
      <c r="N28" s="9"/>
    </row>
    <row r="29">
      <c r="A29" s="1"/>
      <c r="L29" s="20"/>
      <c r="M29" s="20"/>
      <c r="N29" s="9"/>
    </row>
    <row r="30">
      <c r="A30" s="1"/>
      <c r="B30" s="20" t="s">
        <v>53</v>
      </c>
      <c r="N30" s="9"/>
    </row>
    <row r="31">
      <c r="A31" s="1"/>
      <c r="B31" s="10" t="s">
        <v>54</v>
      </c>
      <c r="N31" s="4"/>
    </row>
    <row r="32">
      <c r="A32" s="1"/>
      <c r="N32" s="4"/>
    </row>
    <row r="33">
      <c r="A33" s="1"/>
      <c r="B33" s="21" t="str">
        <f>HYPERLINK("https://docs.google.com/spreadsheets/d/1taKELeBsDnTkLQwHCAXHNDc16JUAn1zuVxYO5gAdmM0","N++ Completion Point and Secret Breakdown")</f>
        <v>N++ Completion Point and Secret Breakdown</v>
      </c>
      <c r="C33" s="16"/>
      <c r="D33" s="16"/>
      <c r="E33" s="16"/>
      <c r="F33" s="16"/>
      <c r="G33" s="16"/>
      <c r="H33" s="16"/>
      <c r="I33" s="16"/>
      <c r="J33" s="22" t="s">
        <v>61</v>
      </c>
      <c r="K33" s="16"/>
      <c r="L33" s="16"/>
      <c r="M33" s="16"/>
      <c r="N33" s="9"/>
    </row>
    <row r="34">
      <c r="A34" s="1"/>
      <c r="B34" s="9"/>
      <c r="D34" s="9"/>
      <c r="E34" s="1"/>
      <c r="F34" s="1"/>
      <c r="G34" s="1"/>
      <c r="H34" s="1"/>
      <c r="I34" s="1"/>
      <c r="J34" s="1"/>
      <c r="K34" s="1"/>
      <c r="L34" s="23" t="s">
        <v>64</v>
      </c>
      <c r="N34" s="4"/>
    </row>
    <row r="35">
      <c r="A35" s="1"/>
      <c r="B35" s="21" t="str">
        <f>HYPERLINK("https://docs.google.com/spreadsheets/d/1x4F_fZSS6eEDB41qNQC8Qa_E3WGkLF6-avLadhLjIPU/htmlview#gid=2105868476","N++ secret level origins : secrets")</f>
        <v>N++ secret level origins : secrets</v>
      </c>
      <c r="C35" s="16"/>
      <c r="D35" s="16"/>
      <c r="E35" s="16"/>
      <c r="F35" s="16"/>
      <c r="G35" s="16"/>
      <c r="H35" s="16"/>
      <c r="I35" s="16"/>
      <c r="J35" s="22" t="s">
        <v>69</v>
      </c>
      <c r="K35" s="16"/>
      <c r="L35" s="16"/>
      <c r="M35" s="16"/>
      <c r="N35" s="4"/>
    </row>
    <row r="36">
      <c r="A36" s="1"/>
      <c r="B36" s="9"/>
      <c r="D36" s="9"/>
      <c r="E36" s="1"/>
      <c r="F36" s="1"/>
      <c r="G36" s="1"/>
      <c r="H36" s="1"/>
      <c r="I36" s="1"/>
      <c r="J36" s="1"/>
      <c r="K36" s="1"/>
      <c r="L36" s="23" t="s">
        <v>64</v>
      </c>
      <c r="N36" s="4"/>
    </row>
    <row r="37">
      <c r="A37" s="1"/>
      <c r="B37" s="21" t="str">
        <f>HYPERLINK("https://docs.google.com/spreadsheets/d/1ZlZu3T8fQtYcV18RJPVbK764bgpAr62OSOYs3qUIQLs/edit?usp=sharing","N++ Legacy Challenges")</f>
        <v>N++ Legacy Challenges</v>
      </c>
      <c r="C37" s="16"/>
      <c r="D37" s="16"/>
      <c r="E37" s="16"/>
      <c r="F37" s="16"/>
      <c r="G37" s="16"/>
      <c r="H37" s="16"/>
      <c r="I37" s="16"/>
      <c r="J37" s="22" t="s">
        <v>74</v>
      </c>
      <c r="K37" s="16"/>
      <c r="L37" s="16"/>
      <c r="M37" s="16"/>
      <c r="N37" s="4"/>
    </row>
    <row r="38">
      <c r="A38" s="1"/>
      <c r="B38" s="9"/>
      <c r="D38" s="9"/>
      <c r="E38" s="1"/>
      <c r="F38" s="1"/>
      <c r="G38" s="1"/>
      <c r="H38" s="1"/>
      <c r="I38" s="1"/>
      <c r="J38" s="1"/>
      <c r="K38" s="1"/>
      <c r="L38" s="23" t="s">
        <v>64</v>
      </c>
      <c r="N38" s="4"/>
    </row>
    <row r="39">
      <c r="A39" s="1"/>
      <c r="B39" s="21" t="str">
        <f>HYPERLINK("http://nplusplus.wikia.com/wiki/Secret_Challenges/Levels","Secret Challenges/Levels")</f>
        <v>Secret Challenges/Levels</v>
      </c>
      <c r="C39" s="16"/>
      <c r="D39" s="16"/>
      <c r="E39" s="16"/>
      <c r="F39" s="16"/>
      <c r="G39" s="16"/>
      <c r="H39" s="16"/>
      <c r="I39" s="16"/>
      <c r="J39" s="22" t="s">
        <v>80</v>
      </c>
      <c r="K39" s="16"/>
      <c r="L39" s="16"/>
      <c r="M39" s="16"/>
      <c r="N39" s="4"/>
    </row>
    <row r="40">
      <c r="A40" s="1"/>
      <c r="B40" s="9"/>
      <c r="D40" s="9"/>
      <c r="E40" s="1"/>
      <c r="F40" s="1"/>
      <c r="G40" s="1"/>
      <c r="H40" s="1"/>
      <c r="I40" s="1"/>
      <c r="J40" s="1"/>
      <c r="K40" s="1"/>
      <c r="L40" s="23" t="s">
        <v>64</v>
      </c>
      <c r="N40" s="4"/>
    </row>
    <row r="41">
      <c r="A41" s="1"/>
      <c r="B41" s="21" t="str">
        <f>HYPERLINK("https://www.youtube.com/watch?v=kAElq_eUVhc","Headbands")</f>
        <v>Headbands</v>
      </c>
      <c r="C41" s="16"/>
      <c r="D41" s="16"/>
      <c r="E41" s="16"/>
      <c r="F41" s="16"/>
      <c r="G41" s="16"/>
      <c r="H41" s="16"/>
      <c r="I41" s="16"/>
      <c r="J41" s="22" t="s">
        <v>86</v>
      </c>
      <c r="K41" s="16"/>
      <c r="L41" s="16"/>
      <c r="M41" s="16"/>
      <c r="N41" s="4"/>
    </row>
    <row r="42">
      <c r="A42" s="1"/>
      <c r="B42" s="9"/>
      <c r="D42" s="9"/>
      <c r="E42" s="1"/>
      <c r="F42" s="1"/>
      <c r="G42" s="1"/>
      <c r="H42" s="1"/>
      <c r="I42" s="1"/>
      <c r="J42" s="1"/>
      <c r="K42" s="1"/>
      <c r="L42" s="23" t="s">
        <v>64</v>
      </c>
      <c r="N42" s="4"/>
    </row>
    <row r="43">
      <c r="A43" s="1"/>
      <c r="B43" s="21" t="str">
        <f>HYPERLINK("https://docs.google.com/spreadsheets/d/1Xcwrtf52evkbuLYmEhWdeBrxXZgmepv5zDcH6gIOyY0/edit#gid=0","N++ Multiplayer via Parsec")</f>
        <v>N++ Multiplayer via Parsec</v>
      </c>
      <c r="C43" s="16"/>
      <c r="D43" s="16"/>
      <c r="E43" s="16"/>
      <c r="F43" s="16"/>
      <c r="G43" s="16"/>
      <c r="H43" s="16"/>
      <c r="I43" s="16"/>
      <c r="J43" s="22" t="s">
        <v>93</v>
      </c>
      <c r="K43" s="16"/>
      <c r="L43" s="16"/>
      <c r="M43" s="16"/>
      <c r="N43" s="4"/>
    </row>
    <row r="44">
      <c r="A44" s="1"/>
      <c r="B44" s="9"/>
      <c r="D44" s="9"/>
      <c r="E44" s="1"/>
      <c r="F44" s="1"/>
      <c r="G44" s="1"/>
      <c r="H44" s="1"/>
      <c r="I44" s="1"/>
      <c r="J44" s="1"/>
      <c r="K44" s="1"/>
      <c r="L44" s="23" t="s">
        <v>64</v>
      </c>
      <c r="N44" s="4"/>
    </row>
    <row r="45">
      <c r="A45" s="1"/>
      <c r="B45" s="21" t="str">
        <f>HYPERLINK("https://imgur.com/a/slN61ui","N++ [PC] Solo Episode Total Completions (20-March-2019)")</f>
        <v>N++ [PC] Solo Episode Total Completions (20-March-2019)</v>
      </c>
      <c r="C45" s="16"/>
      <c r="D45" s="16"/>
      <c r="E45" s="16"/>
      <c r="F45" s="16"/>
      <c r="G45" s="16"/>
      <c r="H45" s="16"/>
      <c r="I45" s="16"/>
      <c r="J45" s="22" t="s">
        <v>97</v>
      </c>
      <c r="K45" s="16"/>
      <c r="L45" s="16"/>
      <c r="M45" s="16"/>
      <c r="N45" s="4"/>
    </row>
    <row r="46">
      <c r="A46" s="1"/>
      <c r="B46" s="9"/>
      <c r="D46" s="9"/>
      <c r="E46" s="1"/>
      <c r="F46" s="1"/>
      <c r="G46" s="1"/>
      <c r="H46" s="1"/>
      <c r="I46" s="1"/>
      <c r="J46" s="1"/>
      <c r="K46" s="1"/>
      <c r="L46" s="23" t="s">
        <v>64</v>
      </c>
      <c r="N46" s="4"/>
    </row>
    <row r="47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9"/>
    </row>
  </sheetData>
  <mergeCells count="70">
    <mergeCell ref="F27:G27"/>
    <mergeCell ref="B30:M30"/>
    <mergeCell ref="H27:I27"/>
    <mergeCell ref="B28:K29"/>
    <mergeCell ref="B35:I35"/>
    <mergeCell ref="J35:M35"/>
    <mergeCell ref="B34:C34"/>
    <mergeCell ref="B33:I33"/>
    <mergeCell ref="L34:M34"/>
    <mergeCell ref="J33:M33"/>
    <mergeCell ref="L36:M36"/>
    <mergeCell ref="B27:C27"/>
    <mergeCell ref="B24:C24"/>
    <mergeCell ref="D27:E27"/>
    <mergeCell ref="B22:M23"/>
    <mergeCell ref="B37:I37"/>
    <mergeCell ref="B31:M32"/>
    <mergeCell ref="B36:C36"/>
    <mergeCell ref="J12:K12"/>
    <mergeCell ref="L12:M12"/>
    <mergeCell ref="B6:K7"/>
    <mergeCell ref="L6:M7"/>
    <mergeCell ref="H12:I12"/>
    <mergeCell ref="B12:C12"/>
    <mergeCell ref="D18:E18"/>
    <mergeCell ref="F18:G18"/>
    <mergeCell ref="B15:C15"/>
    <mergeCell ref="B16:M17"/>
    <mergeCell ref="H18:I18"/>
    <mergeCell ref="D15:E15"/>
    <mergeCell ref="B13:M14"/>
    <mergeCell ref="B18:C18"/>
    <mergeCell ref="F4:G4"/>
    <mergeCell ref="H4:I4"/>
    <mergeCell ref="J4:K4"/>
    <mergeCell ref="B1:M3"/>
    <mergeCell ref="F12:G12"/>
    <mergeCell ref="D12:E12"/>
    <mergeCell ref="B4:C4"/>
    <mergeCell ref="D4:E4"/>
    <mergeCell ref="B8:M8"/>
    <mergeCell ref="B10:M11"/>
    <mergeCell ref="L4:M4"/>
    <mergeCell ref="B21:C21"/>
    <mergeCell ref="D21:E21"/>
    <mergeCell ref="F21:G21"/>
    <mergeCell ref="B19:M20"/>
    <mergeCell ref="D24:E24"/>
    <mergeCell ref="B25:M26"/>
    <mergeCell ref="J37:M37"/>
    <mergeCell ref="L38:M38"/>
    <mergeCell ref="J45:M45"/>
    <mergeCell ref="L44:M44"/>
    <mergeCell ref="L46:M46"/>
    <mergeCell ref="J39:M39"/>
    <mergeCell ref="J43:M43"/>
    <mergeCell ref="J41:M41"/>
    <mergeCell ref="L40:M40"/>
    <mergeCell ref="B39:I39"/>
    <mergeCell ref="B40:C40"/>
    <mergeCell ref="B42:C42"/>
    <mergeCell ref="B44:C44"/>
    <mergeCell ref="B46:C46"/>
    <mergeCell ref="B38:C38"/>
    <mergeCell ref="L42:M42"/>
    <mergeCell ref="B43:I43"/>
    <mergeCell ref="B41:I41"/>
    <mergeCell ref="B45:I45"/>
    <mergeCell ref="I9:M9"/>
    <mergeCell ref="C9:G9"/>
  </mergeCells>
  <hyperlinks>
    <hyperlink display="Intro" location="Solo&gt;Levels&gt;Intro!A1" ref="B12"/>
    <hyperlink display="N++" location="Solo&gt;Levels&gt;N++!A1" ref="D12"/>
    <hyperlink display="Ultimate" location="Solo&gt;Levels&gt;Ultimate!A1" ref="F12"/>
    <hyperlink display="Legacy" location="Solo&gt;Levels&gt;Legacy!A1" ref="H12"/>
    <hyperlink display="?" location="Solo&gt;Levels&gt;!A1" ref="J12"/>
    <hyperlink display="!" location="Solo&gt;Levels&gt;!!A1" ref="L12"/>
    <hyperlink display="N++" location="Solo&gt;Episodes&gt;N++!A1" ref="B15"/>
    <hyperlink display="Ultimate" location="Solo&gt;Episodes&gt;Ultimate!A1" ref="D15"/>
    <hyperlink display="Intro" location="Hardcore&gt;Intro!A1" ref="B18"/>
    <hyperlink display="N++" location="Hardcore&gt;N++!A1" ref="D18"/>
    <hyperlink display="Ultimate" location="Hardcore&gt;Ultimate!A1" ref="F18"/>
    <hyperlink display="Legacy" location="Hardcore&gt;Legacy!A1" ref="H18"/>
    <hyperlink display="Intro" location="Co-op&gt;Levels&gt;Intro!A1" ref="B21"/>
    <hyperlink display="N++" location="Co-op&gt;Levels&gt;N++!A1" ref="D21"/>
    <hyperlink display="Legacy" location="Co-op&gt;Levels&gt;Legacy!A1" ref="F21"/>
    <hyperlink display="List" location="Players&gt;List!A1" ref="B24"/>
    <hyperlink display="Videos" location="Players&gt;Videos!A1" ref="D24"/>
    <hyperlink display="Total" location="Score&gt;Total!A1" ref="B27"/>
    <hyperlink display="Pre-UE" location="Score&gt;Pre-UE!A1" ref="D27"/>
    <hyperlink display="UE" location="Score&gt;UE!A1" ref="F27"/>
    <hyperlink display="Secrets" location="Score&gt;Secrets!A1" ref="H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1</v>
      </c>
      <c r="N1" s="4"/>
    </row>
    <row r="2">
      <c r="A2" s="1"/>
      <c r="N2" s="4"/>
    </row>
    <row r="3">
      <c r="A3" s="1"/>
      <c r="N3" s="4"/>
    </row>
    <row r="4">
      <c r="A4" s="1"/>
      <c r="B4" s="5" t="s">
        <v>2</v>
      </c>
      <c r="C4" s="6"/>
      <c r="D4" s="7" t="s">
        <v>3</v>
      </c>
      <c r="E4" s="6"/>
      <c r="F4" s="8" t="s">
        <v>4</v>
      </c>
      <c r="G4" s="6"/>
      <c r="H4" s="7" t="s">
        <v>5</v>
      </c>
      <c r="I4" s="6"/>
      <c r="J4" s="8" t="s">
        <v>6</v>
      </c>
      <c r="K4" s="6"/>
      <c r="L4" s="7" t="s">
        <v>7</v>
      </c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11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13</v>
      </c>
      <c r="D7" s="9"/>
      <c r="E7" s="17" t="s">
        <v>14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15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17</v>
      </c>
      <c r="D9" s="9"/>
      <c r="E9" s="17" t="s">
        <v>14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4" t="s">
        <v>18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"/>
    </row>
    <row r="11">
      <c r="A11" s="1"/>
      <c r="B11" s="4" t="s">
        <v>19</v>
      </c>
      <c r="D11" s="9"/>
      <c r="E11" s="17" t="s">
        <v>14</v>
      </c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4" t="s">
        <v>20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22</v>
      </c>
      <c r="D13" s="9"/>
      <c r="E13" s="17" t="s">
        <v>14</v>
      </c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4" t="s">
        <v>23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4"/>
    </row>
    <row r="15">
      <c r="A15" s="1"/>
      <c r="B15" s="4" t="s">
        <v>24</v>
      </c>
      <c r="D15" s="9"/>
      <c r="E15" s="17" t="s">
        <v>14</v>
      </c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4" t="s">
        <v>25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27</v>
      </c>
      <c r="D17" s="9"/>
      <c r="E17" s="17" t="s">
        <v>14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29</v>
      </c>
      <c r="D19" s="9"/>
      <c r="E19" s="17" t="s">
        <v>14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4" t="s">
        <v>30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"/>
    </row>
    <row r="21">
      <c r="A21" s="1"/>
      <c r="B21" s="4" t="s">
        <v>31</v>
      </c>
      <c r="D21" s="9"/>
      <c r="E21" s="17" t="s">
        <v>14</v>
      </c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4" t="s">
        <v>33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4"/>
    </row>
    <row r="23">
      <c r="A23" s="1"/>
      <c r="B23" s="4" t="s">
        <v>34</v>
      </c>
      <c r="D23" s="9"/>
      <c r="E23" s="17" t="s">
        <v>14</v>
      </c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4" t="s">
        <v>35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4"/>
    </row>
    <row r="25">
      <c r="A25" s="1"/>
      <c r="B25" s="4" t="s">
        <v>36</v>
      </c>
      <c r="D25" s="9"/>
      <c r="E25" s="17" t="s">
        <v>14</v>
      </c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4" t="s">
        <v>37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40</v>
      </c>
      <c r="D27" s="9"/>
      <c r="E27" s="17" t="s">
        <v>14</v>
      </c>
      <c r="F27" s="18" t="str">
        <f>HYPERLINK("https://www.youtube.com/watch?v=5Z44HEGiyq4",'Players&gt;List'!$B28)</f>
        <v>[SUN]</v>
      </c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46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48</v>
      </c>
      <c r="D29" s="9"/>
      <c r="E29" s="17" t="s">
        <v>14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4" t="s">
        <v>50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4"/>
    </row>
    <row r="31">
      <c r="A31" s="1"/>
      <c r="B31" s="4" t="s">
        <v>51</v>
      </c>
      <c r="D31" s="9"/>
      <c r="E31" s="17" t="s">
        <v>14</v>
      </c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4" t="s">
        <v>52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4"/>
    </row>
    <row r="33">
      <c r="A33" s="1"/>
      <c r="B33" s="4" t="s">
        <v>55</v>
      </c>
      <c r="D33" s="9"/>
      <c r="E33" s="17" t="s">
        <v>14</v>
      </c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4" t="s">
        <v>56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4"/>
    </row>
    <row r="35">
      <c r="A35" s="1"/>
      <c r="B35" s="4" t="s">
        <v>57</v>
      </c>
      <c r="D35" s="9"/>
      <c r="E35" s="17" t="s">
        <v>14</v>
      </c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4" t="s">
        <v>58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59</v>
      </c>
      <c r="D37" s="9"/>
      <c r="E37" s="17" t="s">
        <v>14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60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62</v>
      </c>
      <c r="D39" s="9"/>
      <c r="E39" s="17" t="s">
        <v>14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4" t="s">
        <v>63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4"/>
    </row>
    <row r="41">
      <c r="A41" s="1"/>
      <c r="B41" s="4" t="s">
        <v>65</v>
      </c>
      <c r="D41" s="9"/>
      <c r="E41" s="17" t="s">
        <v>14</v>
      </c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4" t="s">
        <v>66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4"/>
    </row>
    <row r="43">
      <c r="A43" s="1"/>
      <c r="B43" s="4" t="s">
        <v>67</v>
      </c>
      <c r="D43" s="9"/>
      <c r="E43" s="17" t="s">
        <v>14</v>
      </c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4" t="s">
        <v>68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4"/>
    </row>
    <row r="45">
      <c r="A45" s="1"/>
      <c r="B45" s="4" t="s">
        <v>70</v>
      </c>
      <c r="D45" s="9"/>
      <c r="E45" s="17" t="s">
        <v>14</v>
      </c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4" t="s">
        <v>71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72</v>
      </c>
      <c r="D47" s="9"/>
      <c r="E47" s="17" t="s">
        <v>14</v>
      </c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4" t="s">
        <v>73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4"/>
    </row>
    <row r="49">
      <c r="A49" s="1"/>
      <c r="B49" s="4" t="s">
        <v>75</v>
      </c>
      <c r="D49" s="9"/>
      <c r="E49" s="17" t="s">
        <v>14</v>
      </c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4" t="s">
        <v>76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4"/>
    </row>
    <row r="51">
      <c r="A51" s="1"/>
      <c r="B51" s="4" t="s">
        <v>77</v>
      </c>
      <c r="D51" s="9"/>
      <c r="E51" s="17" t="s">
        <v>14</v>
      </c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4" t="s">
        <v>79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4"/>
    </row>
    <row r="53">
      <c r="A53" s="1"/>
      <c r="B53" s="4" t="s">
        <v>81</v>
      </c>
      <c r="D53" s="9"/>
      <c r="E53" s="17" t="s">
        <v>14</v>
      </c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4" t="s">
        <v>82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4"/>
    </row>
    <row r="55">
      <c r="A55" s="1"/>
      <c r="B55" s="4" t="s">
        <v>84</v>
      </c>
      <c r="D55" s="9"/>
      <c r="E55" s="17" t="s">
        <v>14</v>
      </c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4" t="s">
        <v>85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4"/>
    </row>
    <row r="57">
      <c r="A57" s="1"/>
      <c r="B57" s="4" t="s">
        <v>87</v>
      </c>
      <c r="D57" s="9"/>
      <c r="E57" s="17" t="s">
        <v>14</v>
      </c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4" t="s">
        <v>89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91</v>
      </c>
      <c r="D59" s="9"/>
      <c r="E59" s="17" t="s">
        <v>14</v>
      </c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4" t="s">
        <v>92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4"/>
    </row>
    <row r="61">
      <c r="A61" s="1"/>
      <c r="B61" s="4" t="s">
        <v>94</v>
      </c>
      <c r="D61" s="9"/>
      <c r="E61" s="17" t="s">
        <v>14</v>
      </c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4" t="s">
        <v>95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4"/>
    </row>
    <row r="63">
      <c r="A63" s="1"/>
      <c r="B63" s="4" t="s">
        <v>96</v>
      </c>
      <c r="D63" s="9"/>
      <c r="E63" s="17" t="s">
        <v>14</v>
      </c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4" t="s">
        <v>98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4"/>
    </row>
    <row r="65">
      <c r="A65" s="1"/>
      <c r="B65" s="4" t="s">
        <v>99</v>
      </c>
      <c r="D65" s="9"/>
      <c r="E65" s="17" t="s">
        <v>14</v>
      </c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4" t="s">
        <v>100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101</v>
      </c>
      <c r="D67" s="9"/>
      <c r="E67" s="17" t="s">
        <v>14</v>
      </c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4" t="s">
        <v>103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4"/>
    </row>
    <row r="69">
      <c r="A69" s="1"/>
      <c r="B69" s="4" t="s">
        <v>105</v>
      </c>
      <c r="D69" s="9"/>
      <c r="E69" s="17" t="s">
        <v>14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4" t="s">
        <v>106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4"/>
    </row>
    <row r="71">
      <c r="A71" s="1"/>
      <c r="B71" s="4" t="s">
        <v>107</v>
      </c>
      <c r="D71" s="9"/>
      <c r="E71" s="17" t="s">
        <v>14</v>
      </c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4" t="s">
        <v>109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4"/>
    </row>
    <row r="73">
      <c r="A73" s="1"/>
      <c r="B73" s="4" t="s">
        <v>111</v>
      </c>
      <c r="D73" s="9"/>
      <c r="E73" s="17" t="s">
        <v>14</v>
      </c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4" t="s">
        <v>112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4"/>
    </row>
    <row r="75">
      <c r="A75" s="1"/>
      <c r="B75" s="4" t="s">
        <v>113</v>
      </c>
      <c r="D75" s="9"/>
      <c r="E75" s="17" t="s">
        <v>14</v>
      </c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4" t="s">
        <v>116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118</v>
      </c>
      <c r="D77" s="9"/>
      <c r="E77" s="17" t="s">
        <v>14</v>
      </c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4" t="s">
        <v>119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120</v>
      </c>
      <c r="D79" s="9"/>
      <c r="E79" s="17" t="s">
        <v>14</v>
      </c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4" t="s">
        <v>121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4"/>
    </row>
    <row r="81">
      <c r="A81" s="1"/>
      <c r="B81" s="4" t="s">
        <v>123</v>
      </c>
      <c r="D81" s="9"/>
      <c r="E81" s="17" t="s">
        <v>14</v>
      </c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4" t="s">
        <v>125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4"/>
    </row>
    <row r="83">
      <c r="A83" s="1"/>
      <c r="B83" s="4" t="s">
        <v>126</v>
      </c>
      <c r="D83" s="9"/>
      <c r="E83" s="17" t="s">
        <v>14</v>
      </c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4" t="s">
        <v>127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4"/>
    </row>
    <row r="85">
      <c r="A85" s="1"/>
      <c r="B85" s="4" t="s">
        <v>128</v>
      </c>
      <c r="D85" s="9"/>
      <c r="E85" s="17" t="s">
        <v>14</v>
      </c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4" t="s">
        <v>129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130</v>
      </c>
      <c r="D87" s="9"/>
      <c r="E87" s="17" t="s">
        <v>14</v>
      </c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4" t="s">
        <v>133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134</v>
      </c>
      <c r="D89" s="9"/>
      <c r="E89" s="17" t="s">
        <v>14</v>
      </c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4" t="s">
        <v>135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4"/>
    </row>
    <row r="91">
      <c r="A91" s="1"/>
      <c r="B91" s="4" t="s">
        <v>137</v>
      </c>
      <c r="D91" s="9"/>
      <c r="E91" s="17" t="s">
        <v>14</v>
      </c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4" t="s">
        <v>138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4"/>
    </row>
    <row r="93">
      <c r="A93" s="1"/>
      <c r="B93" s="4" t="s">
        <v>140</v>
      </c>
      <c r="D93" s="9"/>
      <c r="E93" s="17" t="s">
        <v>14</v>
      </c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4" t="s">
        <v>141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4"/>
    </row>
    <row r="95">
      <c r="A95" s="1"/>
      <c r="B95" s="4" t="s">
        <v>142</v>
      </c>
      <c r="D95" s="9"/>
      <c r="E95" s="17" t="s">
        <v>14</v>
      </c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4" t="s">
        <v>143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144</v>
      </c>
      <c r="D97" s="9"/>
      <c r="E97" s="17" t="s">
        <v>14</v>
      </c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4" t="s">
        <v>145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4"/>
    </row>
    <row r="99">
      <c r="A99" s="1"/>
      <c r="B99" s="4" t="s">
        <v>146</v>
      </c>
      <c r="D99" s="9"/>
      <c r="E99" s="17" t="s">
        <v>14</v>
      </c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4" t="s">
        <v>148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4"/>
    </row>
    <row r="101">
      <c r="A101" s="1"/>
      <c r="B101" s="4" t="s">
        <v>150</v>
      </c>
      <c r="D101" s="9"/>
      <c r="E101" s="17" t="s">
        <v>14</v>
      </c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4" t="s">
        <v>152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4"/>
    </row>
    <row r="103">
      <c r="A103" s="1"/>
      <c r="B103" s="4" t="s">
        <v>154</v>
      </c>
      <c r="D103" s="9"/>
      <c r="E103" s="17" t="s">
        <v>14</v>
      </c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4" t="s">
        <v>155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"/>
    </row>
    <row r="105">
      <c r="A105" s="1"/>
      <c r="B105" s="4" t="s">
        <v>156</v>
      </c>
      <c r="D105" s="9"/>
      <c r="E105" s="17" t="s">
        <v>14</v>
      </c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4" t="s">
        <v>158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4"/>
    </row>
    <row r="107">
      <c r="A107" s="1"/>
      <c r="B107" s="4" t="s">
        <v>159</v>
      </c>
      <c r="D107" s="9"/>
      <c r="E107" s="17" t="s">
        <v>14</v>
      </c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4" t="s">
        <v>160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4"/>
    </row>
    <row r="109">
      <c r="A109" s="1"/>
      <c r="B109" s="4" t="s">
        <v>162</v>
      </c>
      <c r="D109" s="9"/>
      <c r="E109" s="17" t="s">
        <v>14</v>
      </c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4" t="s">
        <v>164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4"/>
    </row>
    <row r="111">
      <c r="A111" s="1"/>
      <c r="B111" s="4" t="s">
        <v>165</v>
      </c>
      <c r="D111" s="9"/>
      <c r="E111" s="17" t="s">
        <v>14</v>
      </c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4" t="s">
        <v>167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4"/>
    </row>
    <row r="113">
      <c r="A113" s="1"/>
      <c r="B113" s="4" t="s">
        <v>168</v>
      </c>
      <c r="D113" s="9"/>
      <c r="E113" s="17" t="s">
        <v>14</v>
      </c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4" t="s">
        <v>169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4"/>
    </row>
    <row r="115">
      <c r="A115" s="1"/>
      <c r="B115" s="4" t="s">
        <v>170</v>
      </c>
      <c r="D115" s="9"/>
      <c r="E115" s="17" t="s">
        <v>14</v>
      </c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4" t="s">
        <v>171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4"/>
    </row>
    <row r="117">
      <c r="A117" s="1"/>
      <c r="B117" s="4" t="s">
        <v>172</v>
      </c>
      <c r="D117" s="9"/>
      <c r="E117" s="17" t="s">
        <v>14</v>
      </c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174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4"/>
    </row>
    <row r="119">
      <c r="A119" s="1"/>
      <c r="B119" s="4" t="s">
        <v>175</v>
      </c>
      <c r="D119" s="9"/>
      <c r="E119" s="17" t="s">
        <v>14</v>
      </c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4" t="s">
        <v>176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4"/>
    </row>
    <row r="121">
      <c r="A121" s="1"/>
      <c r="B121" s="4" t="s">
        <v>178</v>
      </c>
      <c r="D121" s="9"/>
      <c r="E121" s="17" t="s">
        <v>14</v>
      </c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4" t="s">
        <v>179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4"/>
    </row>
    <row r="123">
      <c r="A123" s="1"/>
      <c r="B123" s="4" t="s">
        <v>180</v>
      </c>
      <c r="D123" s="9"/>
      <c r="E123" s="17" t="s">
        <v>14</v>
      </c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4" t="s">
        <v>181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4"/>
    </row>
    <row r="125">
      <c r="A125" s="1"/>
      <c r="B125" s="4" t="s">
        <v>182</v>
      </c>
      <c r="D125" s="9"/>
      <c r="E125" s="17" t="s">
        <v>14</v>
      </c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4" t="s">
        <v>183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4"/>
    </row>
    <row r="127">
      <c r="A127" s="1"/>
      <c r="B127" s="4" t="s">
        <v>184</v>
      </c>
      <c r="D127" s="9"/>
      <c r="E127" s="17" t="s">
        <v>14</v>
      </c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4" t="s">
        <v>185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4"/>
    </row>
    <row r="129">
      <c r="A129" s="1"/>
      <c r="B129" s="4" t="s">
        <v>187</v>
      </c>
      <c r="D129" s="9"/>
      <c r="E129" s="17" t="s">
        <v>14</v>
      </c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4" t="s">
        <v>188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4"/>
    </row>
    <row r="131">
      <c r="A131" s="1"/>
      <c r="B131" s="4" t="s">
        <v>189</v>
      </c>
      <c r="D131" s="9"/>
      <c r="E131" s="17" t="s">
        <v>14</v>
      </c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4" t="s">
        <v>190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4"/>
    </row>
    <row r="133">
      <c r="A133" s="1"/>
      <c r="B133" s="4" t="s">
        <v>192</v>
      </c>
      <c r="D133" s="9"/>
      <c r="E133" s="17" t="s">
        <v>14</v>
      </c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4" t="s">
        <v>193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4"/>
    </row>
    <row r="135">
      <c r="A135" s="1"/>
      <c r="B135" s="4" t="s">
        <v>194</v>
      </c>
      <c r="D135" s="9"/>
      <c r="E135" s="17" t="s">
        <v>14</v>
      </c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4" t="s">
        <v>195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4"/>
    </row>
    <row r="137">
      <c r="A137" s="1"/>
      <c r="B137" s="4" t="s">
        <v>196</v>
      </c>
      <c r="D137" s="9"/>
      <c r="E137" s="17" t="s">
        <v>14</v>
      </c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4" t="s">
        <v>198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4"/>
    </row>
    <row r="139">
      <c r="A139" s="1"/>
      <c r="B139" s="4" t="s">
        <v>199</v>
      </c>
      <c r="D139" s="9"/>
      <c r="E139" s="17" t="s">
        <v>14</v>
      </c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4" t="s">
        <v>200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4"/>
    </row>
    <row r="141">
      <c r="A141" s="1"/>
      <c r="B141" s="4" t="s">
        <v>201</v>
      </c>
      <c r="D141" s="9"/>
      <c r="E141" s="17" t="s">
        <v>14</v>
      </c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4" t="s">
        <v>202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4"/>
    </row>
    <row r="143">
      <c r="A143" s="1"/>
      <c r="B143" s="4" t="s">
        <v>203</v>
      </c>
      <c r="D143" s="9"/>
      <c r="E143" s="17" t="s">
        <v>14</v>
      </c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4" t="s">
        <v>204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4"/>
    </row>
    <row r="145">
      <c r="A145" s="1"/>
      <c r="B145" s="4" t="s">
        <v>205</v>
      </c>
      <c r="D145" s="9"/>
      <c r="E145" s="17" t="s">
        <v>14</v>
      </c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4" t="s">
        <v>208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4"/>
    </row>
    <row r="147">
      <c r="A147" s="1"/>
      <c r="B147" s="4" t="s">
        <v>209</v>
      </c>
      <c r="D147" s="9"/>
      <c r="E147" s="17" t="s">
        <v>14</v>
      </c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4" t="s">
        <v>210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4"/>
    </row>
    <row r="149">
      <c r="A149" s="1"/>
      <c r="B149" s="4" t="s">
        <v>211</v>
      </c>
      <c r="D149" s="9"/>
      <c r="E149" s="17" t="s">
        <v>14</v>
      </c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4" t="s">
        <v>212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4"/>
    </row>
    <row r="151">
      <c r="A151" s="1"/>
      <c r="B151" s="4" t="s">
        <v>213</v>
      </c>
      <c r="D151" s="9"/>
      <c r="E151" s="17" t="s">
        <v>14</v>
      </c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4" t="s">
        <v>214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4"/>
    </row>
    <row r="153">
      <c r="A153" s="1"/>
      <c r="B153" s="4" t="s">
        <v>215</v>
      </c>
      <c r="D153" s="9"/>
      <c r="E153" s="17" t="s">
        <v>14</v>
      </c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4" t="s">
        <v>216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4"/>
    </row>
    <row r="155">
      <c r="A155" s="1"/>
      <c r="B155" s="4" t="s">
        <v>217</v>
      </c>
      <c r="D155" s="9"/>
      <c r="E155" s="17" t="s">
        <v>14</v>
      </c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4" t="s">
        <v>218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4"/>
    </row>
    <row r="157">
      <c r="A157" s="1"/>
      <c r="B157" s="4" t="s">
        <v>219</v>
      </c>
      <c r="D157" s="9"/>
      <c r="E157" s="17" t="s">
        <v>14</v>
      </c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4" t="s">
        <v>220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4"/>
    </row>
    <row r="159">
      <c r="A159" s="1"/>
      <c r="B159" s="4" t="s">
        <v>221</v>
      </c>
      <c r="D159" s="9"/>
      <c r="E159" s="17" t="s">
        <v>14</v>
      </c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4" t="s">
        <v>222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4"/>
    </row>
    <row r="161">
      <c r="A161" s="1"/>
      <c r="B161" s="4" t="s">
        <v>223</v>
      </c>
      <c r="D161" s="9"/>
      <c r="E161" s="17" t="s">
        <v>14</v>
      </c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4" t="s">
        <v>224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4"/>
    </row>
    <row r="163">
      <c r="A163" s="1"/>
      <c r="B163" s="4" t="s">
        <v>225</v>
      </c>
      <c r="D163" s="9"/>
      <c r="E163" s="17" t="s">
        <v>14</v>
      </c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4" t="s">
        <v>226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4"/>
    </row>
    <row r="165">
      <c r="A165" s="1"/>
      <c r="B165" s="4" t="s">
        <v>228</v>
      </c>
      <c r="D165" s="9"/>
      <c r="E165" s="17" t="s">
        <v>14</v>
      </c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4" t="s">
        <v>230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4"/>
    </row>
    <row r="167">
      <c r="A167" s="1"/>
      <c r="B167" s="4" t="s">
        <v>231</v>
      </c>
      <c r="D167" s="9"/>
      <c r="E167" s="17" t="s">
        <v>14</v>
      </c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4" t="s">
        <v>232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4"/>
    </row>
    <row r="169">
      <c r="A169" s="1"/>
      <c r="B169" s="4" t="s">
        <v>235</v>
      </c>
      <c r="D169" s="9"/>
      <c r="E169" s="17" t="s">
        <v>14</v>
      </c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4" t="s">
        <v>236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4"/>
    </row>
    <row r="171">
      <c r="A171" s="1"/>
      <c r="B171" s="4" t="s">
        <v>237</v>
      </c>
      <c r="D171" s="9"/>
      <c r="E171" s="17" t="s">
        <v>14</v>
      </c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4" t="s">
        <v>238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4"/>
    </row>
    <row r="173">
      <c r="A173" s="1"/>
      <c r="B173" s="4" t="s">
        <v>239</v>
      </c>
      <c r="D173" s="9"/>
      <c r="E173" s="17" t="s">
        <v>14</v>
      </c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4" t="s">
        <v>240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4"/>
    </row>
    <row r="175">
      <c r="A175" s="1"/>
      <c r="B175" s="4" t="s">
        <v>241</v>
      </c>
      <c r="D175" s="9"/>
      <c r="E175" s="17" t="s">
        <v>14</v>
      </c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4" t="s">
        <v>242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4"/>
    </row>
    <row r="177">
      <c r="A177" s="1"/>
      <c r="B177" s="4" t="s">
        <v>243</v>
      </c>
      <c r="D177" s="9"/>
      <c r="E177" s="17" t="s">
        <v>14</v>
      </c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4" t="s">
        <v>244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4"/>
    </row>
    <row r="179">
      <c r="A179" s="1"/>
      <c r="B179" s="4" t="s">
        <v>245</v>
      </c>
      <c r="D179" s="9"/>
      <c r="E179" s="17" t="s">
        <v>14</v>
      </c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4" t="s">
        <v>246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4"/>
    </row>
    <row r="181">
      <c r="A181" s="1"/>
      <c r="B181" s="4" t="s">
        <v>247</v>
      </c>
      <c r="D181" s="9"/>
      <c r="E181" s="17" t="s">
        <v>14</v>
      </c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4" t="s">
        <v>248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4"/>
    </row>
    <row r="183">
      <c r="A183" s="1"/>
      <c r="B183" s="4" t="s">
        <v>250</v>
      </c>
      <c r="D183" s="9"/>
      <c r="E183" s="17" t="s">
        <v>14</v>
      </c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4" t="s">
        <v>251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4"/>
    </row>
    <row r="185">
      <c r="A185" s="1"/>
      <c r="B185" s="4" t="s">
        <v>253</v>
      </c>
      <c r="D185" s="9"/>
      <c r="E185" s="17" t="s">
        <v>14</v>
      </c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4" t="s">
        <v>254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4"/>
    </row>
    <row r="187">
      <c r="A187" s="1"/>
      <c r="B187" s="4" t="s">
        <v>255</v>
      </c>
      <c r="D187" s="9"/>
      <c r="E187" s="17" t="s">
        <v>14</v>
      </c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4" t="s">
        <v>256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4"/>
    </row>
    <row r="189">
      <c r="A189" s="1"/>
      <c r="B189" s="4" t="s">
        <v>257</v>
      </c>
      <c r="D189" s="9"/>
      <c r="E189" s="17" t="s">
        <v>14</v>
      </c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4" t="s">
        <v>258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4"/>
    </row>
    <row r="191">
      <c r="A191" s="1"/>
      <c r="B191" s="4" t="s">
        <v>259</v>
      </c>
      <c r="D191" s="9"/>
      <c r="E191" s="17" t="s">
        <v>14</v>
      </c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4" t="s">
        <v>260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4"/>
    </row>
    <row r="193">
      <c r="A193" s="1"/>
      <c r="B193" s="4" t="s">
        <v>261</v>
      </c>
      <c r="D193" s="9"/>
      <c r="E193" s="17" t="s">
        <v>14</v>
      </c>
      <c r="F193" s="18" t="str">
        <f>HYPERLINK("https://www.youtube.com/watch?v=e610NuU7CVY",'Players&gt;List'!$B26)</f>
        <v>[SCO]</v>
      </c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4" t="s">
        <v>262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4"/>
    </row>
    <row r="195">
      <c r="A195" s="1"/>
      <c r="B195" s="4" t="s">
        <v>263</v>
      </c>
      <c r="D195" s="9"/>
      <c r="E195" s="17" t="s">
        <v>14</v>
      </c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4" t="s">
        <v>264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4"/>
    </row>
    <row r="197">
      <c r="A197" s="1"/>
      <c r="B197" s="4" t="s">
        <v>265</v>
      </c>
      <c r="D197" s="9"/>
      <c r="E197" s="17" t="s">
        <v>14</v>
      </c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4" t="s">
        <v>266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4"/>
    </row>
    <row r="199">
      <c r="A199" s="1"/>
      <c r="B199" s="4" t="s">
        <v>269</v>
      </c>
      <c r="D199" s="9"/>
      <c r="E199" s="17" t="s">
        <v>14</v>
      </c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4" t="s">
        <v>272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4"/>
    </row>
    <row r="201">
      <c r="A201" s="1"/>
      <c r="B201" s="4" t="s">
        <v>273</v>
      </c>
      <c r="D201" s="9"/>
      <c r="E201" s="17" t="s">
        <v>14</v>
      </c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4" t="s">
        <v>274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4"/>
    </row>
    <row r="203">
      <c r="A203" s="1"/>
      <c r="B203" s="4" t="s">
        <v>275</v>
      </c>
      <c r="D203" s="9"/>
      <c r="E203" s="17" t="s">
        <v>14</v>
      </c>
      <c r="F203" s="1"/>
      <c r="G203" s="1"/>
      <c r="H203" s="1"/>
      <c r="I203" s="1"/>
      <c r="J203" s="1"/>
      <c r="K203" s="1"/>
      <c r="L203" s="1"/>
      <c r="M203" s="1"/>
      <c r="N203" s="4"/>
    </row>
    <row r="204">
      <c r="A204" s="1"/>
      <c r="B204" s="14" t="s">
        <v>276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4"/>
    </row>
    <row r="205">
      <c r="A205" s="1"/>
      <c r="B205" s="4" t="s">
        <v>277</v>
      </c>
      <c r="D205" s="9"/>
      <c r="E205" s="17" t="s">
        <v>14</v>
      </c>
      <c r="F205" s="18" t="str">
        <f>HYPERLINK("https://www.youtube.com/watch?v=JkkubM3HPJY", 'Players&gt;List'!$B26)</f>
        <v>[SCO]</v>
      </c>
      <c r="G205" s="1"/>
      <c r="H205" s="1"/>
      <c r="I205" s="1"/>
      <c r="J205" s="1"/>
      <c r="K205" s="1"/>
      <c r="L205" s="1"/>
      <c r="M205" s="1"/>
      <c r="N205" s="4"/>
    </row>
    <row r="206">
      <c r="A206" s="1"/>
      <c r="B206" s="14" t="s">
        <v>278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4"/>
    </row>
    <row r="207">
      <c r="A207" s="1"/>
      <c r="B207" s="4" t="s">
        <v>282</v>
      </c>
      <c r="D207" s="9"/>
      <c r="E207" s="17" t="s">
        <v>14</v>
      </c>
      <c r="F207" s="1"/>
      <c r="G207" s="1"/>
      <c r="H207" s="1"/>
      <c r="I207" s="1"/>
      <c r="J207" s="1"/>
      <c r="K207" s="1"/>
      <c r="L207" s="1"/>
      <c r="M207" s="1"/>
      <c r="N207" s="4"/>
    </row>
    <row r="208">
      <c r="A208" s="1"/>
      <c r="B208" s="14" t="s">
        <v>283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4"/>
    </row>
    <row r="209">
      <c r="A209" s="1"/>
      <c r="B209" s="4" t="s">
        <v>285</v>
      </c>
      <c r="D209" s="9"/>
      <c r="E209" s="17" t="s">
        <v>14</v>
      </c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4" t="s">
        <v>286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4"/>
    </row>
    <row r="211">
      <c r="A211" s="1"/>
      <c r="B211" s="4" t="s">
        <v>287</v>
      </c>
      <c r="D211" s="9"/>
      <c r="E211" s="17" t="s">
        <v>14</v>
      </c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4" t="s">
        <v>288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4"/>
    </row>
    <row r="213">
      <c r="A213" s="1"/>
      <c r="B213" s="4" t="s">
        <v>289</v>
      </c>
      <c r="D213" s="9"/>
      <c r="E213" s="17" t="s">
        <v>14</v>
      </c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4" t="s">
        <v>291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4"/>
    </row>
    <row r="215">
      <c r="A215" s="1"/>
      <c r="B215" s="4" t="s">
        <v>293</v>
      </c>
      <c r="D215" s="9"/>
      <c r="E215" s="17" t="s">
        <v>14</v>
      </c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4" t="s">
        <v>294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4"/>
    </row>
    <row r="217">
      <c r="A217" s="1"/>
      <c r="B217" s="4" t="s">
        <v>295</v>
      </c>
      <c r="D217" s="9"/>
      <c r="E217" s="17" t="s">
        <v>14</v>
      </c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4" t="s">
        <v>296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4"/>
    </row>
    <row r="219">
      <c r="A219" s="1"/>
      <c r="B219" s="4" t="s">
        <v>297</v>
      </c>
      <c r="D219" s="9"/>
      <c r="E219" s="17" t="s">
        <v>14</v>
      </c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4" t="s">
        <v>298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4"/>
    </row>
    <row r="221">
      <c r="A221" s="1"/>
      <c r="B221" s="4" t="s">
        <v>301</v>
      </c>
      <c r="D221" s="9"/>
      <c r="E221" s="17" t="s">
        <v>14</v>
      </c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4" t="s">
        <v>302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4"/>
    </row>
    <row r="223">
      <c r="A223" s="1"/>
      <c r="B223" s="4" t="s">
        <v>304</v>
      </c>
      <c r="D223" s="9"/>
      <c r="E223" s="17" t="s">
        <v>14</v>
      </c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4" t="s">
        <v>306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4"/>
    </row>
    <row r="225">
      <c r="A225" s="1"/>
      <c r="B225" s="4" t="s">
        <v>307</v>
      </c>
      <c r="D225" s="9"/>
      <c r="E225" s="17" t="s">
        <v>14</v>
      </c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4" t="s">
        <v>308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4"/>
    </row>
    <row r="227">
      <c r="A227" s="1"/>
      <c r="B227" s="4" t="s">
        <v>309</v>
      </c>
      <c r="D227" s="9"/>
      <c r="E227" s="17" t="s">
        <v>14</v>
      </c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4" t="s">
        <v>310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4"/>
    </row>
    <row r="229">
      <c r="A229" s="1"/>
      <c r="B229" s="4" t="s">
        <v>311</v>
      </c>
      <c r="D229" s="9"/>
      <c r="E229" s="17" t="s">
        <v>14</v>
      </c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4" t="s">
        <v>312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4"/>
    </row>
    <row r="231">
      <c r="A231" s="1"/>
      <c r="B231" s="4" t="s">
        <v>313</v>
      </c>
      <c r="D231" s="9"/>
      <c r="E231" s="17" t="s">
        <v>14</v>
      </c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4" t="s">
        <v>314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"/>
    </row>
    <row r="233">
      <c r="A233" s="1"/>
      <c r="B233" s="4" t="s">
        <v>315</v>
      </c>
      <c r="D233" s="9"/>
      <c r="E233" s="17" t="s">
        <v>14</v>
      </c>
      <c r="F233" s="1"/>
      <c r="G233" s="1"/>
      <c r="H233" s="1"/>
      <c r="I233" s="1"/>
      <c r="J233" s="1"/>
      <c r="K233" s="1"/>
      <c r="L233" s="1"/>
      <c r="M233" s="1"/>
      <c r="N233" s="4"/>
    </row>
    <row r="234">
      <c r="A234" s="1"/>
      <c r="B234" s="14" t="s">
        <v>316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"/>
    </row>
    <row r="235">
      <c r="A235" s="1"/>
      <c r="B235" s="4" t="s">
        <v>318</v>
      </c>
      <c r="D235" s="9"/>
      <c r="E235" s="17" t="s">
        <v>14</v>
      </c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4" t="s">
        <v>320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"/>
    </row>
    <row r="237">
      <c r="A237" s="1"/>
      <c r="B237" s="4" t="s">
        <v>323</v>
      </c>
      <c r="D237" s="9"/>
      <c r="E237" s="17" t="s">
        <v>14</v>
      </c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4" t="s">
        <v>324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"/>
    </row>
    <row r="239">
      <c r="A239" s="1"/>
      <c r="B239" s="4" t="s">
        <v>325</v>
      </c>
      <c r="D239" s="9"/>
      <c r="E239" s="17" t="s">
        <v>14</v>
      </c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4" t="s">
        <v>326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"/>
    </row>
    <row r="241">
      <c r="A241" s="1"/>
      <c r="B241" s="4" t="s">
        <v>328</v>
      </c>
      <c r="D241" s="9"/>
      <c r="E241" s="17" t="s">
        <v>14</v>
      </c>
      <c r="F241" s="1"/>
      <c r="G241" s="1"/>
      <c r="H241" s="1"/>
      <c r="I241" s="1"/>
      <c r="J241" s="1"/>
      <c r="K241" s="1"/>
      <c r="L241" s="1"/>
      <c r="M241" s="1"/>
      <c r="N241" s="4"/>
    </row>
    <row r="242">
      <c r="A242" s="1"/>
      <c r="B242" s="14" t="s">
        <v>329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"/>
    </row>
    <row r="243">
      <c r="A243" s="1"/>
      <c r="B243" s="4" t="s">
        <v>330</v>
      </c>
      <c r="D243" s="9"/>
      <c r="E243" s="17" t="s">
        <v>14</v>
      </c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4" t="s">
        <v>331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4"/>
    </row>
    <row r="245">
      <c r="A245" s="1"/>
      <c r="B245" s="4" t="s">
        <v>332</v>
      </c>
      <c r="D245" s="9"/>
      <c r="E245" s="17" t="s">
        <v>14</v>
      </c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4" t="s">
        <v>333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"/>
    </row>
    <row r="247">
      <c r="A247" s="1"/>
      <c r="B247" s="4" t="s">
        <v>336</v>
      </c>
      <c r="D247" s="9"/>
      <c r="E247" s="17" t="s">
        <v>14</v>
      </c>
      <c r="F247" s="1"/>
      <c r="G247" s="1"/>
      <c r="H247" s="1"/>
      <c r="I247" s="1"/>
      <c r="J247" s="1"/>
      <c r="K247" s="1"/>
      <c r="L247" s="1"/>
      <c r="M247" s="1"/>
      <c r="N247" s="4"/>
    </row>
    <row r="248">
      <c r="A248" s="1"/>
      <c r="B248" s="14" t="s">
        <v>338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"/>
    </row>
    <row r="249">
      <c r="A249" s="1"/>
      <c r="B249" s="4" t="s">
        <v>340</v>
      </c>
      <c r="D249" s="9"/>
      <c r="E249" s="17" t="s">
        <v>14</v>
      </c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4" t="s">
        <v>342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"/>
    </row>
    <row r="251">
      <c r="A251" s="1"/>
      <c r="B251" s="4" t="s">
        <v>343</v>
      </c>
      <c r="D251" s="9"/>
      <c r="E251" s="17" t="s">
        <v>14</v>
      </c>
      <c r="F251" s="1"/>
      <c r="G251" s="1"/>
      <c r="H251" s="1"/>
      <c r="I251" s="1"/>
      <c r="J251" s="1"/>
      <c r="K251" s="1"/>
      <c r="L251" s="1"/>
      <c r="M251" s="1"/>
      <c r="N251" s="4"/>
    </row>
    <row r="252">
      <c r="A252" s="1"/>
      <c r="B252" s="14" t="s">
        <v>344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"/>
    </row>
    <row r="253">
      <c r="A253" s="1"/>
      <c r="B253" s="4" t="s">
        <v>345</v>
      </c>
      <c r="D253" s="9"/>
      <c r="E253" s="17" t="s">
        <v>14</v>
      </c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4" t="s">
        <v>346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4"/>
    </row>
    <row r="255">
      <c r="A255" s="1"/>
      <c r="B255" s="4" t="s">
        <v>347</v>
      </c>
      <c r="D255" s="9"/>
      <c r="E255" s="17" t="s">
        <v>14</v>
      </c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23"/>
      <c r="E256" s="9"/>
      <c r="F256" s="1"/>
      <c r="G256" s="1"/>
      <c r="H256" s="1"/>
      <c r="I256" s="1"/>
      <c r="J256" s="1"/>
      <c r="K256" s="1"/>
      <c r="L256" s="1"/>
      <c r="M256" s="1"/>
      <c r="N256" s="1"/>
    </row>
  </sheetData>
  <mergeCells count="258">
    <mergeCell ref="B51:C51"/>
    <mergeCell ref="B49:C49"/>
    <mergeCell ref="B43:C43"/>
    <mergeCell ref="B45:C45"/>
    <mergeCell ref="B37:C37"/>
    <mergeCell ref="B39:C39"/>
    <mergeCell ref="B61:C61"/>
    <mergeCell ref="B59:C59"/>
    <mergeCell ref="B47:C47"/>
    <mergeCell ref="B41:C41"/>
    <mergeCell ref="B55:C55"/>
    <mergeCell ref="B53:C53"/>
    <mergeCell ref="B35:C35"/>
    <mergeCell ref="B57:C57"/>
    <mergeCell ref="B76:M76"/>
    <mergeCell ref="B74:M74"/>
    <mergeCell ref="B75:C75"/>
    <mergeCell ref="B70:M70"/>
    <mergeCell ref="B72:M72"/>
    <mergeCell ref="B68:M68"/>
    <mergeCell ref="B78:M78"/>
    <mergeCell ref="B79:C79"/>
    <mergeCell ref="B77:C77"/>
    <mergeCell ref="B69:C69"/>
    <mergeCell ref="B17:C17"/>
    <mergeCell ref="B18:M18"/>
    <mergeCell ref="B26:M26"/>
    <mergeCell ref="B28:M28"/>
    <mergeCell ref="B14:M14"/>
    <mergeCell ref="B12:M12"/>
    <mergeCell ref="B20:M20"/>
    <mergeCell ref="B24:M24"/>
    <mergeCell ref="B22:M22"/>
    <mergeCell ref="B16:M16"/>
    <mergeCell ref="B54:M54"/>
    <mergeCell ref="B50:M50"/>
    <mergeCell ref="B52:M52"/>
    <mergeCell ref="B46:M46"/>
    <mergeCell ref="B48:M48"/>
    <mergeCell ref="B42:M42"/>
    <mergeCell ref="B44:M44"/>
    <mergeCell ref="B40:M40"/>
    <mergeCell ref="B36:M36"/>
    <mergeCell ref="B34:M34"/>
    <mergeCell ref="B38:M38"/>
    <mergeCell ref="B30:M30"/>
    <mergeCell ref="B32:M32"/>
    <mergeCell ref="B31:C31"/>
    <mergeCell ref="B33:C33"/>
    <mergeCell ref="B65:C65"/>
    <mergeCell ref="B67:C67"/>
    <mergeCell ref="B66:M66"/>
    <mergeCell ref="B60:M60"/>
    <mergeCell ref="B63:C63"/>
    <mergeCell ref="B58:M58"/>
    <mergeCell ref="B64:M64"/>
    <mergeCell ref="B62:M62"/>
    <mergeCell ref="B56:M56"/>
    <mergeCell ref="B71:C71"/>
    <mergeCell ref="B73:C73"/>
    <mergeCell ref="B21:C21"/>
    <mergeCell ref="B19:C19"/>
    <mergeCell ref="B29:C29"/>
    <mergeCell ref="B27:C27"/>
    <mergeCell ref="B25:C25"/>
    <mergeCell ref="B11:C11"/>
    <mergeCell ref="B13:C13"/>
    <mergeCell ref="B15:C15"/>
    <mergeCell ref="B23:C23"/>
    <mergeCell ref="B197:C197"/>
    <mergeCell ref="B198:M198"/>
    <mergeCell ref="B195:C195"/>
    <mergeCell ref="B193:C193"/>
    <mergeCell ref="B189:C189"/>
    <mergeCell ref="B188:M188"/>
    <mergeCell ref="B191:C191"/>
    <mergeCell ref="B192:M192"/>
    <mergeCell ref="B194:M194"/>
    <mergeCell ref="B196:M196"/>
    <mergeCell ref="B185:C185"/>
    <mergeCell ref="B187:C187"/>
    <mergeCell ref="B203:C203"/>
    <mergeCell ref="B202:M202"/>
    <mergeCell ref="B200:M200"/>
    <mergeCell ref="B186:M186"/>
    <mergeCell ref="B190:M190"/>
    <mergeCell ref="B209:C209"/>
    <mergeCell ref="B208:M208"/>
    <mergeCell ref="B211:C211"/>
    <mergeCell ref="B210:M210"/>
    <mergeCell ref="B215:C215"/>
    <mergeCell ref="B216:M216"/>
    <mergeCell ref="B248:M248"/>
    <mergeCell ref="B244:M244"/>
    <mergeCell ref="B236:M236"/>
    <mergeCell ref="B238:M238"/>
    <mergeCell ref="B240:M240"/>
    <mergeCell ref="B242:M242"/>
    <mergeCell ref="B234:M234"/>
    <mergeCell ref="B232:M232"/>
    <mergeCell ref="B221:C221"/>
    <mergeCell ref="B222:M222"/>
    <mergeCell ref="B224:M224"/>
    <mergeCell ref="B226:M226"/>
    <mergeCell ref="B228:M228"/>
    <mergeCell ref="B230:M230"/>
    <mergeCell ref="B205:C205"/>
    <mergeCell ref="B204:M204"/>
    <mergeCell ref="B213:C213"/>
    <mergeCell ref="B212:M212"/>
    <mergeCell ref="B214:M214"/>
    <mergeCell ref="B218:M218"/>
    <mergeCell ref="B220:M220"/>
    <mergeCell ref="B246:M246"/>
    <mergeCell ref="B245:C245"/>
    <mergeCell ref="B252:M252"/>
    <mergeCell ref="B250:M250"/>
    <mergeCell ref="B254:M254"/>
    <mergeCell ref="B243:C243"/>
    <mergeCell ref="B247:C247"/>
    <mergeCell ref="B249:C249"/>
    <mergeCell ref="B255:C255"/>
    <mergeCell ref="B253:C253"/>
    <mergeCell ref="B251:C251"/>
    <mergeCell ref="B256:D256"/>
    <mergeCell ref="B217:C217"/>
    <mergeCell ref="B219:C219"/>
    <mergeCell ref="B223:C223"/>
    <mergeCell ref="B231:C231"/>
    <mergeCell ref="B229:C229"/>
    <mergeCell ref="B225:C225"/>
    <mergeCell ref="B227:C227"/>
    <mergeCell ref="B199:C199"/>
    <mergeCell ref="B201:C201"/>
    <mergeCell ref="B241:C241"/>
    <mergeCell ref="B233:C233"/>
    <mergeCell ref="B239:C239"/>
    <mergeCell ref="B235:C235"/>
    <mergeCell ref="B237:C237"/>
    <mergeCell ref="B207:C207"/>
    <mergeCell ref="B206:M206"/>
    <mergeCell ref="B165:C165"/>
    <mergeCell ref="B141:C141"/>
    <mergeCell ref="B132:M132"/>
    <mergeCell ref="B133:C133"/>
    <mergeCell ref="B135:C135"/>
    <mergeCell ref="B131:C131"/>
    <mergeCell ref="B139:C139"/>
    <mergeCell ref="B137:C137"/>
    <mergeCell ref="B130:M130"/>
    <mergeCell ref="B134:M134"/>
    <mergeCell ref="B146:M146"/>
    <mergeCell ref="B164:M164"/>
    <mergeCell ref="B166:M166"/>
    <mergeCell ref="B156:M156"/>
    <mergeCell ref="B152:M152"/>
    <mergeCell ref="B136:M136"/>
    <mergeCell ref="B138:M138"/>
    <mergeCell ref="B153:C153"/>
    <mergeCell ref="B150:M150"/>
    <mergeCell ref="B144:M144"/>
    <mergeCell ref="B142:M142"/>
    <mergeCell ref="B161:C161"/>
    <mergeCell ref="B159:C159"/>
    <mergeCell ref="B163:C163"/>
    <mergeCell ref="B162:M162"/>
    <mergeCell ref="B157:C157"/>
    <mergeCell ref="B160:M160"/>
    <mergeCell ref="B158:M158"/>
    <mergeCell ref="B155:C155"/>
    <mergeCell ref="B154:M154"/>
    <mergeCell ref="B81:C81"/>
    <mergeCell ref="B83:C83"/>
    <mergeCell ref="B87:C87"/>
    <mergeCell ref="B85:C85"/>
    <mergeCell ref="B89:C89"/>
    <mergeCell ref="B91:C91"/>
    <mergeCell ref="B90:M90"/>
    <mergeCell ref="B88:M88"/>
    <mergeCell ref="B82:M82"/>
    <mergeCell ref="B86:M86"/>
    <mergeCell ref="B84:M84"/>
    <mergeCell ref="B80:M80"/>
    <mergeCell ref="B92:M92"/>
    <mergeCell ref="B119:C119"/>
    <mergeCell ref="B121:C121"/>
    <mergeCell ref="B123:C123"/>
    <mergeCell ref="B117:C117"/>
    <mergeCell ref="B118:M118"/>
    <mergeCell ref="B116:M116"/>
    <mergeCell ref="B128:M128"/>
    <mergeCell ref="B126:M126"/>
    <mergeCell ref="B124:M124"/>
    <mergeCell ref="B122:M122"/>
    <mergeCell ref="B120:M120"/>
    <mergeCell ref="B125:C125"/>
    <mergeCell ref="B7:C7"/>
    <mergeCell ref="B8:M8"/>
    <mergeCell ref="B6:M6"/>
    <mergeCell ref="B10:M10"/>
    <mergeCell ref="B9:C9"/>
    <mergeCell ref="F4:G4"/>
    <mergeCell ref="D4:E4"/>
    <mergeCell ref="B4:C4"/>
    <mergeCell ref="L4:M4"/>
    <mergeCell ref="H4:I4"/>
    <mergeCell ref="J4:K4"/>
    <mergeCell ref="B1:M3"/>
    <mergeCell ref="B183:C183"/>
    <mergeCell ref="B184:M184"/>
    <mergeCell ref="B171:C171"/>
    <mergeCell ref="B170:M170"/>
    <mergeCell ref="B177:C177"/>
    <mergeCell ref="B178:M178"/>
    <mergeCell ref="B181:C181"/>
    <mergeCell ref="B182:M182"/>
    <mergeCell ref="B173:C173"/>
    <mergeCell ref="B174:M174"/>
    <mergeCell ref="B167:C167"/>
    <mergeCell ref="B169:C169"/>
    <mergeCell ref="B175:C175"/>
    <mergeCell ref="B179:C179"/>
    <mergeCell ref="B168:M168"/>
    <mergeCell ref="B180:M180"/>
    <mergeCell ref="B176:M176"/>
    <mergeCell ref="B172:M172"/>
    <mergeCell ref="B102:M102"/>
    <mergeCell ref="B98:M98"/>
    <mergeCell ref="B101:C101"/>
    <mergeCell ref="B100:M100"/>
    <mergeCell ref="B99:C99"/>
    <mergeCell ref="B104:M104"/>
    <mergeCell ref="B106:M106"/>
    <mergeCell ref="B114:M114"/>
    <mergeCell ref="B112:M112"/>
    <mergeCell ref="B108:M108"/>
    <mergeCell ref="B97:C97"/>
    <mergeCell ref="B103:C103"/>
    <mergeCell ref="B107:C107"/>
    <mergeCell ref="B96:M96"/>
    <mergeCell ref="B95:C95"/>
    <mergeCell ref="B94:M94"/>
    <mergeCell ref="B93:C93"/>
    <mergeCell ref="B151:C151"/>
    <mergeCell ref="B149:C149"/>
    <mergeCell ref="B147:C147"/>
    <mergeCell ref="B145:C145"/>
    <mergeCell ref="B143:C143"/>
    <mergeCell ref="B140:M140"/>
    <mergeCell ref="B148:M148"/>
    <mergeCell ref="B129:C129"/>
    <mergeCell ref="B127:C127"/>
    <mergeCell ref="B113:C113"/>
    <mergeCell ref="B115:C115"/>
    <mergeCell ref="B110:M110"/>
    <mergeCell ref="B111:C111"/>
    <mergeCell ref="B105:C105"/>
    <mergeCell ref="B109:C109"/>
  </mergeCells>
  <conditionalFormatting sqref="D4:E4">
    <cfRule type="expression" dxfId="0" priority="1">
      <formula>"MUFG													"</formula>
    </cfRule>
  </conditionalFormatting>
  <hyperlinks>
    <hyperlink display="N++&gt;Solo&gt;Levels" location="Main Menu!A1" ref="B1"/>
    <hyperlink display="N++" location="Solo&gt;Levels&gt;N++!A1" ref="D4"/>
    <hyperlink display="Ultimate" location="Solo&gt;Levels&gt;Ultimate!A1" ref="F4"/>
    <hyperlink display="Legacy" location="Solo&gt;Levels&gt;Legacy!A1" ref="H4"/>
    <hyperlink display="?" location="Solo&gt;Levels&gt;!A1" ref="J4"/>
    <hyperlink display="!" location="Solo&gt;Levels&gt;!!A1" ref="L4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6" width="7.29"/>
  </cols>
  <sheetData>
    <row r="1">
      <c r="A1" s="1"/>
      <c r="B1" s="3" t="s">
        <v>1</v>
      </c>
      <c r="P1" s="4"/>
    </row>
    <row r="2">
      <c r="A2" s="1"/>
      <c r="P2" s="4"/>
    </row>
    <row r="3">
      <c r="A3" s="1"/>
      <c r="P3" s="4"/>
    </row>
    <row r="4">
      <c r="A4" s="1"/>
      <c r="B4" s="7" t="s">
        <v>2</v>
      </c>
      <c r="D4" s="5" t="s">
        <v>3</v>
      </c>
      <c r="E4" s="6"/>
      <c r="F4" s="8" t="s">
        <v>4</v>
      </c>
      <c r="G4" s="6"/>
      <c r="H4" s="7" t="s">
        <v>5</v>
      </c>
      <c r="I4" s="6"/>
      <c r="J4" s="8" t="s">
        <v>6</v>
      </c>
      <c r="K4" s="6"/>
      <c r="L4" s="7" t="s">
        <v>7</v>
      </c>
      <c r="N4" s="1"/>
      <c r="P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1"/>
      <c r="B6" s="24" t="s">
        <v>78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4"/>
    </row>
    <row r="7">
      <c r="A7" s="1"/>
      <c r="B7" s="4" t="s">
        <v>83</v>
      </c>
      <c r="D7" s="9"/>
      <c r="E7" s="17" t="s">
        <v>14</v>
      </c>
      <c r="F7" s="18" t="str">
        <f>HYPERLINK("https://youtu.be/x4AejWCG2Is",'Players&gt;List'!$B29)</f>
        <v>[SYS]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25" t="s">
        <v>88</v>
      </c>
      <c r="E8" s="26" t="s">
        <v>90</v>
      </c>
      <c r="F8" s="18" t="str">
        <f>HYPERLINK("https://www.youtube.com/watch?v=XP7EONIv8b8&amp;t=3s",'Players&gt;List'!$B26)</f>
        <v>[SCO]</v>
      </c>
      <c r="G8" s="18" t="str">
        <f>HYPERLINK("https://www.youtube.com/watch?v=N3o8nF_JSf0",'Players&gt;List'!$B28)</f>
        <v>[SUN]</v>
      </c>
      <c r="H8" s="18" t="str">
        <f>HYPERLINK("https://youtu.be/6s02MwoChjQ?t=4s",'Players&gt;List'!$B29)</f>
        <v>[SYS]</v>
      </c>
      <c r="I8" s="18" t="str">
        <f>HYPERLINK("https://youtu.be/Sil0ePApVyw?t=70",'Players&gt;List'!$B10)</f>
        <v>[CAM]</v>
      </c>
      <c r="J8" s="1"/>
      <c r="K8" s="1"/>
      <c r="L8" s="4"/>
      <c r="M8" s="1"/>
      <c r="N8" s="1"/>
      <c r="O8" s="1"/>
      <c r="P8" s="1"/>
    </row>
    <row r="9">
      <c r="A9" s="1"/>
      <c r="B9" s="24" t="s">
        <v>102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4"/>
    </row>
    <row r="10">
      <c r="A10" s="1"/>
      <c r="B10" s="4" t="s">
        <v>104</v>
      </c>
      <c r="D10" s="9"/>
      <c r="E10" s="17" t="s">
        <v>14</v>
      </c>
      <c r="F10" s="18" t="str">
        <f>HYPERLINK("https://youtu.be/x4AejWCG2Is?t=18",'Players&gt;List'!$B29)</f>
        <v>[SYS]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25" t="s">
        <v>108</v>
      </c>
      <c r="E11" s="26" t="s">
        <v>110</v>
      </c>
      <c r="F11" s="18" t="str">
        <f>HYPERLINK("https://youtu.be/XP7EONIv8b8?t=18",'Players&gt;List'!$B26)</f>
        <v>[SCO]</v>
      </c>
      <c r="G11" s="18" t="str">
        <f>HYPERLINK("https://youtu.be/6s02MwoChjQ?t=18s",'Players&gt;List'!$B29)</f>
        <v>[SYS]</v>
      </c>
      <c r="H11" s="18" t="str">
        <f>HYPERLINK("https://youtu.be/Sil0ePApVyw?t=83",'Players&gt;List'!$B10)</f>
        <v>[CAM]</v>
      </c>
      <c r="I11" s="1"/>
      <c r="J11" s="1"/>
      <c r="K11" s="1"/>
      <c r="L11" s="1"/>
      <c r="M11" s="1"/>
      <c r="N11" s="1"/>
      <c r="O11" s="1"/>
      <c r="P11" s="1"/>
    </row>
    <row r="12">
      <c r="A12" s="1"/>
      <c r="B12" s="24" t="s">
        <v>114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4"/>
    </row>
    <row r="13">
      <c r="A13" s="1"/>
      <c r="B13" s="4" t="s">
        <v>115</v>
      </c>
      <c r="D13" s="9"/>
      <c r="E13" s="17" t="s">
        <v>14</v>
      </c>
      <c r="F13" s="18" t="str">
        <f>HYPERLINK("https://youtu.be/x4AejWCG2Is?t=26",'Players&gt;List'!$B29)</f>
        <v>[SYS]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1"/>
      <c r="B14" s="25" t="s">
        <v>117</v>
      </c>
      <c r="E14" s="26" t="s">
        <v>110</v>
      </c>
      <c r="F14" s="18" t="str">
        <f>HYPERLINK("https://youtu.be/XP7EONIv8b8?t=30",'Players&gt;List'!$B26)</f>
        <v>[SCO]</v>
      </c>
      <c r="G14" s="18" t="str">
        <f>HYPERLINK("https://www.youtube.com/watch?v=OOiCPcoGkVY",'Players&gt;List'!$B28)</f>
        <v>[SUN]</v>
      </c>
      <c r="H14" s="18" t="str">
        <f>HYPERLINK("https://youtu.be/6s02MwoChjQ?t=32s",'Players&gt;List'!$B29)</f>
        <v>[SYS]</v>
      </c>
      <c r="I14" s="18" t="str">
        <f>HYPERLINK("https://youtu.be/Sil0ePApVyw?t=111",'Players&gt;List'!$B10)</f>
        <v>[CAM]</v>
      </c>
      <c r="J14" s="1"/>
      <c r="K14" s="1"/>
      <c r="L14" s="1"/>
      <c r="M14" s="1"/>
      <c r="N14" s="1"/>
      <c r="O14" s="1"/>
      <c r="P14" s="1"/>
    </row>
    <row r="15">
      <c r="A15" s="1"/>
      <c r="B15" s="24" t="s">
        <v>122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4"/>
    </row>
    <row r="16">
      <c r="A16" s="1"/>
      <c r="B16" s="4" t="s">
        <v>124</v>
      </c>
      <c r="D16" s="9"/>
      <c r="E16" s="17" t="s">
        <v>14</v>
      </c>
      <c r="F16" s="18" t="str">
        <f>HYPERLINK("https://youtu.be/x4AejWCG2Is?t=51",'Players&gt;List'!$B29)</f>
        <v>[SYS]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25" t="s">
        <v>117</v>
      </c>
      <c r="E17" s="26" t="s">
        <v>110</v>
      </c>
      <c r="F17" s="18" t="str">
        <f>HYPERLINK("https://youtu.be/XP7EONIv8b8?t=72",'Players&gt;List'!$B26)</f>
        <v>[SCO]</v>
      </c>
      <c r="G17" s="18" t="str">
        <f>HYPERLINK("https://www.youtube.com/watch?v=7NLf5cZtLBI",'Players&gt;List'!$B28)</f>
        <v>[SUN]</v>
      </c>
      <c r="H17" s="18" t="str">
        <f>HYPERLINK("https://youtu.be/6s02MwoChjQ?t=1m11s",'Players&gt;List'!$B29)</f>
        <v>[SYS]</v>
      </c>
      <c r="I17" s="18" t="str">
        <f>HYPERLINK("https://youtu.be/Sil0ePApVyw?t=145",'Players&gt;List'!$B10)</f>
        <v>[CAM]</v>
      </c>
      <c r="J17" s="1"/>
      <c r="K17" s="1"/>
      <c r="L17" s="1"/>
      <c r="M17" s="1"/>
      <c r="N17" s="1"/>
      <c r="O17" s="1"/>
      <c r="P17" s="1"/>
    </row>
    <row r="18">
      <c r="A18" s="1"/>
      <c r="B18" s="25" t="s">
        <v>131</v>
      </c>
      <c r="E18" s="26" t="s">
        <v>132</v>
      </c>
      <c r="F18" s="18" t="str">
        <f>HYPERLINK("https://youtu.be/XP7EONIv8b8?t=107",'Players&gt;List'!$B26)</f>
        <v>[SCO]</v>
      </c>
      <c r="G18" s="18" t="str">
        <f>HYPERLINK("https://youtu.be/6s02MwoChjQ?t=2m1s",'Players&gt;List'!$B29)</f>
        <v>[SYS]</v>
      </c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24" t="s">
        <v>136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4"/>
    </row>
    <row r="20">
      <c r="A20" s="1"/>
      <c r="B20" s="4" t="s">
        <v>139</v>
      </c>
      <c r="D20" s="9"/>
      <c r="E20" s="17" t="s">
        <v>14</v>
      </c>
      <c r="F20" s="18" t="str">
        <f>HYPERLINK("https://youtu.be/x4AejWCG2Is?t=83",'Players&gt;List'!$B29)</f>
        <v>[SYS]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25" t="s">
        <v>117</v>
      </c>
      <c r="E21" s="26" t="s">
        <v>110</v>
      </c>
      <c r="F21" s="18" t="str">
        <f>HYPERLINK("https://youtu.be/XP7EONIv8b8?t=157",'Players&gt;List'!$B26)</f>
        <v>[SCO]</v>
      </c>
      <c r="G21" s="18" t="str">
        <f>HYPERLINK("https://www.youtube.com/watch?v=R0TckG3hJTQ",'Players&gt;List'!$B28)</f>
        <v>[SUN]</v>
      </c>
      <c r="H21" s="18" t="str">
        <f>HYPERLINK("https://youtu.be/6s02MwoChjQ?t=2m40s",'Players&gt;List'!$B29)</f>
        <v>[SYS]</v>
      </c>
      <c r="I21" s="18" t="str">
        <f>HYPERLINK("https://youtu.be/Sil0ePApVyw?t=184",'Players&gt;List'!$B10)</f>
        <v>[CAM]</v>
      </c>
      <c r="J21" s="1"/>
      <c r="K21" s="1"/>
      <c r="L21" s="1"/>
      <c r="M21" s="1"/>
      <c r="N21" s="1"/>
      <c r="O21" s="1"/>
      <c r="P21" s="1"/>
    </row>
    <row r="22">
      <c r="A22" s="1"/>
      <c r="B22" s="25" t="s">
        <v>88</v>
      </c>
      <c r="E22" s="26" t="s">
        <v>147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25" t="s">
        <v>149</v>
      </c>
      <c r="E23" s="26" t="s">
        <v>147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24" t="s">
        <v>151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4"/>
    </row>
    <row r="25">
      <c r="A25" s="1"/>
      <c r="B25" s="4" t="s">
        <v>153</v>
      </c>
      <c r="D25" s="9"/>
      <c r="E25" s="17" t="s">
        <v>14</v>
      </c>
      <c r="F25" s="18" t="str">
        <f>HYPERLINK("https://youtu.be/-6hhd4YqRvQ",'Players&gt;List'!$B29)</f>
        <v>[SYS]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25" t="s">
        <v>157</v>
      </c>
      <c r="E26" s="26" t="s">
        <v>110</v>
      </c>
      <c r="F26" s="18" t="str">
        <f>HYPERLINK("https://youtu.be/Jc3spnunllM?t=4",'Players&gt;List'!$B26)</f>
        <v>[SCO]</v>
      </c>
      <c r="G26" s="18" t="str">
        <f>HYPERLINK("https://youtu.be/ev-5_OmmYkk?t=4s",'Players&gt;List'!$B29)</f>
        <v>[SYS]</v>
      </c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24" t="s">
        <v>161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4"/>
    </row>
    <row r="28">
      <c r="A28" s="1"/>
      <c r="B28" s="4" t="s">
        <v>163</v>
      </c>
      <c r="D28" s="9"/>
      <c r="E28" s="17" t="s">
        <v>14</v>
      </c>
      <c r="F28" s="18" t="str">
        <f>HYPERLINK("https://youtu.be/-6hhd4YqRvQ?t=12",'Players&gt;List'!$B29)</f>
        <v>[SYS]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25" t="s">
        <v>166</v>
      </c>
      <c r="E29" s="26" t="s">
        <v>110</v>
      </c>
      <c r="F29" s="18" t="str">
        <f>HYPERLINK("https://youtu.be/Jc3spnunllM?t=21",'Players&gt;List'!$B26)</f>
        <v>[SCO]</v>
      </c>
      <c r="G29" s="18" t="str">
        <f>HYPERLINK("https://www.youtube.com/watch?v=iEswSiBNL8I",'Players&gt;List'!$B28)</f>
        <v>[SUN]</v>
      </c>
      <c r="H29" s="18" t="str">
        <f>HYPERLINK("https://youtu.be/ev-5_OmmYkk?t=22s",'Players&gt;List'!$B29)</f>
        <v>[SYS]</v>
      </c>
      <c r="I29" s="1"/>
      <c r="J29" s="1"/>
      <c r="K29" s="1"/>
      <c r="L29" s="1"/>
      <c r="M29" s="1"/>
      <c r="N29" s="1"/>
      <c r="O29" s="1"/>
      <c r="P29" s="1"/>
    </row>
    <row r="30">
      <c r="A30" s="1"/>
      <c r="B30" s="24" t="s">
        <v>173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4"/>
    </row>
    <row r="31">
      <c r="A31" s="1"/>
      <c r="B31" s="4" t="s">
        <v>177</v>
      </c>
      <c r="D31" s="9"/>
      <c r="E31" s="17" t="s">
        <v>14</v>
      </c>
      <c r="F31" s="18" t="str">
        <f>HYPERLINK("https://youtu.be/-6hhd4YqRvQ?t=32",'Players&gt;List'!$B29)</f>
        <v>[SYS]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25" t="s">
        <v>149</v>
      </c>
      <c r="E32" s="26" t="s">
        <v>90</v>
      </c>
      <c r="F32" s="18" t="str">
        <f>HYPERLINK("https://youtu.be/Jc3spnunllM?t=51",'Players&gt;List'!$B26)</f>
        <v>[SCO]</v>
      </c>
      <c r="G32" s="18" t="str">
        <f>HYPERLINK("https://www.youtube.com/watch?v=byPO2ASLMa0",'Players&gt;List'!$B28)</f>
        <v>[SUN]</v>
      </c>
      <c r="H32" s="18" t="str">
        <f>HYPERLINK("https://youtu.be/ev-5_OmmYkk?t=52s",'Players&gt;List'!$B29)</f>
        <v>[SYS]</v>
      </c>
      <c r="I32" s="1"/>
      <c r="J32" s="1"/>
      <c r="K32" s="1"/>
      <c r="L32" s="1"/>
      <c r="M32" s="1"/>
      <c r="N32" s="1"/>
      <c r="O32" s="1"/>
      <c r="P32" s="1"/>
    </row>
    <row r="33">
      <c r="A33" s="1"/>
      <c r="B33" s="24" t="s">
        <v>186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4"/>
    </row>
    <row r="34">
      <c r="A34" s="1"/>
      <c r="B34" s="4" t="s">
        <v>191</v>
      </c>
      <c r="D34" s="9"/>
      <c r="E34" s="17" t="s">
        <v>14</v>
      </c>
      <c r="F34" s="18" t="str">
        <f>HYPERLINK("https://youtu.be/-6hhd4YqRvQ?t=62",'Players&gt;List'!$B29)</f>
        <v>[SYS]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25" t="s">
        <v>108</v>
      </c>
      <c r="E35" s="26" t="s">
        <v>110</v>
      </c>
      <c r="F35" s="18" t="str">
        <f>HYPERLINK("https://youtu.be/Jc3spnunllM?t=108",'Players&gt;List'!$B26)</f>
        <v>[SCO]</v>
      </c>
      <c r="G35" s="18" t="str">
        <f>HYPERLINK("https://youtu.be/ev-5_OmmYkk?t=1m38s",'Players&gt;List'!$B29)</f>
        <v>[SYS]</v>
      </c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25" t="s">
        <v>88</v>
      </c>
      <c r="E36" s="26" t="s">
        <v>147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25" t="s">
        <v>197</v>
      </c>
      <c r="E37" s="26" t="s">
        <v>147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25" t="s">
        <v>117</v>
      </c>
      <c r="E38" s="26" t="s">
        <v>132</v>
      </c>
      <c r="F38" s="18" t="str">
        <f>HYPERLINK("https://youtu.be/Jc3spnunllM?t=132",'Players&gt;List'!$B26)</f>
        <v>[SCO]</v>
      </c>
      <c r="G38" s="18" t="str">
        <f>HYPERLINK("https://www.youtube.com/watch?v=GRmR0MTe-dE",'Players&gt;List'!$B28)</f>
        <v>[SUN]</v>
      </c>
      <c r="H38" s="18" t="str">
        <f>HYPERLINK("https://youtu.be/ev-5_OmmYkk?t=2m",'Players&gt;List'!$B29)</f>
        <v>[SYS]</v>
      </c>
      <c r="I38" s="1"/>
      <c r="J38" s="1"/>
      <c r="K38" s="1"/>
      <c r="L38" s="1"/>
      <c r="M38" s="1"/>
      <c r="N38" s="1"/>
      <c r="O38" s="1"/>
      <c r="P38" s="1"/>
    </row>
    <row r="39">
      <c r="A39" s="1"/>
      <c r="B39" s="24" t="s">
        <v>206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4"/>
    </row>
    <row r="40">
      <c r="A40" s="1"/>
      <c r="B40" s="4" t="s">
        <v>207</v>
      </c>
      <c r="D40" s="9"/>
      <c r="E40" s="17" t="s">
        <v>14</v>
      </c>
      <c r="F40" s="18" t="str">
        <f>HYPERLINK("https://youtu.be/-6hhd4YqRvQ?t=91",'Players&gt;List'!$B29)</f>
        <v>[SYS]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25" t="s">
        <v>117</v>
      </c>
      <c r="E41" s="26" t="s">
        <v>110</v>
      </c>
      <c r="F41" s="18" t="str">
        <f>HYPERLINK("https://youtu.be/Jc3spnunllM?t=154",'Players&gt;List'!$B26)</f>
        <v>[SCO]</v>
      </c>
      <c r="G41" s="18" t="str">
        <f>HYPERLINK("https://www.youtube.com/watch?v=ry4X3NWJTy0",'Players&gt;List'!$B28)</f>
        <v>[SUN]</v>
      </c>
      <c r="H41" s="18" t="str">
        <f>HYPERLINK("https://youtu.be/ev-5_OmmYkk?t=2m22s",'Players&gt;List'!$B29)</f>
        <v>[SYS]</v>
      </c>
      <c r="I41" s="1"/>
      <c r="J41" s="1"/>
      <c r="K41" s="1"/>
      <c r="L41" s="1"/>
      <c r="M41" s="1"/>
      <c r="N41" s="1"/>
      <c r="O41" s="1"/>
      <c r="P41" s="1"/>
    </row>
    <row r="42">
      <c r="A42" s="1"/>
      <c r="B42" s="25" t="s">
        <v>157</v>
      </c>
      <c r="E42" s="26" t="s">
        <v>132</v>
      </c>
      <c r="F42" s="18" t="str">
        <f>HYPERLINK("https://youtu.be/Jc3spnunllM?t=171",'Players&gt;List'!$B26)</f>
        <v>[SCO]</v>
      </c>
      <c r="G42" s="18" t="str">
        <f>HYPERLINK("https://youtu.be/ev-5_OmmYkk?t=2m44s",'Players&gt;List'!$B29)</f>
        <v>[SYS]</v>
      </c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25" t="s">
        <v>108</v>
      </c>
      <c r="E43" s="26" t="s">
        <v>132</v>
      </c>
      <c r="F43" s="18" t="str">
        <f>HYPERLINK("https://youtu.be/Jc3spnunllM?t=183",'Players&gt;List'!$B26)</f>
        <v>[SCO]</v>
      </c>
      <c r="G43" s="18" t="str">
        <f>HYPERLINK("https://youtu.be/ev-5_OmmYkk?t=2m57s",'Players&gt;List'!$B29)</f>
        <v>[SYS]</v>
      </c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25" t="s">
        <v>131</v>
      </c>
      <c r="E44" s="26" t="s">
        <v>132</v>
      </c>
      <c r="F44" s="18" t="str">
        <f>HYPERLINK("https://youtu.be/Jc3spnunllM?t=193",'Players&gt;List'!$B26)</f>
        <v>[SCO]</v>
      </c>
      <c r="G44" s="18" t="str">
        <f>HYPERLINK("https://youtu.be/ev-5_OmmYkk?t=3m8s",'Players&gt;List'!$B29)</f>
        <v>[SYS]</v>
      </c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24" t="s">
        <v>227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4"/>
    </row>
    <row r="46">
      <c r="A46" s="1"/>
      <c r="B46" s="4" t="s">
        <v>229</v>
      </c>
      <c r="D46" s="9"/>
      <c r="E46" s="17" t="s">
        <v>14</v>
      </c>
      <c r="F46" s="18" t="str">
        <f>HYPERLINK("https://youtu.be/UpkoWVPe3k8",'Players&gt;List'!$B29)</f>
        <v>[SYS]</v>
      </c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25" t="s">
        <v>233</v>
      </c>
      <c r="E47" s="26" t="s">
        <v>234</v>
      </c>
      <c r="F47" s="18" t="str">
        <f>HYPERLINK("https://youtu.be/Vl4TjjJT4U0?t=4",'Players&gt;List'!$B26)</f>
        <v>[SCO]</v>
      </c>
      <c r="G47" s="18" t="str">
        <f>HYPERLINK("https://youtu.be/OlqkDk7vNHQ?t=4s",'Players&gt;List'!$B29)</f>
        <v>[SYS]</v>
      </c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25" t="s">
        <v>117</v>
      </c>
      <c r="E48" s="26" t="s">
        <v>132</v>
      </c>
      <c r="F48" s="18" t="str">
        <f>HYPERLINK("https://youtu.be/Vl4TjjJT4U0?t=24",'Players&gt;List'!$B26)</f>
        <v>[SCO]</v>
      </c>
      <c r="G48" s="18" t="str">
        <f>HYPERLINK("https://www.youtube.com/watch?v=PGHPaH7ts5E",'Players&gt;List'!$B28)</f>
        <v>[SUN]</v>
      </c>
      <c r="H48" s="18" t="str">
        <f>HYPERLINK("https://youtu.be/OlqkDk7vNHQ?t=20s",'Players&gt;List'!$B29)</f>
        <v>[SYS]</v>
      </c>
      <c r="I48" s="1"/>
      <c r="J48" s="1"/>
      <c r="K48" s="1"/>
      <c r="L48" s="1"/>
      <c r="M48" s="1"/>
      <c r="N48" s="1"/>
      <c r="O48" s="1"/>
      <c r="P48" s="1"/>
    </row>
    <row r="49">
      <c r="A49" s="1"/>
      <c r="B49" s="24" t="s">
        <v>249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4"/>
    </row>
    <row r="50">
      <c r="A50" s="1"/>
      <c r="B50" s="4" t="s">
        <v>252</v>
      </c>
      <c r="D50" s="9"/>
      <c r="E50" s="17" t="s">
        <v>14</v>
      </c>
      <c r="F50" s="18" t="str">
        <f>HYPERLINK("https://youtu.be/UpkoWVPe3k8?t=11",'Players&gt;List'!$B29)</f>
        <v>[SYS]</v>
      </c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25" t="s">
        <v>157</v>
      </c>
      <c r="E51" s="26" t="s">
        <v>110</v>
      </c>
      <c r="F51" s="18" t="str">
        <f>HYPERLINK("https://youtu.be/Vl4TjjJT4U0?t=42",'Players&gt;List'!$B26)</f>
        <v>[SCO]</v>
      </c>
      <c r="G51" s="18" t="str">
        <f>HYPERLINK("https://youtu.be/OlqkDk7vNHQ?t=37s",'Players&gt;List'!$B29)</f>
        <v>[SYS]</v>
      </c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25" t="s">
        <v>131</v>
      </c>
      <c r="E52" s="26" t="s">
        <v>132</v>
      </c>
      <c r="F52" s="18" t="str">
        <f>HYPERLINK("https://youtu.be/Vl4TjjJT4U0?t=62",'Players&gt;List'!$B26)</f>
        <v>[SCO]</v>
      </c>
      <c r="G52" s="18" t="str">
        <f>HYPERLINK("https://www.youtube.com/watch?v=PaSb_2lpRss",'Players&gt;List'!$B28)</f>
        <v>[SUN]</v>
      </c>
      <c r="H52" s="18" t="str">
        <f>HYPERLINK("https://youtu.be/OlqkDk7vNHQ?t=52s",'Players&gt;List'!$B29)</f>
        <v>[SYS]</v>
      </c>
      <c r="I52" s="1"/>
      <c r="J52" s="1"/>
      <c r="K52" s="1"/>
      <c r="L52" s="1"/>
      <c r="M52" s="1"/>
      <c r="N52" s="1"/>
      <c r="O52" s="1"/>
      <c r="P52" s="1"/>
    </row>
    <row r="53">
      <c r="A53" s="1"/>
      <c r="B53" s="24" t="s">
        <v>267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4"/>
    </row>
    <row r="54">
      <c r="A54" s="1"/>
      <c r="B54" s="4" t="s">
        <v>271</v>
      </c>
      <c r="D54" s="9"/>
      <c r="E54" s="17" t="s">
        <v>14</v>
      </c>
      <c r="F54" s="18" t="str">
        <f>HYPERLINK("https://youtu.be/UpkoWVPe3k8?t=23",'Players&gt;List'!$B29)</f>
        <v>[SYS]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25" t="s">
        <v>88</v>
      </c>
      <c r="E55" s="26" t="s">
        <v>90</v>
      </c>
      <c r="F55" s="18" t="str">
        <f>HYPERLINK("https://youtu.be/Vl4TjjJT4U0?t=84",'Players&gt;List'!$B26)</f>
        <v>[SCO]</v>
      </c>
      <c r="G55" s="18" t="str">
        <f>HYPERLINK("https://www.youtube.com/watch?v=lgheHQbBhAk",'Players&gt;List'!$B28)</f>
        <v>[SUN]</v>
      </c>
      <c r="H55" s="18" t="str">
        <f>HYPERLINK("https://youtu.be/OlqkDk7vNHQ?t=1m10s",'Players&gt;List'!$B29)</f>
        <v>[SYS]</v>
      </c>
      <c r="I55" s="1"/>
      <c r="J55" s="1"/>
      <c r="K55" s="1"/>
      <c r="L55" s="1"/>
      <c r="M55" s="1"/>
      <c r="N55" s="1"/>
      <c r="O55" s="1"/>
      <c r="P55" s="1"/>
    </row>
    <row r="56">
      <c r="A56" s="1"/>
      <c r="B56" s="24" t="s">
        <v>280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4"/>
    </row>
    <row r="57">
      <c r="A57" s="1"/>
      <c r="B57" s="4" t="s">
        <v>284</v>
      </c>
      <c r="D57" s="9"/>
      <c r="E57" s="17" t="s">
        <v>14</v>
      </c>
      <c r="F57" s="18" t="str">
        <f>HYPERLINK("https://youtu.be/UpkoWVPe3k8?t=32",'Players&gt;List'!$B29)</f>
        <v>[SYS]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25" t="s">
        <v>157</v>
      </c>
      <c r="E58" s="26" t="s">
        <v>110</v>
      </c>
      <c r="F58" s="18" t="str">
        <f>HYPERLINK("https://youtu.be/Vl4TjjJT4U0?t=99",'Players&gt;List'!$B26)</f>
        <v>[SCO]</v>
      </c>
      <c r="G58" s="18" t="str">
        <f>HYPERLINK("https://www.youtube.com/watch?v=gEHDulZe1Lc",'Players&gt;List'!$B28)</f>
        <v>[SUN]</v>
      </c>
      <c r="H58" s="18" t="str">
        <f>HYPERLINK("https://youtu.be/OlqkDk7vNHQ?t=1m29s",'Players&gt;List'!$B29)</f>
        <v>[SYS]</v>
      </c>
      <c r="I58" s="1"/>
      <c r="J58" s="1"/>
      <c r="K58" s="1"/>
      <c r="L58" s="1"/>
      <c r="M58" s="1"/>
      <c r="N58" s="1"/>
      <c r="O58" s="1"/>
      <c r="P58" s="1"/>
    </row>
    <row r="59">
      <c r="A59" s="1"/>
      <c r="B59" s="25" t="s">
        <v>149</v>
      </c>
      <c r="E59" s="26" t="s">
        <v>147</v>
      </c>
      <c r="F59" s="18" t="str">
        <f>HYPERLINK("https://youtu.be/Vl4TjjJT4U0?t=164",'Players&gt;List'!$B26)</f>
        <v>[SCO]</v>
      </c>
      <c r="G59" s="18" t="str">
        <f>HYPERLINK("https://youtu.be/OlqkDk7vNHQ?t=2m33s",'Players&gt;List'!$B29)</f>
        <v>[SYS]</v>
      </c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24" t="s">
        <v>299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4"/>
    </row>
    <row r="61">
      <c r="A61" s="1"/>
      <c r="B61" s="4" t="s">
        <v>303</v>
      </c>
      <c r="D61" s="9"/>
      <c r="E61" s="17" t="s">
        <v>14</v>
      </c>
      <c r="F61" s="18" t="str">
        <f>HYPERLINK("https://youtu.be/UpkoWVPe3k8?t=81",'Players&gt;List'!$B29)</f>
        <v>[SYS]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25" t="s">
        <v>117</v>
      </c>
      <c r="E62" s="26" t="s">
        <v>110</v>
      </c>
      <c r="F62" s="18" t="str">
        <f>HYPERLINK("https://www.youtube.com/watch?v=6ncUDD79HL8",'Players&gt;List'!$B9)</f>
        <v>[AWE]</v>
      </c>
      <c r="G62" s="18" t="str">
        <f>HYPERLINK("https://youtu.be/Vl4TjjJT4U0?t=185",'Players&gt;List'!$B26)</f>
        <v>[SCO]</v>
      </c>
      <c r="H62" s="18" t="str">
        <f>HYPERLINK("https://youtu.be/OlqkDk7vNHQ?t=2m57s",'Players&gt;List'!$B29)</f>
        <v>[SYS]</v>
      </c>
      <c r="I62" s="1"/>
      <c r="J62" s="1"/>
      <c r="K62" s="1"/>
      <c r="L62" s="1"/>
      <c r="M62" s="1"/>
      <c r="N62" s="1"/>
      <c r="O62" s="1"/>
      <c r="P62" s="1"/>
    </row>
    <row r="63">
      <c r="A63" s="1"/>
      <c r="B63" s="25" t="s">
        <v>88</v>
      </c>
      <c r="E63" s="26" t="s">
        <v>147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24" t="s">
        <v>317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4"/>
    </row>
    <row r="65">
      <c r="A65" s="1"/>
      <c r="B65" s="4" t="s">
        <v>321</v>
      </c>
      <c r="D65" s="9"/>
      <c r="E65" s="17" t="s">
        <v>14</v>
      </c>
      <c r="F65" s="18" t="str">
        <f>HYPERLINK("https://youtu.be/GziR0x_Lgms",'Players&gt;List'!$B29)</f>
        <v>[SYS]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25" t="s">
        <v>88</v>
      </c>
      <c r="E66" s="26" t="s">
        <v>90</v>
      </c>
      <c r="F66" s="18" t="str">
        <f>HYPERLINK("https://youtu.be/zJ0394sQKWc?t=4",'Players&gt;List'!$B26)</f>
        <v>[SCO]</v>
      </c>
      <c r="G66" s="18" t="str">
        <f>HYPERLINK("https://www.youtube.com/watch?v=pH-DIS5sBmE",'Players&gt;List'!$B28)</f>
        <v>[SUN]</v>
      </c>
      <c r="H66" s="18" t="str">
        <f>HYPERLINK("https://youtu.be/5GfZrg5pSdg?t=4s",'Players&gt;List'!$B29)</f>
        <v>[SYS]</v>
      </c>
      <c r="I66" s="1"/>
      <c r="J66" s="1"/>
      <c r="K66" s="1"/>
      <c r="L66" s="1"/>
      <c r="M66" s="1"/>
      <c r="N66" s="1"/>
      <c r="O66" s="1"/>
      <c r="P66" s="1"/>
    </row>
    <row r="67">
      <c r="A67" s="1"/>
      <c r="B67" s="24" t="s">
        <v>334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4"/>
    </row>
    <row r="68">
      <c r="A68" s="1"/>
      <c r="B68" s="4" t="s">
        <v>337</v>
      </c>
      <c r="D68" s="9"/>
      <c r="E68" s="17" t="s">
        <v>14</v>
      </c>
      <c r="F68" s="18" t="str">
        <f>HYPERLINK("https://youtu.be/GziR0x_Lgms?t=16",'Players&gt;List'!$B29)</f>
        <v>[SYS]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25" t="s">
        <v>233</v>
      </c>
      <c r="E69" s="26" t="s">
        <v>234</v>
      </c>
      <c r="F69" s="18" t="str">
        <f>HYPERLINK("https://youtu.be/zJ0394sQKWc?t=16",'Players&gt;List'!$B26)</f>
        <v>[SCO]</v>
      </c>
      <c r="G69" s="18" t="str">
        <f>HYPERLINK("https://www.youtube.com/watch?v=Q0yJDTpF0uI",'Players&gt;List'!$B21)</f>
        <v>[MAE]</v>
      </c>
      <c r="H69" s="18" t="str">
        <f>HYPERLINK("https://youtu.be/5GfZrg5pSdg?t=15s",'Players&gt;List'!$B29)</f>
        <v>[SYS]</v>
      </c>
      <c r="I69" s="1"/>
      <c r="J69" s="1"/>
      <c r="K69" s="1"/>
      <c r="L69" s="1"/>
      <c r="M69" s="1"/>
      <c r="N69" s="1"/>
      <c r="O69" s="1"/>
      <c r="P69" s="1"/>
    </row>
    <row r="70">
      <c r="A70" s="1"/>
      <c r="B70" s="25" t="s">
        <v>131</v>
      </c>
      <c r="E70" s="26" t="s">
        <v>132</v>
      </c>
      <c r="F70" s="18" t="str">
        <f>HYPERLINK("https://youtu.be/zJ0394sQKWc?t=40",'Players&gt;List'!$B26)</f>
        <v>[SCO]</v>
      </c>
      <c r="G70" s="18" t="str">
        <f>HYPERLINK("https://youtu.be/5GfZrg5pSdg?t=39s",'Players&gt;List'!$B29)</f>
        <v>[SYS]</v>
      </c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24" t="s">
        <v>349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4"/>
    </row>
    <row r="72">
      <c r="A72" s="1"/>
      <c r="B72" s="4" t="s">
        <v>351</v>
      </c>
      <c r="D72" s="9"/>
      <c r="E72" s="17" t="s">
        <v>14</v>
      </c>
      <c r="F72" s="18" t="str">
        <f>HYPERLINK("https://youtu.be/GziR0x_Lgms?t=31",'Players&gt;List'!$B29)</f>
        <v>[SYS]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25" t="s">
        <v>117</v>
      </c>
      <c r="E73" s="26" t="s">
        <v>110</v>
      </c>
      <c r="F73" s="18" t="str">
        <f>HYPERLINK("https://youtu.be/zJ0394sQKWc?t=70",'Players&gt;List'!$B26)</f>
        <v>[SCO]</v>
      </c>
      <c r="G73" s="18" t="str">
        <f>HYPERLINK("https://youtu.be/5GfZrg5pSdg?t=1m8s",'Players&gt;List'!$B29)</f>
        <v>[SYS]</v>
      </c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25" t="s">
        <v>88</v>
      </c>
      <c r="E74" s="26" t="s">
        <v>147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24" t="s">
        <v>352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4"/>
    </row>
    <row r="76">
      <c r="A76" s="1"/>
      <c r="B76" s="4" t="s">
        <v>354</v>
      </c>
      <c r="D76" s="9"/>
      <c r="E76" s="17" t="s">
        <v>14</v>
      </c>
      <c r="F76" s="18" t="str">
        <f>HYPERLINK("https://youtu.be/GziR0x_Lgms?t=103",'Players&gt;List'!$B29)</f>
        <v>[SYS]</v>
      </c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25" t="s">
        <v>88</v>
      </c>
      <c r="E77" s="26" t="s">
        <v>90</v>
      </c>
      <c r="F77" s="18" t="str">
        <f>HYPERLINK("https://youtu.be/zJ0394sQKWc?t=101",'Players&gt;List'!$B26)</f>
        <v>[SCO]</v>
      </c>
      <c r="G77" s="18" t="str">
        <f>HYPERLINK("https://www.youtube.com/watch?v=HZB7rKra8VE",'Players&gt;List'!$B18)</f>
        <v>[HGB]</v>
      </c>
      <c r="H77" s="18" t="str">
        <f>HYPERLINK("https://youtu.be/5GfZrg5pSdg?t=1m45s",'Players&gt;List'!$B29)</f>
        <v>[SYS]</v>
      </c>
      <c r="I77" s="1"/>
      <c r="J77" s="1"/>
      <c r="K77" s="1"/>
      <c r="L77" s="1"/>
      <c r="M77" s="1"/>
      <c r="N77" s="1"/>
      <c r="O77" s="1"/>
      <c r="P77" s="1"/>
    </row>
    <row r="78">
      <c r="A78" s="1"/>
      <c r="B78" s="25" t="s">
        <v>149</v>
      </c>
      <c r="E78" s="26" t="s">
        <v>147</v>
      </c>
      <c r="F78" s="18" t="str">
        <f>HYPERLINK("https://youtu.be/zJ0394sQKWc?t=132",'Players&gt;List'!$B26)</f>
        <v>[SCO]</v>
      </c>
      <c r="G78" s="18" t="str">
        <f>HYPERLINK("https://www.youtube.com/watch?v=AYNJJp4SbsI",'Players&gt;List'!$B18)</f>
        <v>[HGB]</v>
      </c>
      <c r="H78" s="18" t="str">
        <f>HYPERLINK("https://youtu.be/5GfZrg5pSdg?t=2m18s",'Players&gt;List'!$B29)</f>
        <v>[SYS]</v>
      </c>
      <c r="I78" s="1"/>
      <c r="J78" s="1"/>
      <c r="K78" s="1"/>
      <c r="L78" s="1"/>
      <c r="M78" s="1"/>
      <c r="N78" s="1"/>
      <c r="O78" s="1"/>
      <c r="P78" s="1"/>
    </row>
    <row r="79">
      <c r="A79" s="1"/>
      <c r="B79" s="24" t="s">
        <v>361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4"/>
    </row>
    <row r="80">
      <c r="A80" s="1"/>
      <c r="B80" s="4" t="s">
        <v>362</v>
      </c>
      <c r="D80" s="9"/>
      <c r="E80" s="17" t="s">
        <v>14</v>
      </c>
      <c r="F80" s="18" t="str">
        <f>HYPERLINK("https://youtu.be/GziR0x_Lgms?t=163",'Players&gt;List'!$B29)</f>
        <v>[SYS]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25" t="s">
        <v>149</v>
      </c>
      <c r="E81" s="26" t="s">
        <v>90</v>
      </c>
      <c r="F81" s="18" t="str">
        <f>HYPERLINK("https://youtu.be/zJ0394sQKWc?t=225",'Players&gt;List'!$B26)</f>
        <v>[SCO]</v>
      </c>
      <c r="G81" s="18" t="str">
        <f>HYPERLINK("https://youtu.be/5GfZrg5pSdg?t=3m51s",'Players&gt;List'!$B29)</f>
        <v>[SYS]</v>
      </c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24" t="s">
        <v>365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4"/>
    </row>
    <row r="83">
      <c r="A83" s="1"/>
      <c r="B83" s="4" t="s">
        <v>366</v>
      </c>
      <c r="D83" s="9"/>
      <c r="E83" s="17" t="s">
        <v>14</v>
      </c>
      <c r="F83" s="18" t="str">
        <f>HYPERLINK("https://youtu.be/osDbHGN8Gis",'Players&gt;List'!$B29)</f>
        <v>[SYS]</v>
      </c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25" t="s">
        <v>108</v>
      </c>
      <c r="E84" s="26" t="s">
        <v>110</v>
      </c>
      <c r="F84" s="18" t="str">
        <f>HYPERLINK("https://youtu.be/XWQszUtGPIU?t=4s",'Players&gt;List'!$B29)</f>
        <v>[SYS]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25" t="s">
        <v>117</v>
      </c>
      <c r="E85" s="26" t="s">
        <v>132</v>
      </c>
      <c r="F85" s="18" t="str">
        <f>HYPERLINK("https://youtu.be/XWQszUtGPIU?t=1m7s",'Players&gt;List'!$B29)</f>
        <v>[SYS]</v>
      </c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25" t="s">
        <v>157</v>
      </c>
      <c r="E86" s="26" t="s">
        <v>132</v>
      </c>
      <c r="F86" s="18" t="str">
        <f>HYPERLINK("https://youtu.be/XWQszUtGPIU?t=1m59s",'Players&gt;List'!$B29)</f>
        <v>[SYS]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25" t="s">
        <v>131</v>
      </c>
      <c r="E87" s="26" t="s">
        <v>132</v>
      </c>
      <c r="F87" s="18" t="str">
        <f>HYPERLINK("https://youtu.be/XWQszUtGPIU?t=2m49s",'Players&gt;List'!$B29)</f>
        <v>[SYS]</v>
      </c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24" t="s">
        <v>371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4"/>
    </row>
    <row r="89">
      <c r="A89" s="1"/>
      <c r="B89" s="4" t="s">
        <v>372</v>
      </c>
      <c r="D89" s="9"/>
      <c r="E89" s="17" t="s">
        <v>14</v>
      </c>
      <c r="F89" s="18" t="str">
        <f>HYPERLINK("https://youtu.be/osDbHGN8Gis?t=30",'Players&gt;List'!$B29)</f>
        <v>[SYS]</v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25" t="s">
        <v>88</v>
      </c>
      <c r="E90" s="26" t="s">
        <v>90</v>
      </c>
      <c r="F90" s="18" t="str">
        <f>HYPERLINK("https://youtu.be/XWQszUtGPIU?t=3m34s",'Players&gt;List'!$B29)</f>
        <v>[SYS]</v>
      </c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24" t="s">
        <v>375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4"/>
    </row>
    <row r="92">
      <c r="A92" s="1"/>
      <c r="B92" s="4" t="s">
        <v>376</v>
      </c>
      <c r="D92" s="9"/>
      <c r="E92" s="17" t="s">
        <v>14</v>
      </c>
      <c r="F92" s="18" t="str">
        <f>HYPERLINK("https://youtu.be/osDbHGN8Gis?t=42",'Players&gt;List'!$B29)</f>
        <v>[SYS]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25" t="s">
        <v>379</v>
      </c>
      <c r="E93" s="26" t="s">
        <v>380</v>
      </c>
      <c r="F93" s="18" t="str">
        <f>HYPERLINK("https://youtu.be/XWQszUtGPIU?t=3m52s",'Players&gt;List'!$B29)</f>
        <v>[SYS]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25" t="s">
        <v>335</v>
      </c>
      <c r="E94" s="26" t="s">
        <v>147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25" t="s">
        <v>88</v>
      </c>
      <c r="E95" s="26" t="s">
        <v>147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25" t="s">
        <v>149</v>
      </c>
      <c r="E96" s="26" t="s">
        <v>147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25" t="s">
        <v>117</v>
      </c>
      <c r="E97" s="26" t="s">
        <v>132</v>
      </c>
      <c r="F97" s="18" t="str">
        <f>HYPERLINK("https://youtu.be/XWQszUtGPIU?t=4m56s",'Players&gt;List'!$B29)</f>
        <v>[SYS]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24" t="s">
        <v>381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4"/>
    </row>
    <row r="99">
      <c r="A99" s="1"/>
      <c r="B99" s="4" t="s">
        <v>382</v>
      </c>
      <c r="D99" s="9"/>
      <c r="E99" s="17" t="s">
        <v>14</v>
      </c>
      <c r="F99" s="18" t="str">
        <f>HYPERLINK("https://youtu.be/osDbHGN8Gis?t=91",'Players&gt;List'!$B29)</f>
        <v>[SYS]</v>
      </c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25" t="s">
        <v>108</v>
      </c>
      <c r="E100" s="26" t="s">
        <v>110</v>
      </c>
      <c r="F100" s="18" t="str">
        <f>HYPERLINK("https://youtu.be/XWQszUtGPIU?t=5m39s",'Players&gt;List'!$B29)</f>
        <v>[SYS]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24" t="s">
        <v>384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4"/>
    </row>
    <row r="102">
      <c r="A102" s="1"/>
      <c r="B102" s="4" t="s">
        <v>386</v>
      </c>
      <c r="D102" s="9"/>
      <c r="E102" s="17" t="s">
        <v>14</v>
      </c>
      <c r="F102" s="18" t="str">
        <f>HYPERLINK("https://youtu.be/osDbHGN8Gis?t=127",'Players&gt;List'!$B29)</f>
        <v>[SYS]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25" t="s">
        <v>88</v>
      </c>
      <c r="E103" s="26" t="s">
        <v>90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25" t="s">
        <v>108</v>
      </c>
      <c r="E104" s="26" t="s">
        <v>132</v>
      </c>
      <c r="F104" s="18" t="str">
        <f>HYPERLINK("https://youtu.be/XWQszUtGPIU?t=6m15s",'Players&gt;List'!$B29)</f>
        <v>[SYS]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25" t="s">
        <v>387</v>
      </c>
      <c r="E105" s="26" t="s">
        <v>132</v>
      </c>
      <c r="F105" s="18" t="str">
        <f>HYPERLINK("https://youtu.be/XWQszUtGPIU?t=7m21s",'Players&gt;List'!$B29)</f>
        <v>[SYS]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25" t="s">
        <v>157</v>
      </c>
      <c r="E106" s="26" t="s">
        <v>132</v>
      </c>
      <c r="F106" s="18" t="str">
        <f>HYPERLINK("https://youtu.be/XWQszUtGPIU?t=8m29s",'Players&gt;List'!$B29)</f>
        <v>[SYS]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25" t="s">
        <v>149</v>
      </c>
      <c r="E107" s="27" t="s">
        <v>147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25" t="s">
        <v>400</v>
      </c>
      <c r="E108" s="26" t="s">
        <v>358</v>
      </c>
      <c r="F108" s="18" t="str">
        <f>HYPERLINK("https://youtu.be/XWQszUtGPIU?t=9m35s",'Players&gt;List'!$B29)</f>
        <v>[SYS]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24" t="s">
        <v>404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4"/>
    </row>
    <row r="110">
      <c r="A110" s="1"/>
      <c r="B110" s="4" t="s">
        <v>407</v>
      </c>
      <c r="D110" s="9"/>
      <c r="E110" s="17" t="s">
        <v>14</v>
      </c>
      <c r="F110" s="18" t="str">
        <f>HYPERLINK("https://youtu.be/qz1GMKMBUto",'Players&gt;List'!$B29)</f>
        <v>[SYS]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25" t="s">
        <v>117</v>
      </c>
      <c r="E111" s="26" t="s">
        <v>110</v>
      </c>
      <c r="F111" s="18" t="str">
        <f>HYPERLINK("https://youtu.be/sGo7vpnBCAE?t=4",'Players&gt;List'!$B26)</f>
        <v>[SCO]</v>
      </c>
      <c r="G111" s="18" t="str">
        <f>HYPERLINK("https://www.youtube.com/watch?v=QJuuERHdS9I",'Players&gt;List'!$B28)</f>
        <v>[SUN]</v>
      </c>
      <c r="H111" s="18" t="str">
        <f>HYPERLINK("https://youtu.be/Di6De6Vft5k?t=4s",'Players&gt;List'!$B29)</f>
        <v>[SYS]</v>
      </c>
      <c r="I111" s="18" t="str">
        <f>HYPERLINK("https://youtu.be/8x3sa4ktKMk?t=22",'Players&gt;List'!$B10)</f>
        <v>[CAM]</v>
      </c>
      <c r="J111" s="1"/>
      <c r="K111" s="1"/>
      <c r="L111" s="1"/>
      <c r="M111" s="1"/>
      <c r="N111" s="1"/>
      <c r="O111" s="1"/>
      <c r="P111" s="1"/>
    </row>
    <row r="112">
      <c r="A112" s="1"/>
      <c r="B112" s="25" t="s">
        <v>88</v>
      </c>
      <c r="E112" s="26" t="s">
        <v>147</v>
      </c>
      <c r="F112" s="18" t="str">
        <f>HYPERLINK("https://www.youtube.com/watch?v=cQR49SKIyCI",'Players&gt;List'!$B28)</f>
        <v>[SUN]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25" t="s">
        <v>149</v>
      </c>
      <c r="E113" s="26" t="s">
        <v>147</v>
      </c>
      <c r="F113" s="18" t="str">
        <f>HYPERLINK("https://www.youtube.com/watch?v=x7E9Tnibmy0",'Players&gt;List'!$B28)</f>
        <v>[SUN]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24" t="s">
        <v>425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4"/>
    </row>
    <row r="115">
      <c r="A115" s="1"/>
      <c r="B115" s="4" t="s">
        <v>430</v>
      </c>
      <c r="D115" s="9"/>
      <c r="E115" s="17" t="s">
        <v>14</v>
      </c>
      <c r="F115" s="18" t="str">
        <f>HYPERLINK("https://youtu.be/qz1GMKMBUto?t=29",'Players&gt;List'!$B29)</f>
        <v>[SYS]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25" t="s">
        <v>117</v>
      </c>
      <c r="E116" s="26" t="s">
        <v>110</v>
      </c>
      <c r="F116" s="18" t="str">
        <f>HYPERLINK("https://youtu.be/sGo7vpnBCAE?t=26",'Players&gt;List'!$B26)</f>
        <v>[SCO]</v>
      </c>
      <c r="G116" s="18" t="str">
        <f>HYPERLINK("https://www.youtube.com/watch?v=iP2gxU66Hy8",'Players&gt;List'!$B28)</f>
        <v>[SUN]</v>
      </c>
      <c r="H116" s="18" t="str">
        <f>HYPERLINK("https://youtu.be/Di6De6Vft5k?t=28s",'Players&gt;List'!$B29)</f>
        <v>[SYS]</v>
      </c>
      <c r="I116" s="18" t="str">
        <f>HYPERLINK("https://youtu.be/8x3sa4ktKMk?t=81",'Players&gt;List'!$B10)</f>
        <v>[CAM]</v>
      </c>
      <c r="J116" s="1"/>
      <c r="K116" s="1"/>
      <c r="L116" s="1"/>
      <c r="M116" s="1"/>
      <c r="N116" s="1"/>
      <c r="O116" s="1"/>
      <c r="P116" s="1"/>
    </row>
    <row r="117">
      <c r="A117" s="1"/>
      <c r="B117" s="25" t="s">
        <v>88</v>
      </c>
      <c r="E117" s="26" t="s">
        <v>147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25" t="s">
        <v>149</v>
      </c>
      <c r="E118" s="26" t="s">
        <v>147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24" t="s">
        <v>449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4"/>
    </row>
    <row r="120">
      <c r="A120" s="1"/>
      <c r="B120" s="4" t="s">
        <v>452</v>
      </c>
      <c r="D120" s="9"/>
      <c r="E120" s="17" t="s">
        <v>14</v>
      </c>
      <c r="F120" s="18" t="str">
        <f>HYPERLINK("https://youtu.be/qz1GMKMBUto?t=45",'Players&gt;List'!$B29)</f>
        <v>[SYS]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25" t="s">
        <v>457</v>
      </c>
      <c r="E121" s="26" t="s">
        <v>110</v>
      </c>
      <c r="F121" s="18" t="str">
        <f>HYPERLINK("https://youtu.be/sGo7vpnBCAE?t=66",'Players&gt;List'!$B26)</f>
        <v>[SCO]</v>
      </c>
      <c r="G121" s="18" t="str">
        <f>HYPERLINK("https://youtu.be/Di6De6Vft5k?t=1m12s",'Players&gt;List'!$B29)</f>
        <v>[SYS]</v>
      </c>
      <c r="H121" s="18" t="str">
        <f>HYPERLINK("https://youtu.be/8x3sa4ktKMk?t=147",'Players&gt;List'!$B10)</f>
        <v>[CAM]</v>
      </c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24" t="s">
        <v>464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4"/>
    </row>
    <row r="123">
      <c r="A123" s="1"/>
      <c r="B123" s="4" t="s">
        <v>467</v>
      </c>
      <c r="D123" s="9"/>
      <c r="E123" s="17" t="s">
        <v>14</v>
      </c>
      <c r="F123" s="18" t="str">
        <f>HYPERLINK("https://youtu.be/qz1GMKMBUto?t=72",'Players&gt;List'!$B29)</f>
        <v>[SYS]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25" t="s">
        <v>149</v>
      </c>
      <c r="E124" s="26" t="s">
        <v>90</v>
      </c>
      <c r="F124" s="18" t="str">
        <f>HYPERLINK("https://youtu.be/sGo7vpnBCAE?t=96",'Players&gt;List'!$B26)</f>
        <v>[SCO]</v>
      </c>
      <c r="G124" s="18" t="str">
        <f>HYPERLINK("https://www.youtube.com/watch?v=Wuy1HVXl_o8",'Players&gt;List'!$B28)</f>
        <v>[SUN]</v>
      </c>
      <c r="H124" s="18" t="str">
        <f>HYPERLINK("https://youtu.be/Di6De6Vft5k?t=1m38s",'Players&gt;List'!$B29)</f>
        <v>[SYS]</v>
      </c>
      <c r="I124" s="18" t="str">
        <f>HYPERLINK("https://youtu.be/8x3sa4ktKMk?t=195",'Players&gt;List'!$B10)</f>
        <v>[CAM]</v>
      </c>
      <c r="J124" s="1"/>
      <c r="K124" s="1"/>
      <c r="L124" s="1"/>
      <c r="M124" s="1"/>
      <c r="N124" s="1"/>
      <c r="O124" s="1"/>
      <c r="P124" s="1"/>
    </row>
    <row r="125">
      <c r="A125" s="1"/>
      <c r="B125" s="24" t="s">
        <v>479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"/>
    </row>
    <row r="126">
      <c r="A126" s="1"/>
      <c r="B126" s="4" t="s">
        <v>482</v>
      </c>
      <c r="D126" s="9"/>
      <c r="E126" s="17" t="s">
        <v>14</v>
      </c>
      <c r="F126" s="18" t="str">
        <f>HYPERLINK("https://youtu.be/qz1GMKMBUto?t=97",'Players&gt;List'!$B29)</f>
        <v>[SYS]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/>
      <c r="B127" s="25" t="s">
        <v>488</v>
      </c>
      <c r="E127" s="26" t="s">
        <v>234</v>
      </c>
      <c r="F127" s="18" t="str">
        <f>HYPERLINK("https://youtu.be/sGo7vpnBCAE?t=119",'Players&gt;List'!$B26)</f>
        <v>[SCO]</v>
      </c>
      <c r="G127" s="18" t="str">
        <f>HYPERLINK("https://youtu.be/Di6De6Vft5k?t=2m1s",'Players&gt;List'!$B29)</f>
        <v>[SYS]</v>
      </c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/>
      <c r="B128" s="25" t="s">
        <v>88</v>
      </c>
      <c r="E128" s="26" t="s">
        <v>147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/>
      <c r="B129" s="25" t="s">
        <v>157</v>
      </c>
      <c r="E129" s="26" t="s">
        <v>132</v>
      </c>
      <c r="F129" s="18" t="str">
        <f>HYPERLINK("https://youtu.be/sGo7vpnBCAE?t=168",'Players&gt;List'!$B26)</f>
        <v>[SCO]</v>
      </c>
      <c r="G129" s="18" t="str">
        <f>HYPERLINK("https://youtu.be/Di6De6Vft5k?t=2m36s",'Players&gt;List'!$B29)</f>
        <v>[SYS]</v>
      </c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/>
      <c r="B130" s="25" t="s">
        <v>502</v>
      </c>
      <c r="E130" s="26" t="s">
        <v>358</v>
      </c>
      <c r="F130" s="18" t="str">
        <f>HYPERLINK("https://youtu.be/sGo7vpnBCAE?t=202",'Players&gt;List'!$B26)</f>
        <v>[SCO]</v>
      </c>
      <c r="G130" s="18" t="str">
        <f>HYPERLINK("https://www.youtube.com/watch?v=4C_l3fHOlqA",'Players&gt;List'!$B28)</f>
        <v>[SUN]</v>
      </c>
      <c r="H130" s="18" t="str">
        <f>HYPERLINK("https://youtu.be/Di6De6Vft5k?t=3m11s",'Players&gt;List'!$B29)</f>
        <v>[SYS]</v>
      </c>
      <c r="I130" s="18" t="str">
        <f>HYPERLINK("https://youtu.be/8x3sa4ktKMk?t=237",'Players&gt;List'!$B10)</f>
        <v>[CAM]</v>
      </c>
      <c r="J130" s="1"/>
      <c r="K130" s="1"/>
      <c r="L130" s="1"/>
      <c r="M130" s="1"/>
      <c r="N130" s="1"/>
      <c r="O130" s="1"/>
      <c r="P130" s="1"/>
    </row>
    <row r="131">
      <c r="A131" s="1"/>
      <c r="B131" s="24" t="s">
        <v>509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4"/>
    </row>
    <row r="132">
      <c r="A132" s="1"/>
      <c r="B132" s="4" t="s">
        <v>514</v>
      </c>
      <c r="D132" s="9"/>
      <c r="E132" s="17" t="s">
        <v>14</v>
      </c>
      <c r="F132" s="18" t="str">
        <f>HYPERLINK("https://youtu.be/hTUj5awYwRw",'Players&gt;List'!$B29)</f>
        <v>[SYS]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/>
      <c r="B133" s="25" t="s">
        <v>108</v>
      </c>
      <c r="E133" s="26" t="s">
        <v>110</v>
      </c>
      <c r="F133" s="18" t="str">
        <f>HYPERLINK("https://youtu.be/-tMfGLViD7E?t=4",'Players&gt;List'!$B26)</f>
        <v>[SCO]</v>
      </c>
      <c r="G133" s="18" t="str">
        <f>HYPERLINK("https://youtu.be/O4JgPEfht3A?t=4s",'Players&gt;List'!$B29)</f>
        <v>[SYS]</v>
      </c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/>
      <c r="B134" s="25" t="s">
        <v>88</v>
      </c>
      <c r="E134" s="26" t="s">
        <v>147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/>
      <c r="B135" s="24" t="s">
        <v>523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4"/>
    </row>
    <row r="136">
      <c r="A136" s="1"/>
      <c r="B136" s="4" t="s">
        <v>525</v>
      </c>
      <c r="D136" s="9"/>
      <c r="E136" s="17" t="s">
        <v>14</v>
      </c>
      <c r="F136" s="18" t="str">
        <f>HYPERLINK("https://youtu.be/hTUj5awYwRw?t=20",'Players&gt;List'!$B29)</f>
        <v>[SYS]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/>
      <c r="B137" s="25" t="s">
        <v>149</v>
      </c>
      <c r="E137" s="26" t="s">
        <v>90</v>
      </c>
      <c r="F137" s="18" t="str">
        <f>HYPERLINK("https://youtu.be/-tMfGLViD7E?t=44",'Players&gt;List'!$B26)</f>
        <v>[SCO]</v>
      </c>
      <c r="G137" s="18" t="str">
        <f>HYPERLINK("https://youtu.be/O4JgPEfht3A?t=33s",'Players&gt;List'!$B29)</f>
        <v>[SYS]</v>
      </c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/>
      <c r="B138" s="25" t="s">
        <v>88</v>
      </c>
      <c r="E138" s="26" t="s">
        <v>147</v>
      </c>
      <c r="F138" s="18" t="str">
        <f>HYPERLINK("https://youtu.be/-tMfGLViD7E?t=44",'Players&gt;List'!$B26)</f>
        <v>[SCO]</v>
      </c>
      <c r="G138" s="18" t="str">
        <f>HYPERLINK("https://youtu.be/O4JgPEfht3A?t=33s",'Players&gt;List'!$B29)</f>
        <v>[SYS]</v>
      </c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/>
      <c r="B139" s="24" t="s">
        <v>539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4"/>
    </row>
    <row r="140">
      <c r="A140" s="1"/>
      <c r="B140" s="4" t="s">
        <v>542</v>
      </c>
      <c r="D140" s="9"/>
      <c r="E140" s="17" t="s">
        <v>14</v>
      </c>
      <c r="F140" s="18" t="str">
        <f>HYPERLINK("https://youtu.be/hTUj5awYwRw?t=42",'Players&gt;List'!$B29)</f>
        <v>[SYS]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/>
      <c r="B141" s="25" t="s">
        <v>117</v>
      </c>
      <c r="E141" s="26" t="s">
        <v>110</v>
      </c>
      <c r="F141" s="18" t="str">
        <f>HYPERLINK("https://youtu.be/-tMfGLViD7E?t=69",'Players&gt;List'!$B26)</f>
        <v>[SCO]</v>
      </c>
      <c r="G141" s="18" t="str">
        <f>HYPERLINK("https://youtu.be/O4JgPEfht3A?t=56s",'Players&gt;List'!$B29)</f>
        <v>[SYS]</v>
      </c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/>
      <c r="B142" s="24" t="s">
        <v>551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4"/>
    </row>
    <row r="143">
      <c r="A143" s="1"/>
      <c r="B143" s="4" t="s">
        <v>555</v>
      </c>
      <c r="D143" s="9"/>
      <c r="E143" s="17" t="s">
        <v>14</v>
      </c>
      <c r="F143" s="18" t="str">
        <f>HYPERLINK("https://youtu.be/hTUj5awYwRw?t=62",'Players&gt;List'!$B29)</f>
        <v>[SYS]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/>
      <c r="B144" s="25" t="s">
        <v>117</v>
      </c>
      <c r="E144" s="26" t="s">
        <v>110</v>
      </c>
      <c r="F144" s="18" t="str">
        <f>HYPERLINK("https://youtu.be/-tMfGLViD7E?t=94",'Players&gt;List'!$B26)</f>
        <v>[SCO]</v>
      </c>
      <c r="G144" s="18" t="str">
        <f>HYPERLINK("https://youtu.be/O4JgPEfht3A?t=1m15s",'Players&gt;List'!$B29)</f>
        <v>[SYS]</v>
      </c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/>
      <c r="B145" s="25" t="s">
        <v>88</v>
      </c>
      <c r="E145" s="26" t="s">
        <v>147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/>
      <c r="B146" s="25" t="s">
        <v>149</v>
      </c>
      <c r="E146" s="26" t="s">
        <v>147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/>
      <c r="B147" s="24" t="s">
        <v>564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4"/>
    </row>
    <row r="148">
      <c r="A148" s="1"/>
      <c r="B148" s="4" t="s">
        <v>566</v>
      </c>
      <c r="D148" s="9"/>
      <c r="E148" s="17" t="s">
        <v>14</v>
      </c>
      <c r="F148" s="18" t="str">
        <f>HYPERLINK("https://youtu.be/hTUj5awYwRw?t=89",'Players&gt;List'!$B29)</f>
        <v>[SYS]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/>
      <c r="B149" s="25" t="s">
        <v>131</v>
      </c>
      <c r="E149" s="26" t="s">
        <v>110</v>
      </c>
      <c r="F149" s="18" t="str">
        <f>HYPERLINK("https://youtu.be/-tMfGLViD7E?t=154",'Players&gt;List'!$B26)</f>
        <v>[SCO]</v>
      </c>
      <c r="G149" s="18" t="str">
        <f>HYPERLINK("https://youtu.be/O4JgPEfht3A?t=2m10s",'Players&gt;List'!$B29)</f>
        <v>[SYS]</v>
      </c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/>
      <c r="B150" s="25" t="s">
        <v>149</v>
      </c>
      <c r="E150" s="26" t="s">
        <v>147</v>
      </c>
      <c r="F150" s="18" t="str">
        <f>HYPERLINK("https://www.youtube.com/watch?v=Sj1aoQsjkG0",'Players&gt;List'!$B28)</f>
        <v>[SUN]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/>
      <c r="B151" s="24" t="s">
        <v>580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4"/>
    </row>
    <row r="152">
      <c r="A152" s="1"/>
      <c r="B152" s="4" t="s">
        <v>583</v>
      </c>
      <c r="D152" s="9"/>
      <c r="E152" s="17" t="s">
        <v>14</v>
      </c>
      <c r="F152" s="18" t="str">
        <f>HYPERLINK("https://www.youtube.com/watch?v=72E_A_iAbhI",'Players&gt;List'!$B28)</f>
        <v>[SUN]</v>
      </c>
      <c r="G152" s="18" t="str">
        <f>HYPERLINK("https://youtu.be/BgXxUpQNCWk",'Players&gt;List'!$B29)</f>
        <v>[SYS]</v>
      </c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/>
      <c r="B153" s="25" t="s">
        <v>117</v>
      </c>
      <c r="E153" s="26" t="s">
        <v>110</v>
      </c>
      <c r="F153" s="18" t="str">
        <f>HYPERLINK("https://youtu.be/_utJI8afobw?t=5",'Players&gt;List'!$B26)</f>
        <v>[SCO]</v>
      </c>
      <c r="G153" s="18" t="str">
        <f>HYPERLINK("https://youtu.be/f0XdP2bFkoI?t=4s",'Players&gt;List'!$B29)</f>
        <v>[SYS]</v>
      </c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/>
      <c r="B154" s="25" t="s">
        <v>88</v>
      </c>
      <c r="E154" s="26" t="s">
        <v>147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/>
      <c r="B155" s="24" t="s">
        <v>591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4"/>
    </row>
    <row r="156">
      <c r="A156" s="1"/>
      <c r="B156" s="4" t="s">
        <v>594</v>
      </c>
      <c r="D156" s="9"/>
      <c r="E156" s="17" t="s">
        <v>14</v>
      </c>
      <c r="F156" s="18" t="str">
        <f>HYPERLINK("https://youtu.be/BgXxUpQNCWk?t=18",'Players&gt;List'!$B29)</f>
        <v>[SYS]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/>
      <c r="B157" s="25" t="s">
        <v>108</v>
      </c>
      <c r="E157" s="26" t="s">
        <v>110</v>
      </c>
      <c r="F157" s="18" t="str">
        <f>HYPERLINK("https://youtu.be/_utJI8afobw?t=22",'Players&gt;List'!$B26)</f>
        <v>[SCO]</v>
      </c>
      <c r="G157" s="18" t="str">
        <f>HYPERLINK("https://youtu.be/f0XdP2bFkoI?t=30s",'Players&gt;List'!$B29)</f>
        <v>[SYS]</v>
      </c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/>
      <c r="B158" s="25" t="s">
        <v>88</v>
      </c>
      <c r="E158" s="26" t="s">
        <v>147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/>
      <c r="B159" s="25" t="s">
        <v>197</v>
      </c>
      <c r="E159" s="26" t="s">
        <v>147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/>
      <c r="B160" s="24" t="s">
        <v>603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4"/>
    </row>
    <row r="161">
      <c r="A161" s="1"/>
      <c r="B161" s="4" t="s">
        <v>607</v>
      </c>
      <c r="D161" s="9"/>
      <c r="E161" s="17" t="s">
        <v>14</v>
      </c>
      <c r="F161" s="18" t="str">
        <f>HYPERLINK("https://www.youtube.com/watch?v=lTWTWlajYbM",'Players&gt;List'!$B28)</f>
        <v>[SUN]</v>
      </c>
      <c r="G161" s="18" t="str">
        <f>HYPERLINK("https://youtu.be/BgXxUpQNCWk?t=33",'Players&gt;List'!$B29)</f>
        <v>[SYS]</v>
      </c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/>
      <c r="B162" s="25" t="s">
        <v>117</v>
      </c>
      <c r="E162" s="26" t="s">
        <v>110</v>
      </c>
      <c r="F162" s="18" t="str">
        <f>HYPERLINK("https://youtu.be/_utJI8afobw?t=50",'Players&gt;List'!$B26)</f>
        <v>[SCO]</v>
      </c>
      <c r="G162" s="18" t="str">
        <f>HYPERLINK("https://youtu.be/f0XdP2bFkoI?t=54s",'Players&gt;List'!$B29)</f>
        <v>[SYS]</v>
      </c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/>
      <c r="B163" s="25" t="s">
        <v>108</v>
      </c>
      <c r="E163" s="26" t="s">
        <v>132</v>
      </c>
      <c r="F163" s="18" t="str">
        <f>HYPERLINK("https://youtu.be/_utJI8afobw?t=80",'Players&gt;List'!$B26)</f>
        <v>[SCO]</v>
      </c>
      <c r="G163" s="18" t="str">
        <f>HYPERLINK("https://youtu.be/f0XdP2bFkoI?t=1m23s",'Players&gt;List'!$B29)</f>
        <v>[SYS]</v>
      </c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/>
      <c r="B164" s="24" t="s">
        <v>622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4"/>
    </row>
    <row r="165">
      <c r="A165" s="1"/>
      <c r="B165" s="4" t="s">
        <v>625</v>
      </c>
      <c r="D165" s="9"/>
      <c r="E165" s="17" t="s">
        <v>14</v>
      </c>
      <c r="F165" s="18" t="str">
        <f>HYPERLINK("https://youtu.be/BgXxUpQNCWk?t=64",'Players&gt;List'!$B29)</f>
        <v>[SYS]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/>
      <c r="B166" s="25" t="s">
        <v>149</v>
      </c>
      <c r="E166" s="26" t="s">
        <v>90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/>
      <c r="B167" s="25" t="s">
        <v>88</v>
      </c>
      <c r="E167" s="26" t="s">
        <v>147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/>
      <c r="B168" s="25" t="s">
        <v>117</v>
      </c>
      <c r="E168" s="26" t="s">
        <v>132</v>
      </c>
      <c r="F168" s="18" t="str">
        <f>HYPERLINK("https://youtu.be/_utJI8afobw?t=97",'Players&gt;List'!$B26)</f>
        <v>[SCO]</v>
      </c>
      <c r="G168" s="18" t="str">
        <f>HYPERLINK("https://youtu.be/f0XdP2bFkoI?t=1m45s",'Players&gt;List'!$B29)</f>
        <v>[SYS]</v>
      </c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/>
      <c r="B169" s="24" t="s">
        <v>636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4"/>
    </row>
    <row r="170">
      <c r="A170" s="1"/>
      <c r="B170" s="4" t="s">
        <v>639</v>
      </c>
      <c r="D170" s="9"/>
      <c r="E170" s="17" t="s">
        <v>14</v>
      </c>
      <c r="F170" s="18" t="str">
        <f>HYPERLINK("https://youtu.be/BgXxUpQNCWk?t=91",'Players&gt;List'!$B29)</f>
        <v>[SYS]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/>
      <c r="B171" s="25" t="s">
        <v>400</v>
      </c>
      <c r="E171" s="26" t="s">
        <v>234</v>
      </c>
      <c r="F171" s="18" t="str">
        <f>HYPERLINK("https://youtu.be/_utJI8afobw?t=190",'Players&gt;List'!$B26)</f>
        <v>[SCO]</v>
      </c>
      <c r="G171" s="18" t="str">
        <f>HYPERLINK("https://youtu.be/f0XdP2bFkoI?t=3m19s",'Players&gt;List'!$B29)</f>
        <v>[SYS]</v>
      </c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/>
      <c r="B172" s="25" t="s">
        <v>88</v>
      </c>
      <c r="E172" s="26" t="s">
        <v>147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/>
      <c r="B173" s="25" t="s">
        <v>649</v>
      </c>
      <c r="E173" s="26" t="s">
        <v>147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/>
      <c r="B174" s="25" t="s">
        <v>387</v>
      </c>
      <c r="E174" s="26" t="s">
        <v>132</v>
      </c>
      <c r="F174" s="18" t="str">
        <f>HYPERLINK("https://youtu.be/_utJI8afobw?t=218",'Players&gt;List'!$B26)</f>
        <v>[SCO]</v>
      </c>
      <c r="G174" s="18" t="str">
        <f>HYPERLINK("https://youtu.be/f0XdP2bFkoI?t=3m52s",'Players&gt;List'!$B29)</f>
        <v>[SYS]</v>
      </c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/>
      <c r="B175" s="25" t="s">
        <v>655</v>
      </c>
      <c r="E175" s="26" t="s">
        <v>358</v>
      </c>
      <c r="F175" s="18" t="str">
        <f>HYPERLINK("https://youtu.be/_utJI8afobw?t=244",'Players&gt;List'!$B26)</f>
        <v>[SCO]</v>
      </c>
      <c r="G175" s="18" t="str">
        <f>HYPERLINK("https://youtu.be/f0XdP2bFkoI?t=4m17s",'Players&gt;List'!$B29)</f>
        <v>[SYS]</v>
      </c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/>
      <c r="B176" s="24" t="s">
        <v>660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4"/>
    </row>
    <row r="177">
      <c r="A177" s="1"/>
      <c r="B177" s="4" t="s">
        <v>662</v>
      </c>
      <c r="D177" s="9"/>
      <c r="E177" s="17" t="s">
        <v>14</v>
      </c>
      <c r="F177" s="18" t="str">
        <f>HYPERLINK("https://youtu.be/H_RfeAO8BOo",'Players&gt;List'!$B29)</f>
        <v>[SYS]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/>
      <c r="B178" s="25" t="s">
        <v>668</v>
      </c>
      <c r="E178" s="26" t="s">
        <v>234</v>
      </c>
      <c r="F178" s="18" t="str">
        <f>HYPERLINK("https://youtu.be/_OGRJdb0lts?t=3",'Players&gt;List'!$B29)</f>
        <v>[SYS]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/>
      <c r="B179" s="25" t="s">
        <v>671</v>
      </c>
      <c r="E179" s="26" t="s">
        <v>358</v>
      </c>
      <c r="F179" s="18" t="str">
        <f>HYPERLINK("https://youtu.be/_OGRJdb0lts?t=39",'Players&gt;List'!$B29)</f>
        <v>[SYS]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/>
      <c r="B180" s="24" t="s">
        <v>674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4"/>
    </row>
    <row r="181">
      <c r="A181" s="1"/>
      <c r="B181" s="4" t="s">
        <v>678</v>
      </c>
      <c r="D181" s="9"/>
      <c r="E181" s="17" t="s">
        <v>14</v>
      </c>
      <c r="F181" s="18" t="str">
        <f>HYPERLINK("https://youtu.be/H_RfeAO8BOo?t=27",'Players&gt;List'!$B29)</f>
        <v>[SYS]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/>
      <c r="B182" s="25" t="s">
        <v>117</v>
      </c>
      <c r="E182" s="26" t="s">
        <v>110</v>
      </c>
      <c r="F182" s="18" t="str">
        <f>HYPERLINK("https://www.youtube.com/watch?v=l1p_duE197A",'Players&gt;List'!$B18)</f>
        <v>[HGB]</v>
      </c>
      <c r="G182" s="18" t="str">
        <f>HYPERLINK("https://youtu.be/_OGRJdb0lts?t=67",'Players&gt;List'!$B29)</f>
        <v>[SYS]</v>
      </c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/>
      <c r="B183" s="25" t="s">
        <v>157</v>
      </c>
      <c r="E183" s="26" t="s">
        <v>132</v>
      </c>
      <c r="F183" s="18" t="str">
        <f>HYPERLINK("https://youtu.be/_OGRJdb0lts?t=95",'Players&gt;List'!$B29)</f>
        <v>[SYS]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/>
      <c r="B184" s="24" t="s">
        <v>692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4"/>
    </row>
    <row r="185">
      <c r="A185" s="1"/>
      <c r="B185" s="4" t="s">
        <v>696</v>
      </c>
      <c r="D185" s="9"/>
      <c r="E185" s="17" t="s">
        <v>14</v>
      </c>
      <c r="F185" s="18" t="str">
        <f>HYPERLINK("https://youtu.be/H_RfeAO8BOo?t=53",'Players&gt;List'!$B29)</f>
        <v>[SYS]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/>
      <c r="B186" s="25" t="s">
        <v>117</v>
      </c>
      <c r="E186" s="26" t="s">
        <v>110</v>
      </c>
      <c r="F186" s="18" t="str">
        <f>HYPERLINK("https://www.youtube.com/watch?v=l1p_duE197A",'Players&gt;List'!$B18)</f>
        <v>[HGB]</v>
      </c>
      <c r="G186" s="18" t="str">
        <f>HYPERLINK("https://youtu.be/_OGRJdb0lts?t=132",'Players&gt;List'!$B29)</f>
        <v>[SYS]</v>
      </c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/>
      <c r="B187" s="24" t="s">
        <v>703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4"/>
    </row>
    <row r="188">
      <c r="A188" s="1"/>
      <c r="B188" s="4" t="s">
        <v>706</v>
      </c>
      <c r="D188" s="9"/>
      <c r="E188" s="17" t="s">
        <v>14</v>
      </c>
      <c r="F188" s="18" t="str">
        <f>HYPERLINK("https://www.youtube.com/watch?v=01iMJRAuUwQ",'Players&gt;List'!$B23)</f>
        <v>[MOL]</v>
      </c>
      <c r="G188" s="18" t="str">
        <f>HYPERLINK("https://www.youtube.com/watch?v=Q0dYWNnK2ig",'Players&gt;List'!$B19)</f>
        <v>[HIT]</v>
      </c>
      <c r="H188" s="18" t="str">
        <f>HYPERLINK("https://www.youtube.com/watch?v=c5_HDQ9YfjM",'Players&gt;List'!$B10)</f>
        <v>[CAM]</v>
      </c>
      <c r="I188" s="18" t="str">
        <f>HYPERLINK("https://www.youtube.com/watch?v=sMmdjCYmgqk",'Players&gt;List'!$B16)</f>
        <v>[GEA]</v>
      </c>
      <c r="J188" s="18" t="str">
        <f>HYPERLINK("https://www.youtube.com/watch?v=ZUsrx4JL74M",'Players&gt;List'!$B9)</f>
        <v>[AWE]</v>
      </c>
      <c r="K188" s="18" t="str">
        <f>HYPERLINK("https://www.youtube.com/watch?v=duyWomzGIEE",'Players&gt;List'!$B11)</f>
        <v>[CHB]</v>
      </c>
      <c r="L188" s="18" t="str">
        <f>HYPERLINK("https://youtu.be/H_RfeAO8BOo?t=85",'Players&gt;List'!$B29)</f>
        <v>[SYS]</v>
      </c>
      <c r="M188" s="1"/>
      <c r="N188" s="1"/>
      <c r="O188" s="1"/>
      <c r="P188" s="1"/>
    </row>
    <row r="189">
      <c r="A189" s="1"/>
      <c r="B189" s="25" t="s">
        <v>197</v>
      </c>
      <c r="E189" s="26" t="s">
        <v>90</v>
      </c>
      <c r="F189" s="18" t="str">
        <f>HYPERLINK("https://youtu.be/_OGRJdb0lts?t=200",'Players&gt;List'!$B29)</f>
        <v>[SYS]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/>
      <c r="B190" s="25" t="s">
        <v>149</v>
      </c>
      <c r="E190" s="26" t="s">
        <v>147</v>
      </c>
      <c r="F190" s="18" t="str">
        <f>HYPERLINK("https://www.youtube.com/watch?v=6k8A00mQCKo",'Players&gt;List'!$B16)</f>
        <v>[GEA]</v>
      </c>
      <c r="G190" s="18" t="str">
        <f>HYPERLINK("https://youtu.be/_OGRJdb0lts?t=226",'Players&gt;List'!$B29)</f>
        <v>[SYS]</v>
      </c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/>
      <c r="B191" s="24" t="s">
        <v>729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4"/>
    </row>
    <row r="192">
      <c r="A192" s="1"/>
      <c r="B192" s="4" t="s">
        <v>732</v>
      </c>
      <c r="D192" s="9"/>
      <c r="E192" s="17" t="s">
        <v>14</v>
      </c>
      <c r="F192" s="18" t="str">
        <f>HYPERLINK("https://youtu.be/H_RfeAO8BOo?t=376",'Players&gt;List'!$B29)</f>
        <v>[SYS]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/>
      <c r="B193" s="25" t="s">
        <v>88</v>
      </c>
      <c r="E193" s="26" t="s">
        <v>90</v>
      </c>
      <c r="F193" s="18" t="str">
        <f>HYPERLINK("https://youtu.be/_OGRJdb0lts?t=514",'Players&gt;List'!$B29)</f>
        <v>[SYS]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/>
      <c r="B194" s="25" t="s">
        <v>197</v>
      </c>
      <c r="E194" s="26" t="s">
        <v>147</v>
      </c>
      <c r="F194" s="18" t="str">
        <f>HYPERLINK("https://youtu.be/_OGRJdb0lts?t=514",'Players&gt;List'!$B29)</f>
        <v>[SYS]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/>
      <c r="B195" s="25" t="s">
        <v>131</v>
      </c>
      <c r="E195" s="26" t="s">
        <v>132</v>
      </c>
      <c r="F195" s="18" t="str">
        <f>HYPERLINK("https://youtu.be/_OGRJdb0lts?t=569",'Players&gt;List'!$B29)</f>
        <v>[SYS]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/>
      <c r="B196" s="24" t="s">
        <v>745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4"/>
    </row>
    <row r="197">
      <c r="A197" s="1"/>
      <c r="B197" s="4" t="s">
        <v>746</v>
      </c>
      <c r="D197" s="9"/>
      <c r="E197" s="17" t="s">
        <v>14</v>
      </c>
      <c r="F197" s="18" t="str">
        <f>HYPERLINK("https://youtu.be/uxyypOIUTxU",'Players&gt;List'!$B29)</f>
        <v>[SYS]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/>
      <c r="B198" s="25" t="s">
        <v>117</v>
      </c>
      <c r="E198" s="26" t="s">
        <v>110</v>
      </c>
      <c r="F198" s="18" t="str">
        <f>HYPERLINK("https://youtu.be/XhtlYwr1qR4?t=5",'Players&gt;List'!$B26)</f>
        <v>[SCO]</v>
      </c>
      <c r="G198" s="18" t="str">
        <f>HYPERLINK("https://youtu.be/q5XVeua225Q?t=3",'Players&gt;List'!$B29)</f>
        <v>[SYS]</v>
      </c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/>
      <c r="B199" s="24" t="s">
        <v>754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4"/>
    </row>
    <row r="200">
      <c r="A200" s="1"/>
      <c r="B200" s="4" t="s">
        <v>756</v>
      </c>
      <c r="D200" s="9"/>
      <c r="E200" s="17" t="s">
        <v>14</v>
      </c>
      <c r="F200" s="18" t="str">
        <f>HYPERLINK("https://youtu.be/uxyypOIUTxU?t=19",'Players&gt;List'!$B29)</f>
        <v>[SYS]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/>
      <c r="B201" s="25" t="s">
        <v>88</v>
      </c>
      <c r="E201" s="26" t="s">
        <v>90</v>
      </c>
      <c r="F201" s="18" t="str">
        <f>HYPERLINK("https://youtu.be/XhtlYwr1qR4?t=40",'Players&gt;List'!$B26)</f>
        <v>[SCO]</v>
      </c>
      <c r="G201" s="18" t="str">
        <f>HYPERLINK("https://youtu.be/q5XVeua225Q?t=40",'Players&gt;List'!$B29)</f>
        <v>[SYS]</v>
      </c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/>
      <c r="B202" s="24" t="s">
        <v>769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4"/>
    </row>
    <row r="203">
      <c r="A203" s="1"/>
      <c r="B203" s="4" t="s">
        <v>774</v>
      </c>
      <c r="D203" s="9"/>
      <c r="E203" s="17" t="s">
        <v>14</v>
      </c>
      <c r="F203" s="18" t="str">
        <f>HYPERLINK("https://youtu.be/uxyypOIUTxU?t=39",'Players&gt;List'!$B29)</f>
        <v>[SYS]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/>
      <c r="B204" s="25" t="s">
        <v>131</v>
      </c>
      <c r="E204" s="26" t="s">
        <v>110</v>
      </c>
      <c r="F204" s="18" t="str">
        <f>HYPERLINK("https://youtu.be/XhtlYwr1qR4?t=59",'Players&gt;List'!$B26)</f>
        <v>[SCO]</v>
      </c>
      <c r="G204" s="18" t="str">
        <f>HYPERLINK("https://youtu.be/q5XVeua225Q?t=63",'Players&gt;List'!$B29)</f>
        <v>[SYS]</v>
      </c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/>
      <c r="B205" s="25" t="s">
        <v>108</v>
      </c>
      <c r="E205" s="26" t="s">
        <v>132</v>
      </c>
      <c r="F205" s="18" t="str">
        <f>HYPERLINK("https://youtu.be/XhtlYwr1qR4?t=95",'Players&gt;List'!$B26)</f>
        <v>[SCO]</v>
      </c>
      <c r="G205" s="18" t="str">
        <f>HYPERLINK("https://youtu.be/q5XVeua225Q?t=89",'Players&gt;List'!$B29)</f>
        <v>[SYS]</v>
      </c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/>
      <c r="B206" s="24" t="s">
        <v>795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4"/>
    </row>
    <row r="207">
      <c r="A207" s="1"/>
      <c r="B207" s="4" t="s">
        <v>798</v>
      </c>
      <c r="D207" s="9"/>
      <c r="E207" s="17" t="s">
        <v>14</v>
      </c>
      <c r="F207" s="18" t="str">
        <f>HYPERLINK("https://youtu.be/uxyypOIUTxU?t=67",'Players&gt;List'!$B29)</f>
        <v>[SYS]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/>
      <c r="B208" s="25" t="s">
        <v>117</v>
      </c>
      <c r="E208" s="26" t="s">
        <v>110</v>
      </c>
      <c r="F208" s="18" t="str">
        <f>HYPERLINK("https://youtu.be/XhtlYwr1qR4?t=113",'Players&gt;List'!$B26)</f>
        <v>[SCO]</v>
      </c>
      <c r="G208" s="18" t="str">
        <f>HYPERLINK("https://youtu.be/q5XVeua225Q?t=106",'Players&gt;List'!$B29)</f>
        <v>[SYS]</v>
      </c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/>
      <c r="B209" s="24" t="s">
        <v>810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4"/>
    </row>
    <row r="210">
      <c r="A210" s="1"/>
      <c r="B210" s="4" t="s">
        <v>814</v>
      </c>
      <c r="D210" s="9"/>
      <c r="E210" s="17" t="s">
        <v>14</v>
      </c>
      <c r="F210" s="18" t="str">
        <f>HYPERLINK("https://youtu.be/uxyypOIUTxU?t=106",'Players&gt;List'!$B29)</f>
        <v>[SYS]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/>
      <c r="B211" s="25" t="s">
        <v>821</v>
      </c>
      <c r="E211" s="26" t="s">
        <v>110</v>
      </c>
      <c r="F211" s="18" t="str">
        <f>HYPERLINK("https://youtu.be/XhtlYwr1qR4?t=147",'Players&gt;List'!$B26)</f>
        <v>[SCO]</v>
      </c>
      <c r="G211" s="18" t="str">
        <f>HYPERLINK("https://youtu.be/q5XVeua225Q?t=136",'Players&gt;List'!$B29)</f>
        <v>[SYS]</v>
      </c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/>
      <c r="B212" s="25" t="s">
        <v>88</v>
      </c>
      <c r="E212" s="26" t="s">
        <v>147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/>
      <c r="B213" s="25" t="s">
        <v>149</v>
      </c>
      <c r="E213" s="26" t="s">
        <v>147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/>
      <c r="B214" s="24" t="s">
        <v>830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4"/>
    </row>
    <row r="215">
      <c r="A215" s="1"/>
      <c r="B215" s="4" t="s">
        <v>832</v>
      </c>
      <c r="D215" s="9"/>
      <c r="E215" s="17" t="s">
        <v>14</v>
      </c>
      <c r="F215" s="18" t="str">
        <f>HYPERLINK("https://youtu.be/KQrbxdwpNaw",'Players&gt;List'!$B29)</f>
        <v>[SYS]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/>
      <c r="B216" s="25" t="s">
        <v>117</v>
      </c>
      <c r="E216" s="26" t="s">
        <v>110</v>
      </c>
      <c r="F216" s="18" t="str">
        <f>HYPERLINK("https://youtu.be/GS2SSwBpCLk?t=5",'Players&gt;List'!$B26)</f>
        <v>[SCO]</v>
      </c>
      <c r="G216" s="18" t="str">
        <f>HYPERLINK("https://youtu.be/jcS9jUn76F8?t=20",'Players&gt;List'!$B10)</f>
        <v>[CAM]</v>
      </c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/>
      <c r="B217" s="25" t="s">
        <v>149</v>
      </c>
      <c r="E217" s="26" t="s">
        <v>147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/>
      <c r="B218" s="24" t="s">
        <v>839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4"/>
    </row>
    <row r="219">
      <c r="A219" s="1"/>
      <c r="B219" s="4" t="s">
        <v>842</v>
      </c>
      <c r="D219" s="9"/>
      <c r="E219" s="17" t="s">
        <v>14</v>
      </c>
      <c r="F219" s="18" t="str">
        <f>HYPERLINK("https://youtu.be/KQrbxdwpNaw?t=15",'Players&gt;List'!$B29)</f>
        <v>[SYS]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/>
      <c r="B220" s="25" t="s">
        <v>88</v>
      </c>
      <c r="E220" s="26" t="s">
        <v>90</v>
      </c>
      <c r="F220" s="18" t="str">
        <f>HYPERLINK("https://youtu.be/GS2SSwBpCLk?t=76",'Players&gt;List'!$B26)</f>
        <v>[SCO]</v>
      </c>
      <c r="G220" s="18" t="str">
        <f>HYPERLINK("https://www.youtube.com/watch?v=U8TNAZPOQU8",'Players&gt;List'!$B28)</f>
        <v>[SUN]</v>
      </c>
      <c r="H220" s="18" t="str">
        <f>HYPERLINK("https://youtu.be/jcS9jUn76F8?t=87",'Players&gt;List'!$B10)</f>
        <v>[CAM]</v>
      </c>
      <c r="I220" s="1"/>
      <c r="J220" s="1"/>
      <c r="K220" s="1"/>
      <c r="L220" s="1"/>
      <c r="M220" s="1"/>
      <c r="N220" s="1"/>
      <c r="O220" s="1"/>
      <c r="P220" s="1"/>
    </row>
    <row r="221">
      <c r="A221" s="1"/>
      <c r="B221" s="24" t="s">
        <v>852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4"/>
    </row>
    <row r="222">
      <c r="A222" s="1"/>
      <c r="B222" s="4" t="s">
        <v>854</v>
      </c>
      <c r="D222" s="9"/>
      <c r="E222" s="17" t="s">
        <v>14</v>
      </c>
      <c r="F222" s="18" t="str">
        <f>HYPERLINK("https://youtu.be/KQrbxdwpNaw?t=160",'Players&gt;List'!$B29)</f>
        <v>[SYS]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/>
      <c r="B223" s="25" t="s">
        <v>117</v>
      </c>
      <c r="E223" s="26" t="s">
        <v>110</v>
      </c>
      <c r="F223" s="18" t="str">
        <f>HYPERLINK("https://youtu.be/GS2SSwBpCLk?t=92",'Players&gt;List'!$B26)</f>
        <v>[SCO]</v>
      </c>
      <c r="G223" s="18" t="str">
        <f>HYPERLINK("https://www.youtube.com/watch?v=aVULokV-eR8",'Players&gt;List'!$B28)</f>
        <v>[SUN]</v>
      </c>
      <c r="H223" s="18" t="str">
        <f>HYPERLINK("https://youtu.be/jcS9jUn76F8?t=104",'Players&gt;List'!$B10)</f>
        <v>[CAM]</v>
      </c>
      <c r="I223" s="1"/>
      <c r="J223" s="1"/>
      <c r="K223" s="1"/>
      <c r="L223" s="1"/>
      <c r="M223" s="1"/>
      <c r="N223" s="1"/>
      <c r="O223" s="1"/>
      <c r="P223" s="1"/>
    </row>
    <row r="224">
      <c r="A224" s="1"/>
      <c r="B224" s="24" t="s">
        <v>866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4"/>
    </row>
    <row r="225">
      <c r="A225" s="1"/>
      <c r="B225" s="4" t="s">
        <v>869</v>
      </c>
      <c r="D225" s="9"/>
      <c r="E225" s="17" t="s">
        <v>14</v>
      </c>
      <c r="F225" s="18" t="str">
        <f>HYPERLINK("https://youtu.be/KQrbxdwpNaw?t=176",'Players&gt;List'!$B29)</f>
        <v>[SYS]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/>
      <c r="B226" s="25" t="s">
        <v>108</v>
      </c>
      <c r="E226" s="26" t="s">
        <v>110</v>
      </c>
      <c r="F226" s="18" t="str">
        <f>HYPERLINK("https://youtu.be/GS2SSwBpCLk?t=165",'Players&gt;List'!$B26)</f>
        <v>[SCO]</v>
      </c>
      <c r="G226" s="18" t="str">
        <f>HYPERLINK("https://youtu.be/jcS9jUn76F8?t=149",'Players&gt;List'!$B10)</f>
        <v>[CAM]</v>
      </c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/>
      <c r="B227" s="25" t="s">
        <v>88</v>
      </c>
      <c r="E227" s="26" t="s">
        <v>147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/>
      <c r="B228" s="25" t="s">
        <v>117</v>
      </c>
      <c r="E228" s="26" t="s">
        <v>132</v>
      </c>
      <c r="F228" s="18" t="str">
        <f>HYPERLINK("https://youtu.be/GS2SSwBpCLk?t=124",'Players&gt;List'!$B26)</f>
        <v>[SCO]</v>
      </c>
      <c r="G228" s="18" t="str">
        <f>HYPERLINK("https://www.youtube.com/watch?v=pKjbKIC72Bc",'Players&gt;List'!$B28)</f>
        <v>[SUN]</v>
      </c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/>
      <c r="B229" s="24" t="s">
        <v>882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4"/>
    </row>
    <row r="230">
      <c r="A230" s="1"/>
      <c r="B230" s="4" t="s">
        <v>885</v>
      </c>
      <c r="D230" s="9"/>
      <c r="E230" s="17" t="s">
        <v>14</v>
      </c>
      <c r="F230" s="18" t="str">
        <f>HYPERLINK("https://youtu.be/KQrbxdwpNaw?t=206",'Players&gt;List'!$B29)</f>
        <v>[SYS]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/>
      <c r="B231" s="25" t="s">
        <v>131</v>
      </c>
      <c r="E231" s="26" t="s">
        <v>110</v>
      </c>
      <c r="F231" s="18" t="str">
        <f>HYPERLINK("https://youtu.be/GS2SSwBpCLk?t=198",'Players&gt;List'!$B26)</f>
        <v>[SCO]</v>
      </c>
      <c r="G231" s="18" t="str">
        <f>HYPERLINK("https://youtu.be/jcS9jUn76F8?t=179",'Players&gt;List'!$B10)</f>
        <v>[CAM]</v>
      </c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/>
      <c r="B232" s="25" t="s">
        <v>108</v>
      </c>
      <c r="E232" s="26" t="s">
        <v>132</v>
      </c>
      <c r="F232" s="18" t="str">
        <f>HYPERLINK("https://youtu.be/GS2SSwBpCLk?t=277",'Players&gt;List'!$B26)</f>
        <v>[SCO]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/>
      <c r="B233" s="24" t="s">
        <v>893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4"/>
    </row>
    <row r="234">
      <c r="A234" s="1"/>
      <c r="B234" s="4" t="s">
        <v>897</v>
      </c>
      <c r="D234" s="9"/>
      <c r="E234" s="17" t="s">
        <v>14</v>
      </c>
      <c r="F234" s="18" t="str">
        <f>HYPERLINK("https://youtu.be/S5LSQIgMd0E",'Players&gt;List'!$B29)</f>
        <v>[SYS]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/>
      <c r="B235" s="25" t="s">
        <v>117</v>
      </c>
      <c r="E235" s="26" t="s">
        <v>110</v>
      </c>
      <c r="F235" s="18" t="str">
        <f>HYPERLINK("https://youtu.be/hME53T3GKMc?t=5",'Players&gt;List'!$B26)</f>
        <v>[SCO]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/>
      <c r="B236" s="25" t="s">
        <v>149</v>
      </c>
      <c r="E236" s="26" t="s">
        <v>147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/>
      <c r="B237" s="25" t="s">
        <v>88</v>
      </c>
      <c r="E237" s="26" t="s">
        <v>147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/>
      <c r="B238" s="24" t="s">
        <v>904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4"/>
    </row>
    <row r="239">
      <c r="A239" s="1"/>
      <c r="B239" s="4" t="s">
        <v>906</v>
      </c>
      <c r="D239" s="9"/>
      <c r="E239" s="17" t="s">
        <v>14</v>
      </c>
      <c r="F239" s="18" t="str">
        <f>HYPERLINK("https://youtu.be/S5LSQIgMd0E?t=24",'Players&gt;List'!$B29)</f>
        <v>[SYS]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/>
      <c r="B240" s="25" t="s">
        <v>88</v>
      </c>
      <c r="E240" s="26" t="s">
        <v>90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/>
      <c r="B241" s="25" t="s">
        <v>197</v>
      </c>
      <c r="E241" s="26" t="s">
        <v>147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/>
      <c r="B242" s="25" t="s">
        <v>131</v>
      </c>
      <c r="E242" s="26" t="s">
        <v>132</v>
      </c>
      <c r="F242" s="18" t="str">
        <f>HYPERLINK("https://youtu.be/hME53T3GKMc?t=91",'Players&gt;List'!$B26)</f>
        <v>[SCO]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/>
      <c r="B243" s="25" t="s">
        <v>108</v>
      </c>
      <c r="E243" s="26" t="s">
        <v>132</v>
      </c>
      <c r="F243" s="18" t="str">
        <f>HYPERLINK("https://www.youtube.com/watch?v=D5Buts0K_j0",'Players&gt;List'!$B9)</f>
        <v>[AWE]</v>
      </c>
      <c r="G243" s="18" t="str">
        <f>HYPERLINK("https://youtu.be/hME53T3GKMc?t=115",'Players&gt;List'!$B26)</f>
        <v>[SCO]</v>
      </c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/>
      <c r="B244" s="24" t="s">
        <v>921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4"/>
    </row>
    <row r="245">
      <c r="A245" s="1"/>
      <c r="B245" s="4" t="s">
        <v>925</v>
      </c>
      <c r="D245" s="9"/>
      <c r="E245" s="17" t="s">
        <v>14</v>
      </c>
      <c r="F245" s="18" t="str">
        <f>HYPERLINK("https://youtu.be/S5LSQIgMd0E?t=51",'Players&gt;List'!$B29)</f>
        <v>[SYS]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/>
      <c r="B246" s="25" t="s">
        <v>108</v>
      </c>
      <c r="E246" s="26" t="s">
        <v>110</v>
      </c>
      <c r="F246" s="18" t="str">
        <f>HYPERLINK("https://youtu.be/hME53T3GKMc?t=139",'Players&gt;List'!$B26)</f>
        <v>[SCO]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/>
      <c r="B247" s="25" t="s">
        <v>131</v>
      </c>
      <c r="E247" s="26" t="s">
        <v>132</v>
      </c>
      <c r="F247" s="18" t="str">
        <f>HYPERLINK("https://youtu.be/hME53T3GKMc?t=150",'Players&gt;List'!$B26)</f>
        <v>[SCO]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/>
      <c r="B248" s="24" t="s">
        <v>938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4"/>
    </row>
    <row r="249">
      <c r="A249" s="1"/>
      <c r="B249" s="4" t="s">
        <v>941</v>
      </c>
      <c r="D249" s="9"/>
      <c r="E249" s="17" t="s">
        <v>14</v>
      </c>
      <c r="F249" s="18" t="str">
        <f>HYPERLINK("https://youtu.be/S5LSQIgMd0E?t=59",'Players&gt;List'!$B29)</f>
        <v>[SYS]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/>
      <c r="B250" s="25" t="s">
        <v>157</v>
      </c>
      <c r="E250" s="26" t="s">
        <v>110</v>
      </c>
      <c r="F250" s="18" t="str">
        <f>HYPERLINK("https://youtu.be/hME53T3GKMc?t=159",'Players&gt;List'!$B26)</f>
        <v>[SCO]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/>
      <c r="B251" s="25" t="s">
        <v>149</v>
      </c>
      <c r="E251" s="26" t="s">
        <v>147</v>
      </c>
      <c r="F251" s="18" t="str">
        <f>HYPERLINK("https://youtu.be/hME53T3GKMc?t=212",'Players&gt;List'!$B26)</f>
        <v>[SCO]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/>
      <c r="B252" s="24" t="s">
        <v>952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4"/>
    </row>
    <row r="253">
      <c r="A253" s="1"/>
      <c r="B253" s="4" t="s">
        <v>954</v>
      </c>
      <c r="D253" s="9"/>
      <c r="E253" s="17" t="s">
        <v>14</v>
      </c>
      <c r="F253" s="18" t="str">
        <f>HYPERLINK("https://youtu.be/S5LSQIgMd0E?t=105",'Players&gt;List'!$B29)</f>
        <v>[SYS]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/>
      <c r="B254" s="25" t="s">
        <v>117</v>
      </c>
      <c r="E254" s="26" t="s">
        <v>110</v>
      </c>
      <c r="F254" s="18" t="str">
        <f>HYPERLINK("https://youtu.be/hME53T3GKMc?t=249",'Players&gt;List'!$B26)</f>
        <v>[SCO]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/>
      <c r="B255" s="25" t="s">
        <v>157</v>
      </c>
      <c r="E255" s="26" t="s">
        <v>132</v>
      </c>
      <c r="F255" s="18" t="str">
        <f>HYPERLINK("https://youtu.be/hME53T3GKMc?t=283",'Players&gt;List'!$B26)</f>
        <v>[SCO]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/>
      <c r="B256" s="24" t="s">
        <v>965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4"/>
    </row>
    <row r="257">
      <c r="A257" s="1"/>
      <c r="B257" s="4" t="s">
        <v>967</v>
      </c>
      <c r="D257" s="9"/>
      <c r="E257" s="17" t="s">
        <v>14</v>
      </c>
      <c r="F257" s="18" t="str">
        <f>HYPERLINK("https://youtu.be/dfoeEg_FXuM",'Players&gt;List'!$B29)</f>
        <v>[SYS]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/>
      <c r="B258" s="25" t="s">
        <v>971</v>
      </c>
      <c r="E258" s="26" t="s">
        <v>234</v>
      </c>
      <c r="F258" s="18" t="str">
        <f>HYPERLINK("https://youtu.be/WK2jpNyFtZ8?t=5",'Players&gt;List'!$B26)</f>
        <v>[SCO]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/>
      <c r="B259" s="25" t="s">
        <v>502</v>
      </c>
      <c r="E259" s="26" t="s">
        <v>358</v>
      </c>
      <c r="F259" s="18" t="str">
        <f>HYPERLINK("https://youtu.be/WK2jpNyFtZ8?t=46",'Players&gt;List'!$B26)</f>
        <v>[SCO]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/>
      <c r="B260" s="25" t="s">
        <v>400</v>
      </c>
      <c r="E260" s="26" t="s">
        <v>358</v>
      </c>
      <c r="F260" s="18" t="str">
        <f>HYPERLINK("https://youtu.be/WK2jpNyFtZ8?t=79",'Players&gt;List'!$B26)</f>
        <v>[SCO]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/>
      <c r="B261" s="24" t="s">
        <v>983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4"/>
    </row>
    <row r="262">
      <c r="A262" s="1"/>
      <c r="B262" s="4" t="s">
        <v>985</v>
      </c>
      <c r="D262" s="9"/>
      <c r="E262" s="17" t="s">
        <v>14</v>
      </c>
      <c r="F262" s="18" t="str">
        <f>HYPERLINK("https://youtu.be/dfoeEg_FXuM?t=24",'Players&gt;List'!$B29)</f>
        <v>[SYS]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/>
      <c r="B263" s="25" t="s">
        <v>108</v>
      </c>
      <c r="E263" s="26" t="s">
        <v>110</v>
      </c>
      <c r="F263" s="18" t="str">
        <f>HYPERLINK("https://youtu.be/WK2jpNyFtZ8?t=131",'Players&gt;List'!$B26)</f>
        <v>[SCO]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/>
      <c r="B264" s="25" t="s">
        <v>88</v>
      </c>
      <c r="E264" s="26" t="s">
        <v>147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/>
      <c r="B265" s="25" t="s">
        <v>131</v>
      </c>
      <c r="E265" s="26" t="s">
        <v>132</v>
      </c>
      <c r="F265" s="18" t="str">
        <f>HYPERLINK("https://youtu.be/WK2jpNyFtZ8?t=185",'Players&gt;List'!$B26)</f>
        <v>[SCO]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/>
      <c r="B266" s="24" t="s">
        <v>997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4"/>
    </row>
    <row r="267">
      <c r="A267" s="1"/>
      <c r="B267" s="4" t="s">
        <v>999</v>
      </c>
      <c r="D267" s="9"/>
      <c r="E267" s="17" t="s">
        <v>14</v>
      </c>
      <c r="F267" s="18" t="str">
        <f>HYPERLINK("https://youtu.be/dfoeEg_FXuM?t=59",'Players&gt;List'!$B29)</f>
        <v>[SYS]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/>
      <c r="B268" s="25" t="s">
        <v>88</v>
      </c>
      <c r="E268" s="26" t="s">
        <v>90</v>
      </c>
      <c r="F268" s="18" t="str">
        <f>HYPERLINK("https://youtu.be/WK2jpNyFtZ8?t=249",'Players&gt;List'!$B26)</f>
        <v>[SCO]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/>
      <c r="B269" s="24" t="s">
        <v>1004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4"/>
    </row>
    <row r="270">
      <c r="A270" s="1"/>
      <c r="B270" s="4" t="s">
        <v>1007</v>
      </c>
      <c r="D270" s="9"/>
      <c r="E270" s="17" t="s">
        <v>14</v>
      </c>
      <c r="F270" s="18" t="str">
        <f>HYPERLINK("https://youtu.be/dfoeEg_FXuM?t=71",'Players&gt;List'!$B29)</f>
        <v>[SYS]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/>
      <c r="B271" s="25" t="s">
        <v>88</v>
      </c>
      <c r="E271" s="26" t="s">
        <v>90</v>
      </c>
      <c r="F271" s="18" t="str">
        <f>HYPERLINK("https://youtu.be/WK2jpNyFtZ8?t=260",'Players&gt;List'!$B26)</f>
        <v>[SCO]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/>
      <c r="B272" s="24" t="s">
        <v>1015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4"/>
    </row>
    <row r="273">
      <c r="A273" s="1"/>
      <c r="B273" s="4" t="s">
        <v>1017</v>
      </c>
      <c r="D273" s="9"/>
      <c r="E273" s="17" t="s">
        <v>14</v>
      </c>
      <c r="F273" s="18" t="str">
        <f>HYPERLINK("https://youtu.be/dfoeEg_FXuM?t=97",'Players&gt;List'!$B29)</f>
        <v>[SYS]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/>
      <c r="B274" s="25" t="s">
        <v>88</v>
      </c>
      <c r="E274" s="26" t="s">
        <v>90</v>
      </c>
      <c r="F274" s="18" t="str">
        <f>HYPERLINK("https://youtu.be/WK2jpNyFtZ8?t=304",'Players&gt;List'!$B26)</f>
        <v>[SCO]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/>
      <c r="B275" s="24" t="s">
        <v>1024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4"/>
    </row>
    <row r="276">
      <c r="A276" s="1"/>
      <c r="B276" s="4" t="s">
        <v>1028</v>
      </c>
      <c r="D276" s="9"/>
      <c r="E276" s="17" t="s">
        <v>14</v>
      </c>
      <c r="F276" s="18" t="str">
        <f>HYPERLINK("https://youtu.be/u5t6_093SdI",'Players&gt;List'!$B29)</f>
        <v>[SYS]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/>
      <c r="B277" s="25" t="s">
        <v>488</v>
      </c>
      <c r="E277" s="26" t="s">
        <v>234</v>
      </c>
      <c r="F277" s="18" t="str">
        <f>HYPERLINK("https://youtu.be/zVlarcKaJgw?t=5",'Players&gt;List'!$B26)</f>
        <v>[SCO]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/>
      <c r="B278" s="25" t="s">
        <v>1033</v>
      </c>
      <c r="E278" s="26" t="s">
        <v>358</v>
      </c>
      <c r="F278" s="18" t="str">
        <f>HYPERLINK("https://youtu.be/zVlarcKaJgw?t=37",'Players&gt;List'!$B26)</f>
        <v>[SCO]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/>
      <c r="B279" s="25" t="s">
        <v>400</v>
      </c>
      <c r="E279" s="26" t="s">
        <v>358</v>
      </c>
      <c r="F279" s="18" t="str">
        <f>HYPERLINK("https://youtu.be/zVlarcKaJgw?t=87",'Players&gt;List'!$B26)</f>
        <v>[SCO]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/>
      <c r="B280" s="24" t="s">
        <v>1040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4"/>
    </row>
    <row r="281">
      <c r="A281" s="1"/>
      <c r="B281" s="4" t="s">
        <v>1043</v>
      </c>
      <c r="D281" s="9"/>
      <c r="E281" s="17" t="s">
        <v>14</v>
      </c>
      <c r="F281" s="18" t="str">
        <f>HYPERLINK("https://youtu.be/u5t6_093SdI?t=29",'Players&gt;List'!$B29)</f>
        <v>[SYS]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/>
      <c r="B282" s="25" t="s">
        <v>117</v>
      </c>
      <c r="E282" s="26" t="s">
        <v>110</v>
      </c>
      <c r="F282" s="18" t="str">
        <f>HYPERLINK("https://youtu.be/zVlarcKaJgw?t=116",'Players&gt;List'!$B26)</f>
        <v>[SCO]</v>
      </c>
      <c r="G282" s="18" t="str">
        <f>HYPERLINK("https://www.youtube.com/watch?v=d6gf-nFm1fY",'Players&gt;List'!$B28)</f>
        <v>[SUN]</v>
      </c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/>
      <c r="B283" s="25" t="s">
        <v>157</v>
      </c>
      <c r="E283" s="26" t="s">
        <v>132</v>
      </c>
      <c r="F283" s="18" t="str">
        <f>HYPERLINK("https://youtu.be/zVlarcKaJgw?t=169",'Players&gt;List'!$B26)</f>
        <v>[SCO]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/>
      <c r="B284" s="24" t="s">
        <v>1056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4"/>
    </row>
    <row r="285">
      <c r="A285" s="1"/>
      <c r="B285" s="4" t="s">
        <v>1060</v>
      </c>
      <c r="D285" s="9"/>
      <c r="E285" s="17" t="s">
        <v>14</v>
      </c>
      <c r="F285" s="18" t="str">
        <f>HYPERLINK("https://youtu.be/u5t6_093SdI?t=64",'Players&gt;List'!$B29)</f>
        <v>[SYS]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/>
      <c r="B286" s="25" t="s">
        <v>149</v>
      </c>
      <c r="E286" s="26" t="s">
        <v>90</v>
      </c>
      <c r="F286" s="18" t="str">
        <f>HYPERLINK("https://youtu.be/zVlarcKaJgw?t=209",'Players&gt;List'!$B26)</f>
        <v>[SCO]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/>
      <c r="B287" s="25" t="s">
        <v>157</v>
      </c>
      <c r="E287" s="26" t="s">
        <v>132</v>
      </c>
      <c r="F287" s="18" t="str">
        <f>HYPERLINK("https://youtu.be/zVlarcKaJgw?t=250",'Players&gt;List'!$B26)</f>
        <v>[SCO]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/>
      <c r="B288" s="24" t="s">
        <v>1070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4"/>
    </row>
    <row r="289">
      <c r="A289" s="1"/>
      <c r="B289" s="4" t="s">
        <v>1073</v>
      </c>
      <c r="D289" s="9"/>
      <c r="E289" s="17" t="s">
        <v>14</v>
      </c>
      <c r="F289" s="18" t="str">
        <f>HYPERLINK("https://youtu.be/u5t6_093SdI?t=112",'Players&gt;List'!$B29)</f>
        <v>[SYS]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/>
      <c r="B290" s="25" t="s">
        <v>973</v>
      </c>
      <c r="E290" s="26" t="s">
        <v>234</v>
      </c>
      <c r="F290" s="18" t="str">
        <f>HYPERLINK("https://youtu.be/zVlarcKaJgw?t=307",'Players&gt;List'!$B26)</f>
        <v>[SCO]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/>
      <c r="B291" s="25" t="s">
        <v>117</v>
      </c>
      <c r="E291" s="26" t="s">
        <v>132</v>
      </c>
      <c r="F291" s="18" t="str">
        <f>HYPERLINK("https://youtu.be/zVlarcKaJgw?t=349",'Players&gt;List'!$B26)</f>
        <v>[SCO]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/>
      <c r="B292" s="24" t="s">
        <v>1084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4"/>
    </row>
    <row r="293">
      <c r="A293" s="1"/>
      <c r="B293" s="4" t="s">
        <v>1087</v>
      </c>
      <c r="D293" s="9"/>
      <c r="E293" s="17" t="s">
        <v>14</v>
      </c>
      <c r="F293" s="18" t="str">
        <f>HYPERLINK("https://youtu.be/u5t6_093SdI?t=137",'Players&gt;List'!$B29)</f>
        <v>[SYS]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/>
      <c r="B294" s="25" t="s">
        <v>117</v>
      </c>
      <c r="E294" s="26" t="s">
        <v>110</v>
      </c>
      <c r="F294" s="18" t="str">
        <f>HYPERLINK("https://youtu.be/zVlarcKaJgw?t=381",'Players&gt;List'!$B26)</f>
        <v>[SCO]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/>
      <c r="B295" s="25" t="s">
        <v>197</v>
      </c>
      <c r="E295" s="26" t="s">
        <v>147</v>
      </c>
      <c r="F295" s="18" t="str">
        <f>HYPERLINK("https://youtu.be/zVlarcKaJgw?t=456",'Players&gt;List'!$B26)</f>
        <v>[SCO]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/>
      <c r="B296" s="24" t="s">
        <v>1095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4"/>
    </row>
    <row r="297">
      <c r="A297" s="1"/>
      <c r="B297" s="4" t="s">
        <v>1097</v>
      </c>
      <c r="D297" s="9"/>
      <c r="E297" s="17" t="s">
        <v>14</v>
      </c>
      <c r="F297" s="18" t="str">
        <f>HYPERLINK("https://youtu.be/HTqMa4n-s44",'Players&gt;List'!$B29)</f>
        <v>[SYS]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/>
      <c r="B298" s="25" t="s">
        <v>117</v>
      </c>
      <c r="E298" s="26" t="s">
        <v>110</v>
      </c>
      <c r="F298" s="18" t="str">
        <f>HYPERLINK("https://youtu.be/bqhIWPlHF8U?t=5",'Players&gt;List'!$B26)</f>
        <v>[SCO]</v>
      </c>
      <c r="G298" s="18" t="str">
        <f>HYPERLINK("https://www.youtube.com/watch?v=2DoW7Yhvrss",'Players&gt;List'!$B28)</f>
        <v>[SUN]</v>
      </c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/>
      <c r="B299" s="25" t="s">
        <v>88</v>
      </c>
      <c r="E299" s="26" t="s">
        <v>147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/>
      <c r="B300" s="25" t="s">
        <v>149</v>
      </c>
      <c r="E300" s="26" t="s">
        <v>147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/>
      <c r="B301" s="24" t="s">
        <v>1106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4"/>
    </row>
    <row r="302">
      <c r="A302" s="1"/>
      <c r="B302" s="4" t="s">
        <v>1109</v>
      </c>
      <c r="D302" s="9"/>
      <c r="E302" s="17" t="s">
        <v>14</v>
      </c>
      <c r="F302" s="18" t="str">
        <f>HYPERLINK("https://youtu.be/HTqMa4n-s44?t=37",'Players&gt;List'!$B29)</f>
        <v>[SYS]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/>
      <c r="B303" s="25" t="s">
        <v>971</v>
      </c>
      <c r="E303" s="26" t="s">
        <v>234</v>
      </c>
      <c r="F303" s="18" t="str">
        <f>HYPERLINK("https://youtu.be/bqhIWPlHF8U?t=33",'Players&gt;List'!$B26)</f>
        <v>[SCO]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/>
      <c r="B304" s="25" t="s">
        <v>488</v>
      </c>
      <c r="E304" s="26" t="s">
        <v>358</v>
      </c>
      <c r="F304" s="18" t="str">
        <f>HYPERLINK("https://youtu.be/bqhIWPlHF8U?t=72",'Players&gt;List'!$B26)</f>
        <v>[SCO]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/>
      <c r="B305" s="25" t="s">
        <v>400</v>
      </c>
      <c r="E305" s="26" t="s">
        <v>358</v>
      </c>
      <c r="F305" s="18" t="str">
        <f>HYPERLINK("https://youtu.be/bqhIWPlHF8U?t=93",'Players&gt;List'!$B26)</f>
        <v>[SCO]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/>
      <c r="B306" s="24" t="s">
        <v>1114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4"/>
    </row>
    <row r="307">
      <c r="A307" s="1"/>
      <c r="B307" s="4" t="s">
        <v>1117</v>
      </c>
      <c r="D307" s="9"/>
      <c r="E307" s="17" t="s">
        <v>14</v>
      </c>
      <c r="F307" s="18" t="str">
        <f>HYPERLINK("https://youtu.be/HTqMa4n-s44?t=54",'Players&gt;List'!$B29)</f>
        <v>[SYS]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/>
      <c r="B308" s="25" t="s">
        <v>117</v>
      </c>
      <c r="E308" s="26" t="s">
        <v>110</v>
      </c>
      <c r="F308" s="18" t="str">
        <f>HYPERLINK("https://youtu.be/bqhIWPlHF8U?t=122",'Players&gt;List'!$B26)</f>
        <v>[SCO]</v>
      </c>
      <c r="G308" s="18" t="str">
        <f>HYPERLINK("https://www.youtube.com/watch?v=ix1OK-i5oU4",'Players&gt;List'!$B28)</f>
        <v>[SUN]</v>
      </c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/>
      <c r="B309" s="25" t="s">
        <v>88</v>
      </c>
      <c r="E309" s="26" t="s">
        <v>147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/>
      <c r="B310" s="24" t="s">
        <v>1126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4"/>
    </row>
    <row r="311">
      <c r="A311" s="1"/>
      <c r="B311" s="4" t="s">
        <v>1129</v>
      </c>
      <c r="D311" s="9"/>
      <c r="E311" s="17" t="s">
        <v>14</v>
      </c>
      <c r="F311" s="18" t="str">
        <f>HYPERLINK("https://youtu.be/HTqMa4n-s44?t=96",'Players&gt;List'!$B29)</f>
        <v>[SYS]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/>
      <c r="B312" s="25" t="s">
        <v>117</v>
      </c>
      <c r="E312" s="26" t="s">
        <v>110</v>
      </c>
      <c r="F312" s="18" t="str">
        <f>HYPERLINK("https://youtu.be/bqhIWPlHF8U?t=176",'Players&gt;List'!$B26)</f>
        <v>[SCO]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/>
      <c r="B313" s="24" t="s">
        <v>1135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4"/>
    </row>
    <row r="314">
      <c r="A314" s="1"/>
      <c r="B314" s="4" t="s">
        <v>1138</v>
      </c>
      <c r="D314" s="9"/>
      <c r="E314" s="17" t="s">
        <v>14</v>
      </c>
      <c r="F314" s="18" t="str">
        <f>HYPERLINK("https://youtu.be/HTqMa4n-s44?t=108",'Players&gt;List'!$B29)</f>
        <v>[SYS]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/>
      <c r="B315" s="25" t="s">
        <v>1142</v>
      </c>
      <c r="E315" s="26" t="s">
        <v>234</v>
      </c>
      <c r="F315" s="18" t="str">
        <f>HYPERLINK("https://youtu.be/bqhIWPlHF8U?t=205",'Players&gt;List'!$B26)</f>
        <v>[SCO]</v>
      </c>
      <c r="G315" s="18" t="str">
        <f>HYPERLINK("https://www.twitch.tv/videos/100127294",'Players&gt;List'!$B17)</f>
        <v>[GOL]</v>
      </c>
      <c r="H315" s="18" t="str">
        <f>HYPERLINK("https://www.youtube.com/watch?v=MOHC_6jnuW8",'Players&gt;List'!$B16)</f>
        <v>[GEA]</v>
      </c>
      <c r="I315" s="18" t="str">
        <f>HYPERLINK("https://www.twitch.tv/videos/303074762",'Players&gt;List'!$B9)</f>
        <v>[AWE]</v>
      </c>
      <c r="J315" s="1"/>
      <c r="K315" s="1"/>
      <c r="L315" s="1"/>
      <c r="M315" s="1"/>
      <c r="N315" s="1"/>
      <c r="O315" s="1"/>
      <c r="P315" s="1"/>
    </row>
    <row r="316">
      <c r="A316" s="1"/>
      <c r="B316" s="25" t="s">
        <v>649</v>
      </c>
      <c r="E316" s="26" t="s">
        <v>147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/>
      <c r="B317" s="25" t="s">
        <v>335</v>
      </c>
      <c r="E317" s="26" t="s">
        <v>147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/>
      <c r="B318" s="25" t="s">
        <v>88</v>
      </c>
      <c r="E318" s="26" t="s">
        <v>147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/>
      <c r="B319" s="24" t="s">
        <v>1156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4"/>
    </row>
    <row r="320">
      <c r="A320" s="1"/>
      <c r="B320" s="4" t="s">
        <v>1158</v>
      </c>
      <c r="D320" s="9"/>
      <c r="E320" s="17" t="s">
        <v>14</v>
      </c>
      <c r="F320" s="18" t="str">
        <f>HYPERLINK("https://youtu.be/Ufhh7lW05O0",'Players&gt;List'!$B29)</f>
        <v>[SYS]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/>
      <c r="B321" s="25" t="s">
        <v>88</v>
      </c>
      <c r="E321" s="26" t="s">
        <v>90</v>
      </c>
      <c r="F321" s="18" t="str">
        <f>HYPERLINK("https://youtu.be/wEwk1Gi0dlM?t=5",'Players&gt;List'!$B26)</f>
        <v>[SCO]</v>
      </c>
      <c r="G321" s="18" t="str">
        <f>HYPERLINK("https://www.youtube.com/watch?v=dsL5_ElGgiQ",'Players&gt;List'!$B28)</f>
        <v>[SUN]</v>
      </c>
      <c r="H321" s="18" t="str">
        <f>HYPERLINK("https://youtu.be/d8-VFlaI_js?t=11",'Players&gt;List'!$B10)</f>
        <v>[CAM]</v>
      </c>
      <c r="I321" s="1"/>
      <c r="J321" s="1"/>
      <c r="K321" s="1"/>
      <c r="L321" s="1"/>
      <c r="M321" s="1"/>
      <c r="N321" s="1"/>
      <c r="O321" s="1"/>
      <c r="P321" s="1"/>
    </row>
    <row r="322">
      <c r="A322" s="1"/>
      <c r="B322" s="24" t="s">
        <v>1170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4"/>
    </row>
    <row r="323">
      <c r="A323" s="1"/>
      <c r="B323" s="4" t="s">
        <v>1173</v>
      </c>
      <c r="D323" s="9"/>
      <c r="E323" s="17" t="s">
        <v>14</v>
      </c>
      <c r="F323" s="18" t="str">
        <f>HYPERLINK("https://youtu.be/Ufhh7lW05O0?t=18",'Players&gt;List'!$B29)</f>
        <v>[SYS]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/>
      <c r="B324" s="25" t="s">
        <v>117</v>
      </c>
      <c r="E324" s="26" t="s">
        <v>110</v>
      </c>
      <c r="F324" s="18" t="str">
        <f>HYPERLINK("https://youtu.be/wEwk1Gi0dlM?t=32",'Players&gt;List'!$B26)</f>
        <v>[SCO]</v>
      </c>
      <c r="G324" s="18" t="str">
        <f>HYPERLINK("https://www.youtube.com/watch?v=vlhcL4YPb6s",'Players&gt;List'!$B28)</f>
        <v>[SUN]</v>
      </c>
      <c r="H324" s="18" t="str">
        <f>HYPERLINK("https://youtu.be/d8-VFlaI_js?t=34",'Players&gt;List'!$B10)</f>
        <v>[CAM]</v>
      </c>
      <c r="I324" s="1"/>
      <c r="J324" s="1"/>
      <c r="K324" s="1"/>
      <c r="L324" s="1"/>
      <c r="M324" s="1"/>
      <c r="N324" s="1"/>
      <c r="O324" s="1"/>
      <c r="P324" s="1"/>
    </row>
    <row r="325">
      <c r="A325" s="1"/>
      <c r="B325" s="24" t="s">
        <v>1182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4"/>
    </row>
    <row r="326">
      <c r="A326" s="1"/>
      <c r="B326" s="4" t="s">
        <v>1185</v>
      </c>
      <c r="D326" s="9"/>
      <c r="E326" s="17" t="s">
        <v>14</v>
      </c>
      <c r="F326" s="18" t="str">
        <f>HYPERLINK("https://youtu.be/Ufhh7lW05O0?t=33",'Players&gt;List'!$B29)</f>
        <v>[SYS]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/>
      <c r="B327" s="25" t="s">
        <v>149</v>
      </c>
      <c r="E327" s="26" t="s">
        <v>90</v>
      </c>
      <c r="F327" s="18" t="str">
        <f>HYPERLINK("https://youtu.be/wEwk1Gi0dlM?t=64",'Players&gt;List'!$B26)</f>
        <v>[SCO]</v>
      </c>
      <c r="G327" s="18" t="str">
        <f>HYPERLINK("https://youtu.be/d8-VFlaI_js?t=106",'Players&gt;List'!$B10)</f>
        <v>[CAM]</v>
      </c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/>
      <c r="B328" s="25" t="s">
        <v>88</v>
      </c>
      <c r="E328" s="26" t="s">
        <v>147</v>
      </c>
      <c r="F328" s="18" t="str">
        <f>HYPERLINK("https://youtu.be/wEwk1Gi0dlM?t=64",'Players&gt;List'!$B26)</f>
        <v>[SCO]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/>
      <c r="B329" s="25" t="s">
        <v>157</v>
      </c>
      <c r="E329" s="26" t="s">
        <v>132</v>
      </c>
      <c r="F329" s="18" t="str">
        <f>HYPERLINK("https://youtu.be/wEwk1Gi0dlM?t=129",'Players&gt;List'!$B26)</f>
        <v>[SCO]</v>
      </c>
      <c r="G329" s="18" t="str">
        <f>HYPERLINK("https://youtu.be/d8-VFlaI_js?t=84",'Players&gt;List'!$B10)</f>
        <v>[CAM]</v>
      </c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/>
      <c r="B330" s="24" t="s">
        <v>1204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4"/>
    </row>
    <row r="331">
      <c r="A331" s="1"/>
      <c r="B331" s="4" t="s">
        <v>1209</v>
      </c>
      <c r="D331" s="9"/>
      <c r="E331" s="17" t="s">
        <v>14</v>
      </c>
      <c r="F331" s="18" t="str">
        <f>HYPERLINK("https://youtu.be/Ufhh7lW05O0?t=56",'Players&gt;List'!$B29)</f>
        <v>[SYS]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/>
      <c r="B332" s="25" t="s">
        <v>117</v>
      </c>
      <c r="E332" s="26" t="s">
        <v>110</v>
      </c>
      <c r="F332" s="18" t="str">
        <f>HYPERLINK("https://youtu.be/wEwk1Gi0dlM?t=162",'Players&gt;List'!$B26)</f>
        <v>[SCO]</v>
      </c>
      <c r="G332" s="18" t="str">
        <f>HYPERLINK("https://youtu.be/d8-VFlaI_js?t=156",'Players&gt;List'!$B10)</f>
        <v>[CAM]</v>
      </c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/>
      <c r="B333" s="24" t="s">
        <v>1219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4"/>
    </row>
    <row r="334">
      <c r="A334" s="1"/>
      <c r="B334" s="4" t="s">
        <v>1221</v>
      </c>
      <c r="D334" s="9"/>
      <c r="E334" s="17" t="s">
        <v>14</v>
      </c>
      <c r="F334" s="18" t="str">
        <f>HYPERLINK("https://youtu.be/Ufhh7lW05O0?t=95",'Players&gt;List'!$B29)</f>
        <v>[SYS]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/>
      <c r="B335" s="25" t="s">
        <v>117</v>
      </c>
      <c r="E335" s="26" t="s">
        <v>110</v>
      </c>
      <c r="F335" s="18" t="str">
        <f>HYPERLINK("https://youtu.be/wEwk1Gi0dlM?t=186",'Players&gt;List'!$B26)</f>
        <v>[SCO]</v>
      </c>
      <c r="G335" s="18" t="str">
        <f>HYPERLINK("https://youtu.be/d8-VFlaI_js?t=193",'Players&gt;List'!$B10)</f>
        <v>[CAM]</v>
      </c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/>
      <c r="B336" s="25" t="s">
        <v>157</v>
      </c>
      <c r="E336" s="26" t="s">
        <v>132</v>
      </c>
      <c r="F336" s="18" t="str">
        <f>HYPERLINK("https://youtu.be/wEwk1Gi0dlM?t=238",'Players&gt;List'!$B26)</f>
        <v>[SCO]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/>
      <c r="B337" s="24" t="s">
        <v>1235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4"/>
    </row>
    <row r="338">
      <c r="A338" s="1"/>
      <c r="B338" s="4" t="s">
        <v>1237</v>
      </c>
      <c r="D338" s="9"/>
      <c r="E338" s="17" t="s">
        <v>14</v>
      </c>
      <c r="F338" s="18" t="str">
        <f>HYPERLINK("https://youtu.be/KpilfBtNeFE",'Players&gt;List'!$B29)</f>
        <v>[SYS]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/>
      <c r="B339" s="25" t="s">
        <v>356</v>
      </c>
      <c r="E339" s="26" t="s">
        <v>234</v>
      </c>
      <c r="F339" s="18" t="str">
        <f>HYPERLINK("https://youtu.be/uI59GT_7Urs?t=5",'Players&gt;List'!$B26)</f>
        <v>[SCO]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/>
      <c r="B340" s="25" t="s">
        <v>88</v>
      </c>
      <c r="E340" s="26" t="s">
        <v>147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/>
      <c r="B341" s="25" t="s">
        <v>444</v>
      </c>
      <c r="E341" s="26" t="s">
        <v>147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/>
      <c r="B342" s="24" t="s">
        <v>1244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4"/>
    </row>
    <row r="343">
      <c r="A343" s="1"/>
      <c r="B343" s="4" t="s">
        <v>1246</v>
      </c>
      <c r="D343" s="9"/>
      <c r="E343" s="17" t="s">
        <v>14</v>
      </c>
      <c r="F343" s="18" t="str">
        <f>HYPERLINK("https://youtu.be/KpilfBtNeFE?t=60",'Players&gt;List'!$B29)</f>
        <v>[SYS]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/>
      <c r="B344" s="25" t="s">
        <v>117</v>
      </c>
      <c r="E344" s="26" t="s">
        <v>110</v>
      </c>
      <c r="F344" s="18" t="str">
        <f>HYPERLINK("https://youtu.be/uI59GT_7Urs?t=72",'Players&gt;List'!$B26)</f>
        <v>[SCO]</v>
      </c>
      <c r="G344" s="18" t="str">
        <f>HYPERLINK("https://www.twitch.tv/videos/86268135",'Players&gt;List'!$B32)</f>
        <v>[XEL]</v>
      </c>
      <c r="H344" s="18" t="str">
        <f>HYPERLINK("https://www.youtube.com/watch?v=h2YMB44x8n0",'Players&gt;List'!$B16)</f>
        <v>[GEA]</v>
      </c>
      <c r="I344" s="18" t="str">
        <f>HYPERLINK("https://www.youtube.com/watch?v=_7UujuxmWzE",'Players&gt;List'!$B27)</f>
        <v>[SKY]</v>
      </c>
      <c r="J344" s="18" t="str">
        <f>HYPERLINK("https://www.youtube.com/watch?v=03Q8huQUPso",'Players&gt;List'!$B14)</f>
        <v>[ESP]</v>
      </c>
      <c r="K344" s="1"/>
      <c r="L344" s="1"/>
      <c r="M344" s="1"/>
      <c r="N344" s="1"/>
      <c r="O344" s="1"/>
      <c r="P344" s="1"/>
    </row>
    <row r="345">
      <c r="A345" s="1"/>
      <c r="B345" s="25" t="s">
        <v>131</v>
      </c>
      <c r="E345" s="26" t="s">
        <v>132</v>
      </c>
      <c r="F345" s="18" t="str">
        <f>HYPERLINK("https://youtu.be/uI59GT_7Urs?t=192",'Players&gt;List'!$B26)</f>
        <v>[SCO]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/>
      <c r="B346" s="25" t="s">
        <v>108</v>
      </c>
      <c r="E346" s="26" t="s">
        <v>132</v>
      </c>
      <c r="F346" s="18" t="str">
        <f>HYPERLINK("https://youtu.be/uI59GT_7Urs?t=244",'Players&gt;List'!$B26)</f>
        <v>[SCO]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/>
      <c r="B347" s="25" t="s">
        <v>157</v>
      </c>
      <c r="E347" s="26" t="s">
        <v>132</v>
      </c>
      <c r="F347" s="18" t="str">
        <f>HYPERLINK("https://youtu.be/uI59GT_7Urs?t=308",'Players&gt;List'!$B26)</f>
        <v>[SCO]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/>
      <c r="B348" s="24" t="s">
        <v>1267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4"/>
    </row>
    <row r="349">
      <c r="A349" s="1"/>
      <c r="B349" s="4" t="s">
        <v>1271</v>
      </c>
      <c r="D349" s="9"/>
      <c r="E349" s="17" t="s">
        <v>14</v>
      </c>
      <c r="F349" s="18" t="str">
        <f>HYPERLINK("https://youtu.be/KpilfBtNeFE?t=104",'Players&gt;List'!$B29)</f>
        <v>[SYS]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/>
      <c r="B350" s="25" t="s">
        <v>971</v>
      </c>
      <c r="E350" s="26" t="s">
        <v>234</v>
      </c>
      <c r="F350" s="18" t="str">
        <f>HYPERLINK("https://youtu.be/uI59GT_7Urs?t=425",'Players&gt;List'!$B26)</f>
        <v>[SCO]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/>
      <c r="B351" s="25" t="s">
        <v>387</v>
      </c>
      <c r="E351" s="26" t="s">
        <v>132</v>
      </c>
      <c r="F351" s="18" t="str">
        <f>HYPERLINK("https://youtu.be/uI59GT_7Urs?t=465",'Players&gt;List'!$B26)</f>
        <v>[SCO]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/>
      <c r="B352" s="25" t="s">
        <v>88</v>
      </c>
      <c r="E352" s="26" t="s">
        <v>147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/>
      <c r="B353" s="25" t="s">
        <v>422</v>
      </c>
      <c r="E353" s="26" t="s">
        <v>132</v>
      </c>
      <c r="F353" s="18" t="str">
        <f>HYPERLINK("https://youtu.be/uI59GT_7Urs?t=505",'Players&gt;List'!$B26)</f>
        <v>[SCO]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/>
      <c r="B354" s="25" t="s">
        <v>157</v>
      </c>
      <c r="E354" s="26" t="s">
        <v>132</v>
      </c>
      <c r="F354" s="18" t="str">
        <f>HYPERLINK("https://www.youtube.com/watch?v=2HycUILYqr4",'Players&gt;List'!$B26)</f>
        <v>[SCO]</v>
      </c>
      <c r="G354" s="18" t="str">
        <f>HYPERLINK("https://www.youtube.com/watch?v=Z3Bw4fKva9c",'Players&gt;List'!$B18)</f>
        <v>[HGB]</v>
      </c>
      <c r="H354" s="18" t="str">
        <f>HYPERLINK("https://www.youtube.com/watch?v=ZxNEOrLqzB8",'Players&gt;List'!$B16)</f>
        <v>[GEA]</v>
      </c>
      <c r="I354" s="1"/>
      <c r="J354" s="1"/>
      <c r="K354" s="1"/>
      <c r="L354" s="1"/>
      <c r="M354" s="1"/>
      <c r="N354" s="1"/>
      <c r="O354" s="1"/>
      <c r="P354" s="1"/>
    </row>
    <row r="355">
      <c r="A355" s="1"/>
      <c r="B355" s="24" t="s">
        <v>1288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4"/>
    </row>
    <row r="356">
      <c r="A356" s="1"/>
      <c r="B356" s="4" t="s">
        <v>1290</v>
      </c>
      <c r="D356" s="9"/>
      <c r="E356" s="17" t="s">
        <v>14</v>
      </c>
      <c r="F356" s="18" t="str">
        <f>HYPERLINK("https://youtu.be/KpilfBtNeFE?t=146",'Players&gt;List'!$B29)</f>
        <v>[SYS]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/>
      <c r="B357" s="25" t="s">
        <v>117</v>
      </c>
      <c r="E357" s="26" t="s">
        <v>110</v>
      </c>
      <c r="F357" s="18" t="str">
        <f>HYPERLINK("https://youtu.be/uI59GT_7Urs?t=563",'Players&gt;List'!$B26)</f>
        <v>[SCO]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/>
      <c r="B358" s="24" t="s">
        <v>1295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4"/>
    </row>
    <row r="359">
      <c r="A359" s="1"/>
      <c r="B359" s="4" t="s">
        <v>1297</v>
      </c>
      <c r="D359" s="9"/>
      <c r="E359" s="17" t="s">
        <v>14</v>
      </c>
      <c r="F359" s="18" t="str">
        <f>HYPERLINK("https://youtu.be/KpilfBtNeFE?t=174",'Players&gt;List'!$B29)</f>
        <v>[SYS]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/>
      <c r="B360" s="25" t="s">
        <v>117</v>
      </c>
      <c r="E360" s="26" t="s">
        <v>110</v>
      </c>
      <c r="F360" s="18" t="str">
        <f>HYPERLINK("https://youtu.be/uI59GT_7Urs?t=592",'Players&gt;List'!$B26)</f>
        <v>[SCO]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/>
      <c r="B361" s="24" t="s">
        <v>1303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4"/>
    </row>
    <row r="362">
      <c r="A362" s="1"/>
      <c r="B362" s="4" t="s">
        <v>1306</v>
      </c>
      <c r="D362" s="9"/>
      <c r="E362" s="17" t="s">
        <v>14</v>
      </c>
      <c r="F362" s="18" t="str">
        <f>HYPERLINK("https://www.youtube.com/watch?v=5BV4tf0tnBI",'Players&gt;List'!$B28)</f>
        <v>[SUN]</v>
      </c>
      <c r="G362" s="18" t="str">
        <f>HYPERLINK("https://youtu.be/AfZvk-OVdAg",'Players&gt;List'!$B29)</f>
        <v>[SYS]</v>
      </c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/>
      <c r="B363" s="25" t="s">
        <v>157</v>
      </c>
      <c r="E363" s="26" t="s">
        <v>110</v>
      </c>
      <c r="F363" s="18" t="str">
        <f>HYPERLINK("https://youtu.be/40LuFz_lkdc?t=4",'Players&gt;List'!$B26)</f>
        <v>[SCO]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/>
      <c r="B364" s="25" t="s">
        <v>149</v>
      </c>
      <c r="E364" s="26" t="s">
        <v>147</v>
      </c>
      <c r="F364" s="18" t="str">
        <f>HYPERLINK("https://youtu.be/40LuFz_lkdc?t=49",'Players&gt;List'!$B26)</f>
        <v>[SCO]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/>
      <c r="B365" s="25" t="s">
        <v>197</v>
      </c>
      <c r="E365" s="26" t="s">
        <v>147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/>
      <c r="B366" s="24" t="s">
        <v>1317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4"/>
    </row>
    <row r="367">
      <c r="A367" s="1"/>
      <c r="B367" s="4" t="s">
        <v>1320</v>
      </c>
      <c r="D367" s="9"/>
      <c r="E367" s="17" t="s">
        <v>14</v>
      </c>
      <c r="F367" s="18" t="str">
        <f>HYPERLINK("https://youtu.be/AfZvk-OVdAg?t=32",'Players&gt;List'!$B29)</f>
        <v>[SYS]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/>
      <c r="B368" s="25" t="s">
        <v>117</v>
      </c>
      <c r="E368" s="26" t="s">
        <v>110</v>
      </c>
      <c r="F368" s="18" t="str">
        <f>HYPERLINK("https://youtu.be/40LuFz_lkdc?t=62",'Players&gt;List'!$B26)</f>
        <v>[SCO]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/>
      <c r="B369" s="24" t="s">
        <v>1329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4"/>
    </row>
    <row r="370">
      <c r="A370" s="1"/>
      <c r="B370" s="4" t="s">
        <v>1332</v>
      </c>
      <c r="D370" s="9"/>
      <c r="E370" s="17" t="s">
        <v>14</v>
      </c>
      <c r="F370" s="18" t="str">
        <f>HYPERLINK("https://youtu.be/AfZvk-OVdAg?t=59",'Players&gt;List'!$B29)</f>
        <v>[SYS]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>
      <c r="A371" s="1"/>
      <c r="B371" s="25" t="s">
        <v>117</v>
      </c>
      <c r="E371" s="26" t="s">
        <v>110</v>
      </c>
      <c r="F371" s="18" t="str">
        <f>HYPERLINK("https://youtu.be/40LuFz_lkdc?t=94",'Players&gt;List'!$B26)</f>
        <v>[SCO]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>
      <c r="A372" s="1"/>
      <c r="B372" s="24" t="s">
        <v>1338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4"/>
    </row>
    <row r="373">
      <c r="A373" s="1"/>
      <c r="B373" s="4" t="s">
        <v>1342</v>
      </c>
      <c r="D373" s="9"/>
      <c r="E373" s="17" t="s">
        <v>14</v>
      </c>
      <c r="F373" s="18" t="str">
        <f>HYPERLINK("https://youtu.be/AfZvk-OVdAg?t=72",'Players&gt;List'!$B29)</f>
        <v>[SYS]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>
      <c r="A374" s="1"/>
      <c r="B374" s="25" t="s">
        <v>400</v>
      </c>
      <c r="E374" s="26" t="s">
        <v>234</v>
      </c>
      <c r="F374" s="18" t="str">
        <f>HYPERLINK("https://youtu.be/40LuFz_lkdc?t=124",'Players&gt;List'!$B26)</f>
        <v>[SCO]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>
      <c r="A375" s="1"/>
      <c r="B375" s="25" t="s">
        <v>655</v>
      </c>
      <c r="E375" s="26" t="s">
        <v>358</v>
      </c>
      <c r="F375" s="18" t="str">
        <f>HYPERLINK("https://youtu.be/40LuFz_lkdc?t=177",'Players&gt;List'!$B26)</f>
        <v>[SCO]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>
      <c r="A376" s="1"/>
      <c r="B376" s="24" t="s">
        <v>1353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4"/>
    </row>
    <row r="377">
      <c r="A377" s="1"/>
      <c r="B377" s="4" t="s">
        <v>1356</v>
      </c>
      <c r="D377" s="9"/>
      <c r="E377" s="17" t="s">
        <v>14</v>
      </c>
      <c r="F377" s="18" t="str">
        <f>HYPERLINK("https://youtu.be/AfZvk-OVdAg?t=98",'Players&gt;List'!$B29)</f>
        <v>[SYS]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>
      <c r="A378" s="1"/>
      <c r="B378" s="25" t="s">
        <v>117</v>
      </c>
      <c r="E378" s="26" t="s">
        <v>110</v>
      </c>
      <c r="F378" s="18" t="str">
        <f>HYPERLINK("https://youtu.be/40LuFz_lkdc?t=205",'Players&gt;List'!$B26)</f>
        <v>[SCO]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>
      <c r="A379" s="1"/>
      <c r="B379" s="24" t="s">
        <v>1361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4"/>
    </row>
    <row r="380">
      <c r="A380" s="1"/>
      <c r="B380" s="4" t="s">
        <v>1364</v>
      </c>
      <c r="D380" s="9"/>
      <c r="E380" s="17" t="s">
        <v>14</v>
      </c>
      <c r="F380" s="18" t="str">
        <f>HYPERLINK("https://youtu.be/l7Jwaob4y_E",'Players&gt;List'!$B29)</f>
        <v>[SYS]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>
      <c r="A381" s="1"/>
      <c r="B381" s="25" t="s">
        <v>117</v>
      </c>
      <c r="E381" s="26" t="s">
        <v>110</v>
      </c>
      <c r="F381" s="18" t="str">
        <f>HYPERLINK("https://youtu.be/IwH2xxPfsH4?t=5",'Players&gt;List'!$B26)</f>
        <v>[SCO]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>
      <c r="A382" s="1"/>
      <c r="B382" s="25" t="s">
        <v>149</v>
      </c>
      <c r="E382" s="26" t="s">
        <v>147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>
      <c r="A383" s="1"/>
      <c r="B383" s="25" t="s">
        <v>88</v>
      </c>
      <c r="E383" s="26" t="s">
        <v>147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>
      <c r="A384" s="1"/>
      <c r="B384" s="24" t="s">
        <v>1372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4"/>
    </row>
    <row r="385">
      <c r="A385" s="1"/>
      <c r="B385" s="4" t="s">
        <v>1375</v>
      </c>
      <c r="D385" s="9"/>
      <c r="E385" s="17" t="s">
        <v>14</v>
      </c>
      <c r="F385" s="18" t="str">
        <f>HYPERLINK("https://youtu.be/l7Jwaob4y_E?t=9",'Players&gt;List'!$B29)</f>
        <v>[SYS]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>
      <c r="A386" s="1"/>
      <c r="B386" s="25" t="s">
        <v>400</v>
      </c>
      <c r="E386" s="26" t="s">
        <v>234</v>
      </c>
      <c r="F386" s="18" t="str">
        <f>HYPERLINK("https://youtu.be/IwH2xxPfsH4?t=29",'Players&gt;List'!$B26)</f>
        <v>[SCO]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>
      <c r="A387" s="1"/>
      <c r="B387" s="25" t="s">
        <v>149</v>
      </c>
      <c r="E387" s="26" t="s">
        <v>147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>
      <c r="A388" s="1"/>
      <c r="B388" s="25" t="s">
        <v>1385</v>
      </c>
      <c r="E388" s="26" t="s">
        <v>132</v>
      </c>
      <c r="F388" s="18" t="str">
        <f>HYPERLINK("https://youtu.be/IwH2xxPfsH4?t=55",'Players&gt;List'!$B26)</f>
        <v>[SCO]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>
      <c r="A389" s="1"/>
      <c r="B389" s="25" t="s">
        <v>971</v>
      </c>
      <c r="E389" s="26" t="s">
        <v>358</v>
      </c>
      <c r="F389" s="18" t="str">
        <f>HYPERLINK("https://youtu.be/IwH2xxPfsH4?t=76",'Players&gt;List'!$B26)</f>
        <v>[SCO]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>
      <c r="A390" s="1"/>
      <c r="B390" s="24" t="s">
        <v>1391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4"/>
    </row>
    <row r="391">
      <c r="A391" s="1"/>
      <c r="B391" s="4" t="s">
        <v>1395</v>
      </c>
      <c r="D391" s="9"/>
      <c r="E391" s="17" t="s">
        <v>14</v>
      </c>
      <c r="F391" s="18" t="str">
        <f>HYPERLINK("https://youtu.be/l7Jwaob4y_E?t=25",'Players&gt;List'!$B29)</f>
        <v>[SYS]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>
      <c r="A392" s="1"/>
      <c r="B392" s="25" t="s">
        <v>117</v>
      </c>
      <c r="E392" s="26" t="s">
        <v>110</v>
      </c>
      <c r="F392" s="18" t="str">
        <f>HYPERLINK("https://youtu.be/IwH2xxPfsH4?t=99",'Players&gt;List'!$B26)</f>
        <v>[SCO]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>
      <c r="A393" s="1"/>
      <c r="B393" s="25" t="s">
        <v>157</v>
      </c>
      <c r="E393" s="26" t="s">
        <v>132</v>
      </c>
      <c r="F393" s="18" t="str">
        <f>HYPERLINK("https://youtu.be/IwH2xxPfsH4?t=143",'Players&gt;List'!$B26)</f>
        <v>[SCO]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>
      <c r="A394" s="1"/>
      <c r="B394" s="24" t="s">
        <v>1403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4"/>
    </row>
    <row r="395">
      <c r="A395" s="1"/>
      <c r="B395" s="4" t="s">
        <v>1406</v>
      </c>
      <c r="D395" s="9"/>
      <c r="E395" s="17" t="s">
        <v>14</v>
      </c>
      <c r="F395" s="18" t="str">
        <f>HYPERLINK("https://www.youtube.com/watch?v=pjUgOhXSHjk",'Players&gt;List'!$B28)</f>
        <v>[SUN]</v>
      </c>
      <c r="G395" s="18" t="str">
        <f>HYPERLINK("https://youtu.be/l7Jwaob4y_E?t=66",'Players&gt;List'!$B29)</f>
        <v>[SYS]</v>
      </c>
      <c r="H395" s="1"/>
      <c r="I395" s="1"/>
      <c r="J395" s="1"/>
      <c r="K395" s="1"/>
      <c r="L395" s="1"/>
      <c r="M395" s="1"/>
      <c r="N395" s="1"/>
      <c r="O395" s="1"/>
      <c r="P395" s="1"/>
    </row>
    <row r="396">
      <c r="A396" s="1"/>
      <c r="B396" s="25" t="s">
        <v>1412</v>
      </c>
      <c r="E396" s="26" t="s">
        <v>234</v>
      </c>
      <c r="F396" s="18" t="str">
        <f>HYPERLINK("https://youtu.be/IwH2xxPfsH4?t=216",'Players&gt;List'!$B26)</f>
        <v>[SCO]</v>
      </c>
      <c r="G396" s="18" t="str">
        <f>HYPERLINK("https://www.youtube.com/watch?v=i0X4Ezfo5R0",'Players&gt;List'!$B28)</f>
        <v>[SUN]</v>
      </c>
      <c r="H396" s="1"/>
      <c r="I396" s="1"/>
      <c r="J396" s="1"/>
      <c r="K396" s="1"/>
      <c r="L396" s="1"/>
      <c r="M396" s="1"/>
      <c r="N396" s="1"/>
      <c r="O396" s="1"/>
      <c r="P396" s="1"/>
    </row>
    <row r="397">
      <c r="A397" s="1"/>
      <c r="B397" s="25" t="s">
        <v>1417</v>
      </c>
      <c r="E397" s="26" t="s">
        <v>1418</v>
      </c>
      <c r="F397" s="18" t="str">
        <f>HYPERLINK("https://youtu.be/IwH2xxPfsH4?t=252",'Players&gt;List'!$B26)</f>
        <v>[SCO]</v>
      </c>
      <c r="G397" s="18" t="str">
        <f>HYPERLINK("https://www.youtube.com/watch?v=0QARo3py0oE",'Players&gt;List'!$B28)</f>
        <v>[SUN]</v>
      </c>
      <c r="H397" s="1"/>
      <c r="I397" s="1"/>
      <c r="J397" s="1"/>
      <c r="K397" s="1"/>
      <c r="L397" s="1"/>
      <c r="M397" s="1"/>
      <c r="N397" s="1"/>
      <c r="O397" s="1"/>
      <c r="P397" s="1"/>
    </row>
    <row r="398">
      <c r="A398" s="1"/>
      <c r="B398" s="24" t="s">
        <v>1422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4"/>
    </row>
    <row r="399">
      <c r="A399" s="1"/>
      <c r="B399" s="4" t="s">
        <v>1425</v>
      </c>
      <c r="D399" s="9"/>
      <c r="E399" s="17" t="s">
        <v>14</v>
      </c>
      <c r="F399" s="18" t="str">
        <f>HYPERLINK("https://youtu.be/l7Jwaob4y_E?t=121",'Players&gt;List'!$B29)</f>
        <v>[SYS]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>
      <c r="A400" s="1"/>
      <c r="B400" s="25" t="s">
        <v>973</v>
      </c>
      <c r="E400" s="26" t="s">
        <v>234</v>
      </c>
      <c r="F400" s="18" t="str">
        <f>HYPERLINK("https://youtu.be/IwH2xxPfsH4?t=300",'Players&gt;List'!$B26)</f>
        <v>[SCO]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>
      <c r="A401" s="1"/>
      <c r="B401" s="25" t="s">
        <v>971</v>
      </c>
      <c r="E401" s="26" t="s">
        <v>358</v>
      </c>
      <c r="F401" s="18" t="str">
        <f>HYPERLINK("https://youtu.be/IwH2xxPfsH4?t=355",'Players&gt;List'!$B26)</f>
        <v>[SCO]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>
      <c r="A402" s="1"/>
      <c r="B402" s="24" t="s">
        <v>1433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4"/>
    </row>
    <row r="403">
      <c r="A403" s="1"/>
      <c r="B403" s="4" t="s">
        <v>1437</v>
      </c>
      <c r="D403" s="9"/>
      <c r="E403" s="17" t="s">
        <v>14</v>
      </c>
      <c r="F403" s="18" t="str">
        <f>HYPERLINK("https://youtu.be/9ar_uQHlw3s",'Players&gt;List'!$B29)</f>
        <v>[SYS]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>
      <c r="A404" s="1"/>
      <c r="B404" s="25" t="s">
        <v>117</v>
      </c>
      <c r="E404" s="26" t="s">
        <v>110</v>
      </c>
      <c r="F404" s="18" t="str">
        <f>HYPERLINK("https://youtu.be/Ldf7iB0_eGA?t=5",'Players&gt;List'!$B26)</f>
        <v>[SCO]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>
      <c r="A405" s="1"/>
      <c r="B405" s="25" t="s">
        <v>88</v>
      </c>
      <c r="E405" s="26" t="s">
        <v>147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>
      <c r="A406" s="1"/>
      <c r="B406" s="24" t="s">
        <v>1444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4"/>
    </row>
    <row r="407">
      <c r="A407" s="1"/>
      <c r="B407" s="4" t="s">
        <v>1447</v>
      </c>
      <c r="D407" s="9"/>
      <c r="E407" s="17" t="s">
        <v>14</v>
      </c>
      <c r="F407" s="18" t="str">
        <f>HYPERLINK("https://youtu.be/9ar_uQHlw3s?t=24",'Players&gt;List'!$B29)</f>
        <v>[SYS]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>
      <c r="A408" s="1"/>
      <c r="B408" s="25" t="s">
        <v>117</v>
      </c>
      <c r="E408" s="26" t="s">
        <v>110</v>
      </c>
      <c r="F408" s="18" t="str">
        <f>HYPERLINK("https://youtu.be/Ldf7iB0_eGA?t=74",'Players&gt;List'!$B26)</f>
        <v>[SCO]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>
      <c r="A409" s="1"/>
      <c r="B409" s="24" t="s">
        <v>1457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4"/>
    </row>
    <row r="410">
      <c r="A410" s="1"/>
      <c r="B410" s="4" t="s">
        <v>1460</v>
      </c>
      <c r="D410" s="9"/>
      <c r="E410" s="17" t="s">
        <v>14</v>
      </c>
      <c r="F410" s="18" t="str">
        <f>HYPERLINK("https://youtu.be/9ar_uQHlw3s?t=81",'Players&gt;List'!$B29)</f>
        <v>[SYS]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>
      <c r="A411" s="1"/>
      <c r="B411" s="25" t="s">
        <v>117</v>
      </c>
      <c r="E411" s="26" t="s">
        <v>110</v>
      </c>
      <c r="F411" s="18" t="str">
        <f>HYPERLINK("https://youtu.be/Ldf7iB0_eGA?t=170",'Players&gt;List'!$B26)</f>
        <v>[SCO]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>
      <c r="A412" s="1"/>
      <c r="B412" s="24" t="s">
        <v>1469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4"/>
    </row>
    <row r="413">
      <c r="A413" s="1"/>
      <c r="B413" s="4" t="s">
        <v>1471</v>
      </c>
      <c r="D413" s="9"/>
      <c r="E413" s="17" t="s">
        <v>14</v>
      </c>
      <c r="F413" s="18" t="str">
        <f>HYPERLINK("https://youtu.be/9ar_uQHlw3s?t=101",'Players&gt;List'!$B29)</f>
        <v>[SYS]</v>
      </c>
      <c r="G413" s="1"/>
      <c r="H413" s="1"/>
      <c r="I413" s="1"/>
      <c r="J413" s="1"/>
      <c r="K413" s="1"/>
      <c r="L413" s="1"/>
      <c r="M413" s="1"/>
      <c r="N413" s="4"/>
      <c r="O413" s="4"/>
      <c r="P413" s="4"/>
    </row>
    <row r="414">
      <c r="A414" s="1"/>
      <c r="B414" s="25" t="s">
        <v>117</v>
      </c>
      <c r="E414" s="26" t="s">
        <v>110</v>
      </c>
      <c r="F414" s="18" t="str">
        <f>HYPERLINK("https://youtu.be/Ldf7iB0_eGA?t=205",'Players&gt;List'!$B26)</f>
        <v>[SCO]</v>
      </c>
      <c r="G414" s="1"/>
      <c r="H414" s="1"/>
      <c r="I414" s="1"/>
      <c r="J414" s="1"/>
      <c r="K414" s="1"/>
      <c r="L414" s="1"/>
      <c r="M414" s="1"/>
      <c r="N414" s="4"/>
      <c r="O414" s="4"/>
      <c r="P414" s="4"/>
    </row>
    <row r="415">
      <c r="A415" s="1"/>
      <c r="B415" s="25" t="s">
        <v>157</v>
      </c>
      <c r="E415" s="26" t="s">
        <v>132</v>
      </c>
      <c r="F415" s="18" t="str">
        <f>HYPERLINK("https://youtu.be/Ldf7iB0_eGA?t=224",'Players&gt;List'!$B26)</f>
        <v>[SCO]</v>
      </c>
      <c r="G415" s="1"/>
      <c r="H415" s="1"/>
      <c r="I415" s="1"/>
      <c r="J415" s="1"/>
      <c r="K415" s="1"/>
      <c r="L415" s="1"/>
      <c r="M415" s="1"/>
      <c r="N415" s="4"/>
      <c r="O415" s="4"/>
      <c r="P415" s="4"/>
    </row>
    <row r="416">
      <c r="A416" s="1"/>
      <c r="B416" s="24" t="s">
        <v>1481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4"/>
    </row>
    <row r="417">
      <c r="A417" s="1"/>
      <c r="B417" s="4" t="s">
        <v>1485</v>
      </c>
      <c r="D417" s="9"/>
      <c r="E417" s="17" t="s">
        <v>14</v>
      </c>
      <c r="F417" s="18" t="str">
        <f>HYPERLINK("https://youtu.be/9ar_uQHlw3s?t=134",'Players&gt;List'!$B29)</f>
        <v>[SYS]</v>
      </c>
      <c r="G417" s="1"/>
      <c r="H417" s="1"/>
      <c r="I417" s="1"/>
      <c r="J417" s="1"/>
      <c r="K417" s="1"/>
      <c r="L417" s="1"/>
      <c r="M417" s="1"/>
      <c r="N417" s="4"/>
      <c r="O417" s="4"/>
      <c r="P417" s="4"/>
    </row>
    <row r="418">
      <c r="A418" s="1"/>
      <c r="B418" s="25" t="s">
        <v>502</v>
      </c>
      <c r="E418" s="26" t="s">
        <v>234</v>
      </c>
      <c r="F418" s="18" t="str">
        <f>HYPERLINK("https://youtu.be/Ldf7iB0_eGA?t=244",'Players&gt;List'!$B26)</f>
        <v>[SCO]</v>
      </c>
      <c r="G418" s="1"/>
      <c r="H418" s="1"/>
      <c r="I418" s="1"/>
      <c r="J418" s="1"/>
      <c r="K418" s="1"/>
      <c r="L418" s="1"/>
      <c r="M418" s="1"/>
      <c r="N418" s="4"/>
      <c r="O418" s="4"/>
      <c r="P418" s="4"/>
    </row>
    <row r="419">
      <c r="A419" s="1"/>
      <c r="B419" s="25" t="s">
        <v>88</v>
      </c>
      <c r="E419" s="26" t="s">
        <v>147</v>
      </c>
      <c r="F419" s="1"/>
      <c r="G419" s="1"/>
      <c r="H419" s="1"/>
      <c r="I419" s="1"/>
      <c r="J419" s="1"/>
      <c r="K419" s="1"/>
      <c r="L419" s="1"/>
      <c r="M419" s="1"/>
      <c r="N419" s="4"/>
      <c r="O419" s="4"/>
      <c r="P419" s="4"/>
    </row>
    <row r="420">
      <c r="A420" s="1"/>
      <c r="B420" s="24" t="s">
        <v>1492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4"/>
    </row>
    <row r="421">
      <c r="A421" s="1"/>
      <c r="B421" s="4" t="s">
        <v>1495</v>
      </c>
      <c r="D421" s="9"/>
      <c r="E421" s="17" t="s">
        <v>14</v>
      </c>
      <c r="F421" s="18" t="str">
        <f>HYPERLINK("https://youtu.be/ZASV1VqbvEU",'Players&gt;List'!$B29)</f>
        <v>[SYS]</v>
      </c>
      <c r="G421" s="1"/>
      <c r="H421" s="1"/>
      <c r="I421" s="1"/>
      <c r="J421" s="1"/>
      <c r="K421" s="1"/>
      <c r="L421" s="1"/>
      <c r="M421" s="1"/>
      <c r="N421" s="4"/>
      <c r="O421" s="4"/>
      <c r="P421" s="4"/>
    </row>
    <row r="422">
      <c r="A422" s="1"/>
      <c r="B422" s="25" t="s">
        <v>117</v>
      </c>
      <c r="E422" s="26" t="s">
        <v>110</v>
      </c>
      <c r="F422" s="18" t="str">
        <f>HYPERLINK("https://youtu.be/DqLIBLApLCg?t=5",'Players&gt;List'!$B26)</f>
        <v>[SCO]</v>
      </c>
      <c r="G422" s="18" t="str">
        <f>HYPERLINK("https://www.youtube.com/watch?v=aqCXjptdXwA",'Players&gt;List'!$B28)</f>
        <v>[SUN]</v>
      </c>
      <c r="H422" s="18" t="str">
        <f>HYPERLINK("https://youtu.be/wSD91T7VGuU?t=4",'Players&gt;List'!$B29)</f>
        <v>[SYS]</v>
      </c>
      <c r="I422" s="1"/>
      <c r="J422" s="1"/>
      <c r="K422" s="1"/>
      <c r="L422" s="1"/>
      <c r="M422" s="1"/>
      <c r="N422" s="4"/>
      <c r="O422" s="4"/>
      <c r="P422" s="4"/>
    </row>
    <row r="423">
      <c r="A423" s="1"/>
      <c r="B423" s="25" t="s">
        <v>149</v>
      </c>
      <c r="E423" s="26" t="s">
        <v>147</v>
      </c>
      <c r="F423" s="1"/>
      <c r="G423" s="1"/>
      <c r="H423" s="1"/>
      <c r="I423" s="1"/>
      <c r="J423" s="1"/>
      <c r="K423" s="1"/>
      <c r="L423" s="1"/>
      <c r="M423" s="1"/>
      <c r="N423" s="4"/>
      <c r="O423" s="4"/>
      <c r="P423" s="4"/>
    </row>
    <row r="424">
      <c r="A424" s="1"/>
      <c r="B424" s="24" t="s">
        <v>1506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4"/>
    </row>
    <row r="425">
      <c r="A425" s="1"/>
      <c r="B425" s="4" t="s">
        <v>1510</v>
      </c>
      <c r="D425" s="9"/>
      <c r="E425" s="17" t="s">
        <v>14</v>
      </c>
      <c r="F425" s="18" t="str">
        <f>HYPERLINK("https://youtu.be/ZASV1VqbvEU?t=9",'Players&gt;List'!$B29)</f>
        <v>[SYS]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>
      <c r="A426" s="1"/>
      <c r="B426" s="25" t="s">
        <v>88</v>
      </c>
      <c r="E426" s="26" t="s">
        <v>90</v>
      </c>
      <c r="F426" s="18" t="str">
        <f>HYPERLINK("https://youtu.be/DqLIBLApLCg?t=34",'Players&gt;List'!$B26)</f>
        <v>[SCO]</v>
      </c>
      <c r="G426" s="18" t="str">
        <f>HYPERLINK("https://www.youtube.com/watch?v=yJvzVnCzaXQ",'Players&gt;List'!$B28)</f>
        <v>[SUN]</v>
      </c>
      <c r="H426" s="18" t="str">
        <f>HYPERLINK("https://youtu.be/wSD91T7VGuU?t=33",'Players&gt;List'!$B29)</f>
        <v>[SYS]</v>
      </c>
      <c r="I426" s="1"/>
      <c r="J426" s="1"/>
      <c r="K426" s="1"/>
      <c r="L426" s="1"/>
      <c r="M426" s="1"/>
      <c r="N426" s="1"/>
      <c r="O426" s="1"/>
      <c r="P426" s="1"/>
    </row>
    <row r="427">
      <c r="A427" s="1"/>
      <c r="B427" s="24" t="s">
        <v>1520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4"/>
    </row>
    <row r="428">
      <c r="A428" s="1"/>
      <c r="B428" s="4" t="s">
        <v>1524</v>
      </c>
      <c r="D428" s="9"/>
      <c r="E428" s="17" t="s">
        <v>14</v>
      </c>
      <c r="F428" s="18" t="str">
        <f>HYPERLINK("https://youtu.be/ZASV1VqbvEU?t=23",'Players&gt;List'!$B29)</f>
        <v>[SYS]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>
      <c r="A429" s="1"/>
      <c r="B429" s="25" t="s">
        <v>88</v>
      </c>
      <c r="E429" s="26" t="s">
        <v>90</v>
      </c>
      <c r="F429" s="18" t="str">
        <f>HYPERLINK("https://youtu.be/DqLIBLApLCg?t=56",'Players&gt;List'!$B26)</f>
        <v>[SCO]</v>
      </c>
      <c r="G429" s="18" t="str">
        <f>HYPERLINK("https://www.youtube.com/watch?v=82pSYPlMtSI",'Players&gt;List'!$B28)</f>
        <v>[SUN]</v>
      </c>
      <c r="H429" s="18" t="str">
        <f>HYPERLINK("https://youtu.be/wSD91T7VGuU?t=51",'Players&gt;List'!$B29)</f>
        <v>[SYS]</v>
      </c>
      <c r="I429" s="1"/>
      <c r="J429" s="1"/>
      <c r="K429" s="1"/>
      <c r="L429" s="1"/>
      <c r="M429" s="1"/>
      <c r="N429" s="1"/>
      <c r="O429" s="1"/>
      <c r="P429" s="1"/>
    </row>
    <row r="430">
      <c r="A430" s="1"/>
      <c r="B430" s="24" t="s">
        <v>1534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4"/>
    </row>
    <row r="431">
      <c r="A431" s="1"/>
      <c r="B431" s="4" t="s">
        <v>1536</v>
      </c>
      <c r="D431" s="9"/>
      <c r="E431" s="17" t="s">
        <v>14</v>
      </c>
      <c r="F431" s="18" t="str">
        <f>HYPERLINK("https://youtu.be/ZASV1VqbvEU?t=51",'Players&gt;List'!$B29)</f>
        <v>[SYS]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>
      <c r="A432" s="1"/>
      <c r="B432" s="25" t="s">
        <v>117</v>
      </c>
      <c r="E432" s="26" t="s">
        <v>110</v>
      </c>
      <c r="F432" s="18" t="str">
        <f>HYPERLINK("https://youtu.be/DqLIBLApLCg?t=77",'Players&gt;List'!$B26)</f>
        <v>[SCO]</v>
      </c>
      <c r="G432" s="18" t="str">
        <f>HYPERLINK("https://youtu.be/wSD91T7VGuU?t=67",'Players&gt;List'!$B29)</f>
        <v>[SYS]</v>
      </c>
      <c r="H432" s="1"/>
      <c r="I432" s="1"/>
      <c r="J432" s="1"/>
      <c r="K432" s="1"/>
      <c r="L432" s="1"/>
      <c r="M432" s="1"/>
      <c r="N432" s="1"/>
      <c r="O432" s="1"/>
      <c r="P432" s="1"/>
    </row>
    <row r="433">
      <c r="A433" s="1"/>
      <c r="B433" s="25" t="s">
        <v>88</v>
      </c>
      <c r="E433" s="26" t="s">
        <v>147</v>
      </c>
      <c r="F433" s="18" t="str">
        <f>HYPERLINK("https://www.youtube.com/watch?v=7jMSJ9AqPt0",'Players&gt;List'!$B28)</f>
        <v>[SUN]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>
      <c r="A434" s="1"/>
      <c r="B434" s="24" t="s">
        <v>1544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4"/>
    </row>
    <row r="435">
      <c r="A435" s="1"/>
      <c r="B435" s="4" t="s">
        <v>1548</v>
      </c>
      <c r="D435" s="9"/>
      <c r="E435" s="17" t="s">
        <v>14</v>
      </c>
      <c r="F435" s="18" t="str">
        <f>HYPERLINK("https://youtu.be/ZASV1VqbvEU?t=104",'Players&gt;List'!$B29)</f>
        <v>[SYS]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>
      <c r="A436" s="1"/>
      <c r="B436" s="25" t="s">
        <v>117</v>
      </c>
      <c r="E436" s="26" t="s">
        <v>110</v>
      </c>
      <c r="F436" s="18" t="str">
        <f>HYPERLINK("https://youtu.be/DqLIBLApLCg?t=117",'Players&gt;List'!$B26)</f>
        <v>[SCO]</v>
      </c>
      <c r="G436" s="18" t="str">
        <f>HYPERLINK("https://www.youtube.com/watch?v=8yzXPoTFV0c",'Players&gt;List'!$B28)</f>
        <v>[SUN]</v>
      </c>
      <c r="H436" s="18" t="str">
        <f>HYPERLINK("https://youtu.be/wSD91T7VGuU?t=107",'Players&gt;List'!$B29)</f>
        <v>[SYS]</v>
      </c>
      <c r="I436" s="1"/>
      <c r="J436" s="1"/>
      <c r="K436" s="1"/>
      <c r="L436" s="1"/>
      <c r="M436" s="1"/>
      <c r="N436" s="1"/>
      <c r="O436" s="1"/>
      <c r="P436" s="1"/>
    </row>
    <row r="437">
      <c r="A437" s="1"/>
      <c r="B437" s="25" t="s">
        <v>149</v>
      </c>
      <c r="E437" s="26" t="s">
        <v>147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>
      <c r="A438" s="1"/>
      <c r="B438" s="24" t="s">
        <v>1558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4"/>
    </row>
    <row r="439">
      <c r="A439" s="1"/>
      <c r="B439" s="4" t="s">
        <v>1560</v>
      </c>
      <c r="D439" s="9"/>
      <c r="E439" s="17" t="s">
        <v>14</v>
      </c>
      <c r="F439" s="18" t="str">
        <f>HYPERLINK("https://youtu.be/cXtfSd46-F4",'Players&gt;List'!$B29)</f>
        <v>[SYS]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>
      <c r="A440" s="1"/>
      <c r="B440" s="25" t="s">
        <v>88</v>
      </c>
      <c r="E440" s="26" t="s">
        <v>90</v>
      </c>
      <c r="F440" s="18" t="str">
        <f>HYPERLINK("https://youtu.be/MLc4XffyT5E?t=5",'Players&gt;List'!$B26)</f>
        <v>[SCO]</v>
      </c>
      <c r="G440" s="18" t="str">
        <f>HYPERLINK("https://youtu.be/NaCcFjxcr-g",'Players&gt;List'!$B29)</f>
        <v>[SYS]</v>
      </c>
      <c r="H440" s="1"/>
      <c r="I440" s="1"/>
      <c r="J440" s="1"/>
      <c r="K440" s="1"/>
      <c r="L440" s="1"/>
      <c r="M440" s="1"/>
      <c r="N440" s="1"/>
      <c r="O440" s="1"/>
      <c r="P440" s="1"/>
    </row>
    <row r="441">
      <c r="A441" s="1"/>
      <c r="B441" s="24" t="s">
        <v>1569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4"/>
    </row>
    <row r="442">
      <c r="A442" s="1"/>
      <c r="B442" s="4" t="s">
        <v>1572</v>
      </c>
      <c r="D442" s="9"/>
      <c r="E442" s="17" t="s">
        <v>14</v>
      </c>
      <c r="F442" s="18" t="str">
        <f>HYPERLINK("https://youtu.be/cXtfSd46-F4?t=17",'Players&gt;List'!$B29)</f>
        <v>[SYS]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>
      <c r="A443" s="1"/>
      <c r="B443" s="25" t="s">
        <v>131</v>
      </c>
      <c r="E443" s="26" t="s">
        <v>110</v>
      </c>
      <c r="F443" s="18" t="str">
        <f>HYPERLINK("https://youtu.be/MLc4XffyT5E?t=27",'Players&gt;List'!$B26)</f>
        <v>[SCO]</v>
      </c>
      <c r="G443" s="18" t="str">
        <f>HYPERLINK("https://youtu.be/NaCcFjxcr-g?t=20",'Players&gt;List'!$B29)</f>
        <v>[SYS]</v>
      </c>
      <c r="H443" s="1"/>
      <c r="I443" s="1"/>
      <c r="J443" s="1"/>
      <c r="K443" s="1"/>
      <c r="L443" s="1"/>
      <c r="M443" s="1"/>
      <c r="N443" s="1"/>
      <c r="O443" s="1"/>
      <c r="P443" s="1"/>
    </row>
    <row r="444">
      <c r="A444" s="1"/>
      <c r="B444" s="24" t="s">
        <v>1581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4"/>
    </row>
    <row r="445">
      <c r="A445" s="1"/>
      <c r="B445" s="4" t="s">
        <v>1585</v>
      </c>
      <c r="D445" s="9"/>
      <c r="E445" s="17" t="s">
        <v>14</v>
      </c>
      <c r="F445" s="18" t="str">
        <f>HYPERLINK("https://youtu.be/cXtfSd46-F4?t=39",'Players&gt;List'!$B29)</f>
        <v>[SYS]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>
      <c r="A446" s="1"/>
      <c r="B446" s="25" t="s">
        <v>157</v>
      </c>
      <c r="E446" s="26" t="s">
        <v>110</v>
      </c>
      <c r="F446" s="18" t="str">
        <f>HYPERLINK("https://youtu.be/MLc4XffyT5E?t=96",'Players&gt;List'!$B26)</f>
        <v>[SCO]</v>
      </c>
      <c r="G446" s="18" t="str">
        <f>HYPERLINK("https://youtu.be/NaCcFjxcr-g?t=84",'Players&gt;List'!$B29)</f>
        <v>[SYS]</v>
      </c>
      <c r="H446" s="1"/>
      <c r="I446" s="1"/>
      <c r="J446" s="1"/>
      <c r="K446" s="1"/>
      <c r="L446" s="1"/>
      <c r="M446" s="1"/>
      <c r="N446" s="1"/>
      <c r="O446" s="1"/>
      <c r="P446" s="1"/>
    </row>
    <row r="447">
      <c r="A447" s="1"/>
      <c r="B447" s="24" t="s">
        <v>1594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4"/>
    </row>
    <row r="448">
      <c r="A448" s="1"/>
      <c r="B448" s="4" t="s">
        <v>1597</v>
      </c>
      <c r="D448" s="9"/>
      <c r="E448" s="17" t="s">
        <v>14</v>
      </c>
      <c r="F448" s="18" t="str">
        <f>HYPERLINK("https://youtu.be/cXtfSd46-F4?t=79",'Players&gt;List'!$B29)</f>
        <v>[SYS]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>
      <c r="A449" s="1"/>
      <c r="B449" s="25" t="s">
        <v>131</v>
      </c>
      <c r="E449" s="26" t="s">
        <v>110</v>
      </c>
      <c r="F449" s="18" t="str">
        <f>HYPERLINK("https://youtu.be/MLc4XffyT5E?t=150",'Players&gt;List'!$B26)</f>
        <v>[SCO]</v>
      </c>
      <c r="G449" s="18" t="str">
        <f>HYPERLINK("https://youtu.be/NaCcFjxcr-g?t=109",'Players&gt;List'!$B29)</f>
        <v>[SYS]</v>
      </c>
      <c r="H449" s="1"/>
      <c r="I449" s="1"/>
      <c r="J449" s="1"/>
      <c r="K449" s="1"/>
      <c r="L449" s="1"/>
      <c r="M449" s="1"/>
      <c r="N449" s="1"/>
      <c r="O449" s="1"/>
      <c r="P449" s="1"/>
    </row>
    <row r="450">
      <c r="A450" s="1"/>
      <c r="B450" s="25" t="s">
        <v>108</v>
      </c>
      <c r="E450" s="26" t="s">
        <v>132</v>
      </c>
      <c r="F450" s="18" t="str">
        <f>HYPERLINK("https://youtu.be/MLc4XffyT5E?t=242",'Players&gt;List'!$B26)</f>
        <v>[SCO]</v>
      </c>
      <c r="G450" s="18" t="str">
        <f>HYPERLINK("https://youtu.be/NaCcFjxcr-g?t=196",'Players&gt;List'!$B29)</f>
        <v>[SYS]</v>
      </c>
      <c r="H450" s="1"/>
      <c r="I450" s="1"/>
      <c r="J450" s="1"/>
      <c r="K450" s="1"/>
      <c r="L450" s="1"/>
      <c r="M450" s="1"/>
      <c r="N450" s="1"/>
      <c r="O450" s="1"/>
      <c r="P450" s="1"/>
    </row>
    <row r="451">
      <c r="A451" s="1"/>
      <c r="B451" s="24" t="s">
        <v>1610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4"/>
    </row>
    <row r="452">
      <c r="A452" s="1"/>
      <c r="B452" s="4" t="s">
        <v>1617</v>
      </c>
      <c r="D452" s="9"/>
      <c r="E452" s="17" t="s">
        <v>14</v>
      </c>
      <c r="F452" s="18" t="str">
        <f>HYPERLINK("https://youtu.be/cXtfSd46-F4?t=123",'Players&gt;List'!$B29)</f>
        <v>[SYS]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>
      <c r="A453" s="1"/>
      <c r="B453" s="25" t="s">
        <v>117</v>
      </c>
      <c r="E453" s="26" t="s">
        <v>110</v>
      </c>
      <c r="F453" s="18" t="str">
        <f>HYPERLINK("https://youtu.be/MLc4XffyT5E?t=256",'Players&gt;List'!$B26)</f>
        <v>[SCO]</v>
      </c>
      <c r="G453" s="18" t="str">
        <f>HYPERLINK("https://www.youtube.com/watch?v=a-PfEeUsHOM",'Players&gt;List'!$B28)</f>
        <v>[SUN]</v>
      </c>
      <c r="H453" s="18" t="str">
        <f>HYPERLINK("https://youtu.be/NaCcFjxcr-g?t=205",'Players&gt;List'!$B29)</f>
        <v>[SYS]</v>
      </c>
      <c r="I453" s="1"/>
      <c r="J453" s="1"/>
      <c r="K453" s="1"/>
      <c r="L453" s="1"/>
      <c r="M453" s="1"/>
      <c r="N453" s="1"/>
      <c r="O453" s="1"/>
      <c r="P453" s="1"/>
    </row>
    <row r="454">
      <c r="A454" s="1"/>
      <c r="B454" s="25" t="s">
        <v>149</v>
      </c>
      <c r="E454" s="26" t="s">
        <v>147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>
      <c r="A455" s="1"/>
      <c r="B455" s="24" t="s">
        <v>1630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4"/>
    </row>
    <row r="456">
      <c r="A456" s="1"/>
      <c r="B456" s="4" t="s">
        <v>1632</v>
      </c>
      <c r="D456" s="9"/>
      <c r="E456" s="17" t="s">
        <v>14</v>
      </c>
      <c r="F456" s="18" t="str">
        <f>HYPERLINK("https://youtu.be/4ncRZtzff9s",'Players&gt;List'!$B29)</f>
        <v>[SYS]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>
      <c r="A457" s="1"/>
      <c r="B457" s="25" t="s">
        <v>117</v>
      </c>
      <c r="E457" s="26" t="s">
        <v>110</v>
      </c>
      <c r="F457" s="18" t="str">
        <f>HYPERLINK("https://youtu.be/zMvCOxMkEdQ?t=5",'Players&gt;List'!$B26)</f>
        <v>[SCO]</v>
      </c>
      <c r="G457" s="18" t="str">
        <f>HYPERLINK("https://youtu.be/fEVWpWkf9_A",'Players&gt;List'!$B29)</f>
        <v>[SYS]</v>
      </c>
      <c r="H457" s="1"/>
      <c r="I457" s="1"/>
      <c r="J457" s="1"/>
      <c r="K457" s="1"/>
      <c r="L457" s="1"/>
      <c r="M457" s="1"/>
      <c r="N457" s="1"/>
      <c r="O457" s="1"/>
      <c r="P457" s="1"/>
    </row>
    <row r="458">
      <c r="A458" s="1"/>
      <c r="B458" s="25" t="s">
        <v>157</v>
      </c>
      <c r="E458" s="26" t="s">
        <v>132</v>
      </c>
      <c r="F458" s="18" t="str">
        <f>HYPERLINK("https://youtu.be/zMvCOxMkEdQ?t=57",'Players&gt;List'!$B26)</f>
        <v>[SCO]</v>
      </c>
      <c r="G458" s="18" t="str">
        <f>HYPERLINK("https://youtu.be/fEVWpWkf9_A?t=46",'Players&gt;List'!$B29)</f>
        <v>[SYS]</v>
      </c>
      <c r="H458" s="1"/>
      <c r="I458" s="1"/>
      <c r="J458" s="1"/>
      <c r="K458" s="1"/>
      <c r="L458" s="1"/>
      <c r="M458" s="1"/>
      <c r="N458" s="1"/>
      <c r="O458" s="1"/>
      <c r="P458" s="1"/>
    </row>
    <row r="459">
      <c r="A459" s="1"/>
      <c r="B459" s="25" t="s">
        <v>131</v>
      </c>
      <c r="E459" s="26" t="s">
        <v>132</v>
      </c>
      <c r="F459" s="18" t="str">
        <f>HYPERLINK("https://youtu.be/zMvCOxMkEdQ?t=82",'Players&gt;List'!$B26)</f>
        <v>[SCO]</v>
      </c>
      <c r="G459" s="18" t="str">
        <f>HYPERLINK("https://youtu.be/fEVWpWkf9_A?t=67",'Players&gt;List'!$B29)</f>
        <v>[SYS]</v>
      </c>
      <c r="H459" s="1"/>
      <c r="I459" s="1"/>
      <c r="J459" s="1"/>
      <c r="K459" s="1"/>
      <c r="L459" s="1"/>
      <c r="M459" s="1"/>
      <c r="N459" s="1"/>
      <c r="O459" s="1"/>
      <c r="P459" s="1"/>
    </row>
    <row r="460">
      <c r="A460" s="1"/>
      <c r="B460" s="25" t="s">
        <v>108</v>
      </c>
      <c r="E460" s="26" t="s">
        <v>132</v>
      </c>
      <c r="F460" s="18" t="str">
        <f>HYPERLINK("https://youtu.be/zMvCOxMkEdQ?t=114",'Players&gt;List'!$B26)</f>
        <v>[SCO]</v>
      </c>
      <c r="G460" s="18" t="str">
        <f>HYPERLINK("https://youtu.be/fEVWpWkf9_A?t=91",'Players&gt;List'!$B29)</f>
        <v>[SYS]</v>
      </c>
      <c r="H460" s="1"/>
      <c r="I460" s="1"/>
      <c r="J460" s="1"/>
      <c r="K460" s="1"/>
      <c r="L460" s="1"/>
      <c r="M460" s="1"/>
      <c r="N460" s="1"/>
      <c r="O460" s="1"/>
      <c r="P460" s="1"/>
    </row>
    <row r="461">
      <c r="A461" s="1"/>
      <c r="B461" s="24" t="s">
        <v>1658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4"/>
    </row>
    <row r="462">
      <c r="A462" s="1"/>
      <c r="B462" s="4" t="s">
        <v>1660</v>
      </c>
      <c r="D462" s="9"/>
      <c r="E462" s="17" t="s">
        <v>14</v>
      </c>
      <c r="F462" s="18" t="str">
        <f>HYPERLINK("https://youtu.be/4ncRZtzff9s?t=21",'Players&gt;List'!$B29)</f>
        <v>[SYS]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>
      <c r="A463" s="1"/>
      <c r="B463" s="25" t="s">
        <v>88</v>
      </c>
      <c r="E463" s="26" t="s">
        <v>90</v>
      </c>
      <c r="F463" s="18" t="str">
        <f>HYPERLINK("https://youtu.be/zMvCOxMkEdQ?t=132",'Players&gt;List'!$B26)</f>
        <v>[SCO]</v>
      </c>
      <c r="G463" s="18" t="str">
        <f>HYPERLINK("https://www.youtube.com/watch?v=pr5X_yKfQVU",'Players&gt;List'!$B18)</f>
        <v>[HGB]</v>
      </c>
      <c r="H463" s="18" t="str">
        <f>HYPERLINK("https://www.twitch.tv/videos/106951173",'Players&gt;List'!$B17)</f>
        <v>[GOL]</v>
      </c>
      <c r="I463" s="18" t="str">
        <f>HYPERLINK("https://www.youtube.com/watch?v=ItWbvf0VlnY",'Players&gt;List'!$B19)</f>
        <v>[HIT]</v>
      </c>
      <c r="J463" s="18" t="str">
        <f>HYPERLINK("https://youtu.be/fEVWpWkf9_A?t=103",'Players&gt;List'!$B29)</f>
        <v>[SYS]</v>
      </c>
      <c r="K463" s="18" t="str">
        <f>HYPERLINK("https://www.youtube.com/watch?v=cH_All1ecZ4",'Players&gt;List'!$B25)</f>
        <v>[PBR]</v>
      </c>
      <c r="L463" s="1"/>
      <c r="M463" s="1"/>
      <c r="N463" s="1"/>
      <c r="O463" s="1"/>
      <c r="P463" s="1"/>
    </row>
    <row r="464">
      <c r="A464" s="1"/>
      <c r="B464" s="24" t="s">
        <v>1672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4"/>
    </row>
    <row r="465">
      <c r="A465" s="1"/>
      <c r="B465" s="4" t="s">
        <v>1675</v>
      </c>
      <c r="D465" s="9"/>
      <c r="E465" s="17" t="s">
        <v>14</v>
      </c>
      <c r="F465" s="18" t="str">
        <f>HYPERLINK("https://youtu.be/4ncRZtzff9s?t=49",'Players&gt;List'!$B29)</f>
        <v>[SYS]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>
      <c r="A466" s="1"/>
      <c r="B466" s="25" t="s">
        <v>108</v>
      </c>
      <c r="E466" s="26" t="s">
        <v>110</v>
      </c>
      <c r="F466" s="18" t="str">
        <f>HYPERLINK("https://youtu.be/zMvCOxMkEdQ?t=186",'Players&gt;List'!$B26)</f>
        <v>[SCO]</v>
      </c>
      <c r="G466" s="18" t="str">
        <f>HYPERLINK("https://youtu.be/fEVWpWkf9_A?t=152",'Players&gt;List'!$B29)</f>
        <v>[SYS]</v>
      </c>
      <c r="H466" s="1"/>
      <c r="I466" s="1"/>
      <c r="J466" s="1"/>
      <c r="K466" s="1"/>
      <c r="L466" s="1"/>
      <c r="M466" s="1"/>
      <c r="N466" s="1"/>
      <c r="O466" s="1"/>
      <c r="P466" s="1"/>
    </row>
    <row r="467">
      <c r="A467" s="1"/>
      <c r="B467" s="25" t="s">
        <v>131</v>
      </c>
      <c r="E467" s="26" t="s">
        <v>132</v>
      </c>
      <c r="F467" s="18" t="str">
        <f>HYPERLINK("https://youtu.be/zMvCOxMkEdQ?t=214",'Players&gt;List'!$B26)</f>
        <v>[SCO]</v>
      </c>
      <c r="G467" s="18" t="str">
        <f>HYPERLINK("https://youtu.be/fEVWpWkf9_A?t=175",'Players&gt;List'!$B29)</f>
        <v>[SYS]</v>
      </c>
      <c r="H467" s="1"/>
      <c r="I467" s="1"/>
      <c r="J467" s="1"/>
      <c r="K467" s="1"/>
      <c r="L467" s="1"/>
      <c r="M467" s="1"/>
      <c r="N467" s="1"/>
      <c r="O467" s="1"/>
      <c r="P467" s="1"/>
    </row>
    <row r="468">
      <c r="A468" s="1"/>
      <c r="B468" s="24" t="s">
        <v>1690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"/>
    </row>
    <row r="469">
      <c r="A469" s="1"/>
      <c r="B469" s="4" t="s">
        <v>1692</v>
      </c>
      <c r="D469" s="9"/>
      <c r="E469" s="17" t="s">
        <v>14</v>
      </c>
      <c r="F469" s="18" t="str">
        <f>HYPERLINK("https://youtu.be/4ncRZtzff9s?t=71",'Players&gt;List'!$B29)</f>
        <v>[SYS]</v>
      </c>
      <c r="G469" s="1"/>
      <c r="H469" s="1"/>
      <c r="I469" s="1"/>
      <c r="J469" s="1"/>
      <c r="K469" s="1"/>
      <c r="L469" s="1"/>
      <c r="M469" s="1"/>
      <c r="N469" s="4"/>
      <c r="O469" s="4"/>
      <c r="P469" s="4"/>
    </row>
    <row r="470">
      <c r="A470" s="1"/>
      <c r="B470" s="25" t="s">
        <v>149</v>
      </c>
      <c r="E470" s="26" t="s">
        <v>90</v>
      </c>
      <c r="F470" s="18" t="str">
        <f>HYPERLINK("https://youtu.be/zMvCOxMkEdQ?t=245",'Players&gt;List'!$B26)</f>
        <v>[SCO]</v>
      </c>
      <c r="G470" s="18" t="str">
        <f>HYPERLINK("https://youtu.be/fEVWpWkf9_A?t=197",'Players&gt;List'!$B29)</f>
        <v>[SYS]</v>
      </c>
      <c r="H470" s="1"/>
      <c r="I470" s="1"/>
      <c r="J470" s="1"/>
      <c r="K470" s="1"/>
      <c r="L470" s="1"/>
      <c r="M470" s="1"/>
      <c r="N470" s="4"/>
      <c r="O470" s="4"/>
      <c r="P470" s="4"/>
    </row>
    <row r="471">
      <c r="A471" s="1"/>
      <c r="B471" s="24" t="s">
        <v>1699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"/>
    </row>
    <row r="472">
      <c r="A472" s="1"/>
      <c r="B472" s="4" t="s">
        <v>1703</v>
      </c>
      <c r="D472" s="9"/>
      <c r="E472" s="17" t="s">
        <v>14</v>
      </c>
      <c r="F472" s="18" t="str">
        <f>HYPERLINK("https://youtu.be/4ncRZtzff9s?t=107",'Players&gt;List'!$B29)</f>
        <v>[SYS]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>
      <c r="A473" s="1"/>
      <c r="B473" s="25" t="s">
        <v>1706</v>
      </c>
      <c r="E473" s="26" t="s">
        <v>380</v>
      </c>
      <c r="F473" s="18" t="str">
        <f>HYPERLINK("https://youtu.be/zMvCOxMkEdQ?t=285",'Players&gt;List'!$B26)</f>
        <v>[SCO]</v>
      </c>
      <c r="G473" s="18" t="str">
        <f>HYPERLINK("https://www.twitch.tv/videos/106951559",'Players&gt;List'!$B17)</f>
        <v>[GOL]</v>
      </c>
      <c r="H473" s="18" t="str">
        <f>HYPERLINK("https://youtu.be/fEVWpWkf9_A?t=235",'Players&gt;List'!$B29)</f>
        <v>[SYS]</v>
      </c>
      <c r="I473" s="1"/>
      <c r="J473" s="1"/>
      <c r="K473" s="1"/>
      <c r="L473" s="1"/>
      <c r="M473" s="1"/>
      <c r="N473" s="1"/>
      <c r="O473" s="1"/>
      <c r="P473" s="1"/>
    </row>
    <row r="474">
      <c r="A474" s="1"/>
      <c r="B474" s="25" t="s">
        <v>1715</v>
      </c>
      <c r="E474" s="26" t="s">
        <v>358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>
      <c r="A475" s="1"/>
      <c r="B475" s="25" t="s">
        <v>649</v>
      </c>
      <c r="E475" s="26" t="s">
        <v>147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>
      <c r="A476" s="1"/>
      <c r="B476" s="25" t="s">
        <v>149</v>
      </c>
      <c r="E476" s="26" t="s">
        <v>147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>
      <c r="A477" s="1"/>
      <c r="B477" s="25" t="s">
        <v>1719</v>
      </c>
      <c r="E477" s="26" t="s">
        <v>132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>
      <c r="A478" s="1"/>
      <c r="B478" s="25" t="s">
        <v>1720</v>
      </c>
      <c r="E478" s="26" t="s">
        <v>358</v>
      </c>
      <c r="F478" s="18" t="str">
        <f>HYPERLINK("https://youtu.be/zMvCOxMkEdQ?t=348",'Players&gt;List'!$B26)</f>
        <v>[SCO]</v>
      </c>
      <c r="G478" s="18" t="str">
        <f>HYPERLINK("https://www.youtube.com/watch?v=WGKfXclzf_g&amp;t=0s",'Players&gt;List'!$B23)</f>
        <v>[MOL]</v>
      </c>
      <c r="H478" s="18" t="str">
        <f>HYPERLINK("https://www.twitch.tv/videos/106953338",'Players&gt;List'!$B17)</f>
        <v>[GOL]</v>
      </c>
      <c r="I478" s="18" t="str">
        <f>HYPERLINK("https://www.youtube.com/watch?v=aXYVZ2ZmX8M",'Players&gt;List'!$B19)</f>
        <v>[HIT]</v>
      </c>
      <c r="J478" s="18" t="str">
        <f>HYPERLINK("https://youtu.be/fEVWpWkf9_A?t=322",'Players&gt;List'!$B29)</f>
        <v>[SYS]</v>
      </c>
      <c r="K478" s="1"/>
      <c r="L478" s="1"/>
      <c r="M478" s="1"/>
      <c r="N478" s="1"/>
      <c r="O478" s="1"/>
      <c r="P478" s="1"/>
    </row>
    <row r="479">
      <c r="A479" s="1"/>
      <c r="B479" s="24" t="s">
        <v>1733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"/>
    </row>
    <row r="480">
      <c r="A480" s="1"/>
      <c r="B480" s="4" t="s">
        <v>1736</v>
      </c>
      <c r="D480" s="9"/>
      <c r="E480" s="17" t="s">
        <v>14</v>
      </c>
      <c r="F480" s="18" t="str">
        <f>HYPERLINK("https://youtu.be/OWVZzwCQRnI",'Players&gt;List'!$B29)</f>
        <v>[SYS]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>
      <c r="A481" s="1"/>
      <c r="B481" s="25" t="s">
        <v>157</v>
      </c>
      <c r="E481" s="26" t="s">
        <v>110</v>
      </c>
      <c r="F481" s="18" t="str">
        <f>HYPERLINK("https://youtu.be/AMxVM2OULS0",'Players&gt;List'!$B29)</f>
        <v>[SYS]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>
      <c r="A482" s="1"/>
      <c r="B482" s="24" t="s">
        <v>1742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"/>
    </row>
    <row r="483">
      <c r="A483" s="1"/>
      <c r="B483" s="4" t="s">
        <v>1746</v>
      </c>
      <c r="D483" s="9"/>
      <c r="E483" s="17" t="s">
        <v>14</v>
      </c>
      <c r="F483" s="18" t="str">
        <f>HYPERLINK("https://youtu.be/OWVZzwCQRnI?t=19",'Players&gt;List'!$B29)</f>
        <v>[SYS]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>
      <c r="A484" s="1"/>
      <c r="B484" s="25" t="s">
        <v>117</v>
      </c>
      <c r="E484" s="26" t="s">
        <v>110</v>
      </c>
      <c r="F484" s="18" t="str">
        <f>HYPERLINK("https://youtu.be/AMxVM2OULS0?t=33",'Players&gt;List'!$B29)</f>
        <v>[SYS]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>
      <c r="A485" s="1"/>
      <c r="B485" s="25" t="s">
        <v>108</v>
      </c>
      <c r="E485" s="26" t="s">
        <v>132</v>
      </c>
      <c r="F485" s="18" t="str">
        <f>HYPERLINK("https://youtu.be/AMxVM2OULS0?t=46",'Players&gt;List'!$B29)</f>
        <v>[SYS]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>
      <c r="A486" s="1"/>
      <c r="B486" s="24" t="s">
        <v>1757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"/>
    </row>
    <row r="487">
      <c r="A487" s="1"/>
      <c r="B487" s="4" t="s">
        <v>1760</v>
      </c>
      <c r="D487" s="9"/>
      <c r="E487" s="17" t="s">
        <v>14</v>
      </c>
      <c r="F487" s="18" t="str">
        <f>HYPERLINK("https://youtu.be/OWVZzwCQRnI?t=28",'Players&gt;List'!$B29)</f>
        <v>[SYS]</v>
      </c>
      <c r="G487" s="1"/>
      <c r="H487" s="1"/>
      <c r="I487" s="1"/>
      <c r="J487" s="1"/>
      <c r="K487" s="1"/>
      <c r="L487" s="1"/>
      <c r="M487" s="1"/>
      <c r="N487" s="4"/>
      <c r="O487" s="4"/>
      <c r="P487" s="4"/>
    </row>
    <row r="488">
      <c r="A488" s="1"/>
      <c r="B488" s="25" t="s">
        <v>502</v>
      </c>
      <c r="E488" s="26" t="s">
        <v>234</v>
      </c>
      <c r="F488" s="18" t="str">
        <f>HYPERLINK("https://www.twitch.tv/videos/106952715",'Players&gt;List'!$B17)</f>
        <v>[GOL]</v>
      </c>
      <c r="G488" s="18" t="str">
        <f>HYPERLINK("https://youtu.be/AMxVM2OULS0?t=56",'Players&gt;List'!$B29)</f>
        <v>[SYS]</v>
      </c>
      <c r="H488" s="1"/>
      <c r="I488" s="1"/>
      <c r="J488" s="1"/>
      <c r="K488" s="1"/>
      <c r="L488" s="1"/>
      <c r="M488" s="1"/>
      <c r="N488" s="4"/>
      <c r="O488" s="4"/>
      <c r="P488" s="4"/>
    </row>
    <row r="489">
      <c r="A489" s="1"/>
      <c r="B489" s="25" t="s">
        <v>149</v>
      </c>
      <c r="E489" s="26" t="s">
        <v>147</v>
      </c>
      <c r="F489" s="1"/>
      <c r="G489" s="1"/>
      <c r="H489" s="1"/>
      <c r="I489" s="1"/>
      <c r="J489" s="1"/>
      <c r="K489" s="1"/>
      <c r="L489" s="1"/>
      <c r="M489" s="1"/>
      <c r="N489" s="4"/>
      <c r="O489" s="4"/>
      <c r="P489" s="4"/>
    </row>
    <row r="490">
      <c r="A490" s="1"/>
      <c r="B490" s="25" t="s">
        <v>117</v>
      </c>
      <c r="E490" s="26" t="s">
        <v>132</v>
      </c>
      <c r="F490" s="1"/>
      <c r="G490" s="1"/>
      <c r="H490" s="1"/>
      <c r="I490" s="1"/>
      <c r="J490" s="1"/>
      <c r="K490" s="1"/>
      <c r="L490" s="1"/>
      <c r="M490" s="1"/>
      <c r="N490" s="4"/>
      <c r="O490" s="4"/>
      <c r="P490" s="4"/>
    </row>
    <row r="491">
      <c r="A491" s="1"/>
      <c r="B491" s="25" t="s">
        <v>108</v>
      </c>
      <c r="E491" s="26" t="s">
        <v>132</v>
      </c>
      <c r="F491" s="18" t="str">
        <f>HYPERLINK("https://youtu.be/AMxVM2OULS0?t=137",'Players&gt;List'!$B29)</f>
        <v>[SYS]</v>
      </c>
      <c r="G491" s="1"/>
      <c r="H491" s="1"/>
      <c r="I491" s="1"/>
      <c r="J491" s="1"/>
      <c r="K491" s="1"/>
      <c r="L491" s="1"/>
      <c r="M491" s="1"/>
      <c r="N491" s="4"/>
      <c r="O491" s="4"/>
      <c r="P491" s="4"/>
    </row>
    <row r="492">
      <c r="A492" s="1"/>
      <c r="B492" s="25" t="s">
        <v>400</v>
      </c>
      <c r="E492" s="26" t="s">
        <v>358</v>
      </c>
      <c r="F492" s="18" t="str">
        <f>HYPERLINK("https://youtu.be/AMxVM2OULS0?t=184",'Players&gt;List'!$B29)</f>
        <v>[SYS]</v>
      </c>
      <c r="G492" s="1"/>
      <c r="H492" s="1"/>
      <c r="I492" s="1"/>
      <c r="J492" s="1"/>
      <c r="K492" s="1"/>
      <c r="L492" s="1"/>
      <c r="M492" s="1"/>
      <c r="N492" s="4"/>
      <c r="O492" s="4"/>
      <c r="P492" s="4"/>
    </row>
    <row r="493">
      <c r="A493" s="1"/>
      <c r="B493" s="24" t="s">
        <v>1774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"/>
    </row>
    <row r="494">
      <c r="A494" s="1"/>
      <c r="B494" s="4" t="s">
        <v>1777</v>
      </c>
      <c r="D494" s="9"/>
      <c r="E494" s="17" t="s">
        <v>14</v>
      </c>
      <c r="F494" s="18" t="str">
        <f>HYPERLINK("https://youtu.be/OWVZzwCQRnI?t=113",'Players&gt;List'!$B29)</f>
        <v>[SYS]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>
      <c r="A495" s="1"/>
      <c r="B495" s="25" t="s">
        <v>117</v>
      </c>
      <c r="E495" s="26" t="s">
        <v>110</v>
      </c>
      <c r="F495" s="18" t="str">
        <f>HYPERLINK("https://youtu.be/AMxVM2OULS0?t=280",'Players&gt;List'!$B29)</f>
        <v>[SYS]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>
      <c r="A496" s="1"/>
      <c r="B496" s="25" t="s">
        <v>88</v>
      </c>
      <c r="E496" s="26" t="s">
        <v>147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>
      <c r="A497" s="1"/>
      <c r="B497" s="25" t="s">
        <v>149</v>
      </c>
      <c r="E497" s="26" t="s">
        <v>147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>
      <c r="A498" s="1"/>
      <c r="B498" s="25" t="s">
        <v>157</v>
      </c>
      <c r="E498" s="26" t="s">
        <v>132</v>
      </c>
      <c r="F498" s="18" t="str">
        <f>HYPERLINK("https://youtu.be/AMxVM2OULS0?t=306",'Players&gt;List'!$B29)</f>
        <v>[SYS]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>
      <c r="A499" s="1"/>
      <c r="B499" s="24" t="s">
        <v>1787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4"/>
    </row>
    <row r="500">
      <c r="A500" s="1"/>
      <c r="B500" s="4" t="s">
        <v>1790</v>
      </c>
      <c r="D500" s="9"/>
      <c r="E500" s="17" t="s">
        <v>14</v>
      </c>
      <c r="F500" s="18" t="str">
        <f>HYPERLINK("https://youtu.be/OWVZzwCQRnI?t=134",'Players&gt;List'!$B29)</f>
        <v>[SYS]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>
      <c r="A501" s="1"/>
      <c r="B501" s="25" t="s">
        <v>668</v>
      </c>
      <c r="E501" s="26" t="s">
        <v>234</v>
      </c>
      <c r="F501" s="18" t="str">
        <f>HYPERLINK("https://youtu.be/AMxVM2OULS0?t=331",'Players&gt;List'!$B29)</f>
        <v>[SYS]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>
      <c r="A502" s="1"/>
      <c r="B502" s="25" t="s">
        <v>149</v>
      </c>
      <c r="E502" s="26" t="s">
        <v>147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>
      <c r="A503" s="1"/>
      <c r="B503" s="25" t="s">
        <v>1797</v>
      </c>
      <c r="E503" s="26" t="s">
        <v>358</v>
      </c>
      <c r="F503" s="18" t="str">
        <f>HYPERLINK("https://youtu.be/AMxVM2OULS0?t=379",'Players&gt;List'!$B29)</f>
        <v>[SYS]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>
      <c r="A504" s="1"/>
      <c r="B504" s="24" t="s">
        <v>1800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"/>
    </row>
    <row r="505">
      <c r="A505" s="1"/>
      <c r="B505" s="4" t="s">
        <v>1803</v>
      </c>
      <c r="D505" s="9"/>
      <c r="E505" s="17" t="s">
        <v>14</v>
      </c>
      <c r="F505" s="18" t="str">
        <f>HYPERLINK("https://youtu.be/7_hpkU-dGmA",'Players&gt;List'!$B29)</f>
        <v>[SYS]</v>
      </c>
      <c r="G505" s="1"/>
      <c r="H505" s="1"/>
      <c r="I505" s="1"/>
      <c r="J505" s="1"/>
      <c r="K505" s="1"/>
      <c r="L505" s="1"/>
      <c r="M505" s="1"/>
      <c r="N505" s="4"/>
      <c r="O505" s="4"/>
      <c r="P505" s="4"/>
    </row>
    <row r="506">
      <c r="A506" s="1"/>
      <c r="B506" s="25" t="s">
        <v>117</v>
      </c>
      <c r="E506" s="26" t="s">
        <v>110</v>
      </c>
      <c r="F506" s="18" t="str">
        <f>HYPERLINK("https://youtu.be/AMxVM2OULS0?t=379",'Players&gt;List'!$B32)</f>
        <v>[XEL]</v>
      </c>
      <c r="G506" s="18" t="str">
        <f>HYPERLINK("https://youtu.be/KOD7Dwv2asQ",'Players&gt;List'!$B29)</f>
        <v>[SYS]</v>
      </c>
      <c r="H506" s="1"/>
      <c r="I506" s="1"/>
      <c r="J506" s="1"/>
      <c r="K506" s="1"/>
      <c r="L506" s="1"/>
      <c r="M506" s="1"/>
      <c r="N506" s="4"/>
      <c r="O506" s="4"/>
      <c r="P506" s="4"/>
    </row>
    <row r="507">
      <c r="A507" s="1"/>
      <c r="B507" s="25" t="s">
        <v>88</v>
      </c>
      <c r="E507" s="26" t="s">
        <v>147</v>
      </c>
      <c r="F507" s="1"/>
      <c r="G507" s="1"/>
      <c r="H507" s="1"/>
      <c r="I507" s="1"/>
      <c r="J507" s="1"/>
      <c r="K507" s="1"/>
      <c r="L507" s="1"/>
      <c r="M507" s="1"/>
      <c r="N507" s="4"/>
      <c r="O507" s="4"/>
      <c r="P507" s="4"/>
    </row>
    <row r="508">
      <c r="A508" s="1"/>
      <c r="B508" s="24" t="s">
        <v>1811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"/>
    </row>
    <row r="509">
      <c r="A509" s="1"/>
      <c r="B509" s="4" t="s">
        <v>1813</v>
      </c>
      <c r="D509" s="9"/>
      <c r="E509" s="17" t="s">
        <v>14</v>
      </c>
      <c r="F509" s="18" t="str">
        <f>HYPERLINK("https://youtu.be/7_hpkU-dGmA?t=21",'Players&gt;List'!$B29)</f>
        <v>[SYS]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>
      <c r="A510" s="1"/>
      <c r="B510" s="25" t="s">
        <v>117</v>
      </c>
      <c r="E510" s="26" t="s">
        <v>110</v>
      </c>
      <c r="F510" s="18" t="str">
        <f>HYPERLINK("https://www.youtube.com/watch?v=i5YMg_Oxito",'Players&gt;List'!$B18)</f>
        <v>[HGB]</v>
      </c>
      <c r="G510" s="18" t="str">
        <f>HYPERLINK("https://youtu.be/KOD7Dwv2asQ?t=24",'Players&gt;List'!$B29)</f>
        <v>[SYS]</v>
      </c>
      <c r="H510" s="1"/>
      <c r="I510" s="1"/>
      <c r="J510" s="1"/>
      <c r="K510" s="1"/>
      <c r="L510" s="1"/>
      <c r="M510" s="1"/>
      <c r="N510" s="1"/>
      <c r="O510" s="1"/>
      <c r="P510" s="1"/>
    </row>
    <row r="511">
      <c r="A511" s="1"/>
      <c r="B511" s="25" t="s">
        <v>88</v>
      </c>
      <c r="E511" s="26" t="s">
        <v>147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>
      <c r="A512" s="1"/>
      <c r="B512" s="25" t="s">
        <v>149</v>
      </c>
      <c r="E512" s="26" t="s">
        <v>147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>
      <c r="A513" s="1"/>
      <c r="B513" s="24" t="s">
        <v>1823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"/>
    </row>
    <row r="514">
      <c r="A514" s="1"/>
      <c r="B514" s="4" t="s">
        <v>1825</v>
      </c>
      <c r="D514" s="9"/>
      <c r="E514" s="17" t="s">
        <v>14</v>
      </c>
      <c r="F514" s="18" t="str">
        <f>HYPERLINK("https://youtu.be/7_hpkU-dGmA?t=79",'Players&gt;List'!$B29)</f>
        <v>[SYS]</v>
      </c>
      <c r="G514" s="1"/>
      <c r="H514" s="1"/>
      <c r="I514" s="1"/>
      <c r="J514" s="1"/>
      <c r="K514" s="1"/>
      <c r="L514" s="1"/>
      <c r="M514" s="1"/>
      <c r="N514" s="4"/>
      <c r="O514" s="4"/>
      <c r="P514" s="4"/>
    </row>
    <row r="515">
      <c r="A515" s="1"/>
      <c r="B515" s="25" t="s">
        <v>108</v>
      </c>
      <c r="E515" s="26" t="s">
        <v>110</v>
      </c>
      <c r="F515" s="18" t="str">
        <f>HYPERLINK("https://youtu.be/KOD7Dwv2asQ?t=109",'Players&gt;List'!$B29)</f>
        <v>[SYS]</v>
      </c>
      <c r="G515" s="1"/>
      <c r="H515" s="1"/>
      <c r="I515" s="1"/>
      <c r="J515" s="1"/>
      <c r="K515" s="1"/>
      <c r="L515" s="1"/>
      <c r="M515" s="1"/>
      <c r="N515" s="4"/>
      <c r="O515" s="4"/>
      <c r="P515" s="4"/>
    </row>
    <row r="516">
      <c r="A516" s="1"/>
      <c r="B516" s="25" t="s">
        <v>88</v>
      </c>
      <c r="E516" s="26" t="s">
        <v>147</v>
      </c>
      <c r="F516" s="1"/>
      <c r="G516" s="1"/>
      <c r="H516" s="1"/>
      <c r="I516" s="1"/>
      <c r="J516" s="1"/>
      <c r="K516" s="1"/>
      <c r="L516" s="1"/>
      <c r="M516" s="1"/>
      <c r="N516" s="4"/>
      <c r="O516" s="4"/>
      <c r="P516" s="4"/>
    </row>
    <row r="517">
      <c r="A517" s="1"/>
      <c r="B517" s="25" t="s">
        <v>149</v>
      </c>
      <c r="E517" s="26" t="s">
        <v>147</v>
      </c>
      <c r="F517" s="1"/>
      <c r="G517" s="1"/>
      <c r="H517" s="1"/>
      <c r="I517" s="1"/>
      <c r="J517" s="1"/>
      <c r="K517" s="1"/>
      <c r="L517" s="1"/>
      <c r="M517" s="1"/>
      <c r="N517" s="4"/>
      <c r="O517" s="4"/>
      <c r="P517" s="4"/>
    </row>
    <row r="518">
      <c r="A518" s="1"/>
      <c r="B518" s="25" t="s">
        <v>131</v>
      </c>
      <c r="E518" s="26" t="s">
        <v>132</v>
      </c>
      <c r="F518" s="18" t="str">
        <f>HYPERLINK("https://youtu.be/KOD7Dwv2asQ?t=133",'Players&gt;List'!$B29)</f>
        <v>[SYS]</v>
      </c>
      <c r="G518" s="1"/>
      <c r="H518" s="1"/>
      <c r="I518" s="1"/>
      <c r="J518" s="1"/>
      <c r="K518" s="1"/>
      <c r="L518" s="1"/>
      <c r="M518" s="1"/>
      <c r="N518" s="4"/>
      <c r="O518" s="4"/>
      <c r="P518" s="4"/>
    </row>
    <row r="519">
      <c r="A519" s="1"/>
      <c r="B519" s="24" t="s">
        <v>1834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"/>
    </row>
    <row r="520">
      <c r="A520" s="1"/>
      <c r="B520" s="4" t="s">
        <v>1836</v>
      </c>
      <c r="D520" s="9"/>
      <c r="E520" s="17" t="s">
        <v>14</v>
      </c>
      <c r="F520" s="18" t="str">
        <f>HYPERLINK("https://youtu.be/7_hpkU-dGmA?t=136",'Players&gt;List'!$B29)</f>
        <v>[SYS]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>
      <c r="A521" s="1"/>
      <c r="B521" s="25" t="s">
        <v>117</v>
      </c>
      <c r="E521" s="26" t="s">
        <v>110</v>
      </c>
      <c r="F521" s="18" t="str">
        <f>HYPERLINK("https://www.youtube.com/watch?v=k-25xT0Q_HU",'Players&gt;List'!$B18)</f>
        <v>[HGB]</v>
      </c>
      <c r="G521" s="18" t="str">
        <f>HYPERLINK("https://youtu.be/KOD7Dwv2asQ?t=165",'Players&gt;List'!$B29)</f>
        <v>[SYS]</v>
      </c>
      <c r="H521" s="1"/>
      <c r="I521" s="1"/>
      <c r="J521" s="1"/>
      <c r="K521" s="1"/>
      <c r="L521" s="1"/>
      <c r="M521" s="1"/>
      <c r="N521" s="1"/>
      <c r="O521" s="1"/>
      <c r="P521" s="1"/>
    </row>
    <row r="522">
      <c r="A522" s="1"/>
      <c r="B522" s="25" t="s">
        <v>88</v>
      </c>
      <c r="E522" s="26" t="s">
        <v>147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>
      <c r="A523" s="1"/>
      <c r="B523" s="25" t="s">
        <v>149</v>
      </c>
      <c r="E523" s="26" t="s">
        <v>147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>
      <c r="A524" s="1"/>
      <c r="B524" s="25" t="s">
        <v>197</v>
      </c>
      <c r="E524" s="26" t="s">
        <v>147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>
      <c r="A525" s="1"/>
      <c r="B525" s="25" t="s">
        <v>157</v>
      </c>
      <c r="E525" s="26" t="s">
        <v>132</v>
      </c>
      <c r="F525" s="18" t="str">
        <f>HYPERLINK("https://youtu.be/KOD7Dwv2asQ?t=253",'Players&gt;List'!$B29)</f>
        <v>[SYS]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>
      <c r="A526" s="1"/>
      <c r="B526" s="24" t="s">
        <v>1848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4"/>
    </row>
    <row r="527">
      <c r="A527" s="1"/>
      <c r="B527" s="4" t="s">
        <v>1851</v>
      </c>
      <c r="D527" s="9"/>
      <c r="E527" s="17" t="s">
        <v>14</v>
      </c>
      <c r="F527" s="18" t="str">
        <f>HYPERLINK("https://youtu.be/7_hpkU-dGmA?t=205",'Players&gt;List'!$B29)</f>
        <v>[SYS]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>
      <c r="A528" s="1"/>
      <c r="B528" s="25" t="s">
        <v>117</v>
      </c>
      <c r="E528" s="26" t="s">
        <v>110</v>
      </c>
      <c r="F528" s="18" t="str">
        <f>HYPERLINK("https://youtu.be/KOD7Dwv2asQ?t=333",'Players&gt;List'!$B29)</f>
        <v>[SYS]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>
      <c r="A529" s="1"/>
      <c r="B529" s="25" t="s">
        <v>88</v>
      </c>
      <c r="E529" s="26" t="s">
        <v>147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>
      <c r="A530" s="1"/>
      <c r="B530" s="25" t="s">
        <v>149</v>
      </c>
      <c r="E530" s="26" t="s">
        <v>147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>
      <c r="A531" s="1"/>
      <c r="B531" s="25" t="s">
        <v>197</v>
      </c>
      <c r="E531" s="26" t="s">
        <v>147</v>
      </c>
      <c r="F531" s="18" t="str">
        <f>HYPERLINK("https://youtu.be/KOD7Dwv2asQ?t=359",'Players&gt;List'!$B29)</f>
        <v>[SYS]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>
      <c r="A532" s="1"/>
      <c r="B532" s="25" t="s">
        <v>1861</v>
      </c>
      <c r="E532" s="26" t="s">
        <v>358</v>
      </c>
      <c r="F532" s="18" t="str">
        <f>HYPERLINK("https://youtu.be/KOD7Dwv2asQ?t=383",'Players&gt;List'!$B29)</f>
        <v>[SYS]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>
      <c r="A533" s="1"/>
      <c r="B533" s="24" t="s">
        <v>1865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"/>
    </row>
    <row r="534">
      <c r="A534" s="1"/>
      <c r="B534" s="4" t="s">
        <v>1868</v>
      </c>
      <c r="D534" s="9"/>
      <c r="E534" s="17" t="s">
        <v>14</v>
      </c>
      <c r="F534" s="18" t="str">
        <f>HYPERLINK("https://youtu.be/VXTOm1PQhmQ",'Players&gt;List'!$B29)</f>
        <v>[SYS]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>
      <c r="A535" s="1"/>
      <c r="B535" s="25" t="s">
        <v>117</v>
      </c>
      <c r="E535" s="26" t="s">
        <v>110</v>
      </c>
      <c r="F535" s="18" t="str">
        <f>HYPERLINK("https://www.youtube.com/watch?v=FO03EAP3mvU",'Players&gt;List'!$B28)</f>
        <v>[SUN]</v>
      </c>
      <c r="G535" s="18" t="str">
        <f>HYPERLINK("https://youtu.be/BfIruA9wGnk",'Players&gt;List'!$B29)</f>
        <v>[SYS]</v>
      </c>
      <c r="H535" s="1"/>
      <c r="I535" s="1"/>
      <c r="J535" s="1"/>
      <c r="K535" s="1"/>
      <c r="L535" s="1"/>
      <c r="M535" s="1"/>
      <c r="N535" s="1"/>
      <c r="O535" s="1"/>
      <c r="P535" s="1"/>
    </row>
    <row r="536">
      <c r="A536" s="1"/>
      <c r="B536" s="25" t="s">
        <v>88</v>
      </c>
      <c r="E536" s="26" t="s">
        <v>147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>
      <c r="A537" s="1"/>
      <c r="B537" s="24" t="s">
        <v>1871</v>
      </c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"/>
    </row>
    <row r="538">
      <c r="A538" s="1"/>
      <c r="B538" s="4" t="s">
        <v>1872</v>
      </c>
      <c r="D538" s="9"/>
      <c r="E538" s="17" t="s">
        <v>14</v>
      </c>
      <c r="F538" s="18" t="str">
        <f>HYPERLINK("https://youtu.be/VXTOm1PQhmQ?t=20",'Players&gt;List'!$B29)</f>
        <v>[SYS]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>
      <c r="A539" s="1"/>
      <c r="B539" s="25" t="s">
        <v>117</v>
      </c>
      <c r="E539" s="26" t="s">
        <v>110</v>
      </c>
      <c r="F539" s="18" t="str">
        <f>HYPERLINK("https://youtu.be/BfIruA9wGnk?t=39",'Players&gt;List'!$B29)</f>
        <v>[SYS]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>
      <c r="A540" s="1"/>
      <c r="B540" s="25" t="s">
        <v>88</v>
      </c>
      <c r="E540" s="26" t="s">
        <v>147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>
      <c r="A541" s="1"/>
      <c r="B541" s="25" t="s">
        <v>149</v>
      </c>
      <c r="E541" s="26" t="s">
        <v>147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>
      <c r="A542" s="1"/>
      <c r="B542" s="25" t="s">
        <v>108</v>
      </c>
      <c r="E542" s="26" t="s">
        <v>132</v>
      </c>
      <c r="F542" s="18" t="str">
        <f>HYPERLINK("https://youtu.be/BfIruA9wGnk?t=62",'Players&gt;List'!$B29)</f>
        <v>[SYS]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>
      <c r="A543" s="1"/>
      <c r="B543" s="24" t="s">
        <v>1875</v>
      </c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"/>
    </row>
    <row r="544">
      <c r="A544" s="1"/>
      <c r="B544" s="4" t="s">
        <v>1877</v>
      </c>
      <c r="D544" s="9"/>
      <c r="E544" s="17" t="s">
        <v>14</v>
      </c>
      <c r="F544" s="18" t="str">
        <f>HYPERLINK("https://youtu.be/VXTOm1PQhmQ?t=38",'Players&gt;List'!$B29)</f>
        <v>[SYS]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>
      <c r="A545" s="1"/>
      <c r="B545" s="25" t="s">
        <v>108</v>
      </c>
      <c r="E545" s="26" t="s">
        <v>110</v>
      </c>
      <c r="F545" s="18" t="str">
        <f>HYPERLINK("https://youtu.be/BfIruA9wGnk?t=77",'Players&gt;List'!$B29)</f>
        <v>[SYS]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>
      <c r="A546" s="1"/>
      <c r="B546" s="25" t="s">
        <v>131</v>
      </c>
      <c r="E546" s="26" t="s">
        <v>132</v>
      </c>
      <c r="F546" s="18" t="str">
        <f>HYPERLINK("https://www.youtube.com/watch?v=m8oIqA5UG-M",'Players&gt;List'!$B28)</f>
        <v>[SUN]</v>
      </c>
      <c r="G546" s="18" t="str">
        <f>HYPERLINK("https://youtu.be/BfIruA9wGnk?t=84",'Players&gt;List'!$B29)</f>
        <v>[SYS]</v>
      </c>
      <c r="H546" s="1"/>
      <c r="I546" s="1"/>
      <c r="J546" s="1"/>
      <c r="K546" s="1"/>
      <c r="L546" s="1"/>
      <c r="M546" s="1"/>
      <c r="N546" s="1"/>
      <c r="O546" s="1"/>
      <c r="P546" s="1"/>
    </row>
    <row r="547">
      <c r="A547" s="1"/>
      <c r="B547" s="25" t="s">
        <v>157</v>
      </c>
      <c r="E547" s="26" t="s">
        <v>132</v>
      </c>
      <c r="F547" s="18" t="str">
        <f>HYPERLINK("https://www.youtube.com/watch?v=f_1sv98qROQ",'Players&gt;List'!$B23)</f>
        <v>[MOL]</v>
      </c>
      <c r="G547" s="18" t="str">
        <f>HYPERLINK("https://www.twitch.tv/videos/110108852",'Players&gt;List'!$B17)</f>
        <v>[GOL]</v>
      </c>
      <c r="H547" s="18" t="str">
        <f>HYPERLINK("https://www.youtube.com/watch?v=dBcMFrZ3Ivs",'Players&gt;List'!$B19)</f>
        <v>[HIT]</v>
      </c>
      <c r="I547" s="18" t="str">
        <f>HYPERLINK("https://www.twitch.tv/videos/304357647",'Players&gt;List'!$B9)</f>
        <v>[AWE]</v>
      </c>
      <c r="J547" s="18" t="str">
        <f>HYPERLINK("https://www.youtube.com/watch?v=yaeWtAqdrH0",'Players&gt;List'!$B27)</f>
        <v>[SKY]</v>
      </c>
      <c r="K547" s="18" t="str">
        <f>HYPERLINK("https://youtu.be/BfIruA9wGnk?t=111",'Players&gt;List'!$B29)</f>
        <v>[SYS]</v>
      </c>
      <c r="L547" s="1"/>
      <c r="M547" s="1"/>
      <c r="N547" s="1"/>
      <c r="O547" s="1"/>
      <c r="P547" s="1"/>
    </row>
    <row r="548">
      <c r="A548" s="1"/>
      <c r="B548" s="24" t="s">
        <v>1898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"/>
    </row>
    <row r="549">
      <c r="A549" s="1"/>
      <c r="B549" s="4" t="s">
        <v>1902</v>
      </c>
      <c r="D549" s="9"/>
      <c r="E549" s="17" t="s">
        <v>14</v>
      </c>
      <c r="F549" s="18" t="str">
        <f>HYPERLINK("https://youtu.be/VXTOm1PQhmQ?t=62",'Players&gt;List'!$B29)</f>
        <v>[SYS]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>
      <c r="A550" s="1"/>
      <c r="B550" s="25" t="s">
        <v>131</v>
      </c>
      <c r="E550" s="26" t="s">
        <v>110</v>
      </c>
      <c r="F550" s="18" t="str">
        <f>HYPERLINK("https://youtu.be/BfIruA9wGnk?t=230",'Players&gt;List'!$B29)</f>
        <v>[SYS]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>
      <c r="A551" s="1"/>
      <c r="B551" s="24" t="s">
        <v>1909</v>
      </c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"/>
    </row>
    <row r="552">
      <c r="A552" s="1"/>
      <c r="B552" s="4" t="s">
        <v>1912</v>
      </c>
      <c r="D552" s="9"/>
      <c r="E552" s="17" t="s">
        <v>14</v>
      </c>
      <c r="F552" s="18" t="str">
        <f>HYPERLINK("https://youtu.be/VXTOm1PQhmQ?t=79",'Players&gt;List'!$B29)</f>
        <v>[SYS]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>
      <c r="A553" s="1"/>
      <c r="B553" s="25" t="s">
        <v>88</v>
      </c>
      <c r="E553" s="26" t="s">
        <v>90</v>
      </c>
      <c r="F553" s="18" t="str">
        <f>HYPERLINK("https://youtu.be/BfIruA9wGnk?t=247",'Players&gt;List'!$B29)</f>
        <v>[SYS]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>
      <c r="A554" s="1"/>
      <c r="B554" s="24" t="s">
        <v>1921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"/>
    </row>
    <row r="555">
      <c r="A555" s="1"/>
      <c r="B555" s="4" t="s">
        <v>1924</v>
      </c>
      <c r="D555" s="9"/>
      <c r="E555" s="17" t="s">
        <v>14</v>
      </c>
      <c r="F555" s="18" t="str">
        <f>HYPERLINK("https://youtu.be/k2e_Rq95thM",'Players&gt;List'!$B29)</f>
        <v>[SYS]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>
      <c r="A556" s="1"/>
      <c r="B556" s="25" t="s">
        <v>117</v>
      </c>
      <c r="E556" s="26" t="s">
        <v>110</v>
      </c>
      <c r="F556" s="18" t="str">
        <f>HYPERLINK("https://youtu.be/I5JMao1bOIQ",'Players&gt;List'!$B29)</f>
        <v>[SYS]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>
      <c r="A557" s="1"/>
      <c r="B557" s="25" t="s">
        <v>131</v>
      </c>
      <c r="E557" s="26" t="s">
        <v>132</v>
      </c>
      <c r="F557" s="18" t="str">
        <f>HYPERLINK("https://youtu.be/I5JMao1bOIQ?t=30",'Players&gt;List'!$B29)</f>
        <v>[SYS]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>
      <c r="A558" s="1"/>
      <c r="B558" s="25" t="s">
        <v>157</v>
      </c>
      <c r="E558" s="26" t="s">
        <v>132</v>
      </c>
      <c r="F558" s="18" t="str">
        <f>HYPERLINK("https://youtu.be/I5JMao1bOIQ?t=67",'Players&gt;List'!$B29)</f>
        <v>[SYS]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>
      <c r="A559" s="1"/>
      <c r="B559" s="25" t="s">
        <v>108</v>
      </c>
      <c r="E559" s="26" t="s">
        <v>132</v>
      </c>
      <c r="F559" s="18" t="str">
        <f>HYPERLINK("https://youtu.be/I5JMao1bOIQ?t=97",'Players&gt;List'!$B29)</f>
        <v>[SYS]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>
      <c r="A560" s="1"/>
      <c r="B560" s="24" t="s">
        <v>1937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"/>
    </row>
    <row r="561">
      <c r="A561" s="1"/>
      <c r="B561" s="4" t="s">
        <v>1939</v>
      </c>
      <c r="D561" s="9"/>
      <c r="E561" s="17" t="s">
        <v>14</v>
      </c>
      <c r="F561" s="18" t="str">
        <f>HYPERLINK("https://youtu.be/k2e_Rq95thM?t=28",'Players&gt;List'!$B29)</f>
        <v>[SYS]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>
      <c r="A562" s="1"/>
      <c r="B562" s="25" t="s">
        <v>117</v>
      </c>
      <c r="E562" s="26" t="s">
        <v>110</v>
      </c>
      <c r="F562" s="18" t="str">
        <f>HYPERLINK("https://youtu.be/I5JMao1bOIQ?t=135",'Players&gt;List'!$B29)</f>
        <v>[SYS]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>
      <c r="A563" s="1"/>
      <c r="B563" s="24" t="s">
        <v>1946</v>
      </c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"/>
    </row>
    <row r="564">
      <c r="A564" s="1"/>
      <c r="B564" s="4" t="s">
        <v>1949</v>
      </c>
      <c r="D564" s="9"/>
      <c r="E564" s="17" t="s">
        <v>14</v>
      </c>
      <c r="F564" s="18" t="str">
        <f>HYPERLINK("https://youtu.be/k2e_Rq95thM?t=62",'Players&gt;List'!$B29)</f>
        <v>[SYS]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>
      <c r="A565" s="1"/>
      <c r="B565" s="25" t="s">
        <v>1951</v>
      </c>
      <c r="E565" s="26" t="s">
        <v>234</v>
      </c>
      <c r="F565" s="18" t="str">
        <f>HYPERLINK("https://youtu.be/I5JMao1bOIQ?t=168",'Players&gt;List'!$B29)</f>
        <v>[SYS]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>
      <c r="A566" s="1"/>
      <c r="B566" s="25" t="s">
        <v>197</v>
      </c>
      <c r="E566" s="26" t="s">
        <v>147</v>
      </c>
      <c r="F566" s="18" t="str">
        <f>HYPERLINK("https://youtu.be/I5JMao1bOIQ?t=204",'Players&gt;List'!$B29)</f>
        <v>[SYS]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>
      <c r="A567" s="1"/>
      <c r="B567" s="25" t="s">
        <v>1861</v>
      </c>
      <c r="E567" s="26" t="s">
        <v>358</v>
      </c>
      <c r="F567" s="18" t="str">
        <f>HYPERLINK("https://youtu.be/I5JMao1bOIQ?t=225",'Players&gt;List'!$B29)</f>
        <v>[SYS]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>
      <c r="A568" s="1"/>
      <c r="B568" s="24" t="s">
        <v>1964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"/>
    </row>
    <row r="569">
      <c r="A569" s="1"/>
      <c r="B569" s="4" t="s">
        <v>1966</v>
      </c>
      <c r="D569" s="9"/>
      <c r="E569" s="17" t="s">
        <v>14</v>
      </c>
      <c r="F569" s="18" t="str">
        <f>HYPERLINK("https://youtu.be/k2e_Rq95thM?t=84",'Players&gt;List'!$B29)</f>
        <v>[SYS]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>
      <c r="A570" s="1"/>
      <c r="B570" s="25" t="s">
        <v>88</v>
      </c>
      <c r="E570" s="26" t="s">
        <v>90</v>
      </c>
      <c r="F570" s="18" t="str">
        <f>HYPERLINK("https://youtu.be/I5JMao1bOIQ?t=262",'Players&gt;List'!$B29)</f>
        <v>[SYS]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>
      <c r="A571" s="1"/>
      <c r="B571" s="24" t="s">
        <v>1974</v>
      </c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"/>
    </row>
    <row r="572">
      <c r="A572" s="1"/>
      <c r="B572" s="4" t="s">
        <v>1976</v>
      </c>
      <c r="D572" s="9"/>
      <c r="E572" s="17" t="s">
        <v>14</v>
      </c>
      <c r="F572" s="18" t="str">
        <f>HYPERLINK("https://youtu.be/k2e_Rq95thM?t=100",'Players&gt;List'!$B29)</f>
        <v>[SYS]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>
      <c r="A573" s="1"/>
      <c r="B573" s="25" t="s">
        <v>117</v>
      </c>
      <c r="E573" s="26" t="s">
        <v>110</v>
      </c>
      <c r="F573" s="18" t="str">
        <f>HYPERLINK("https://youtu.be/I5JMao1bOIQ?t=277",'Players&gt;List'!$B29)</f>
        <v>[SYS]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>
      <c r="A574" s="1"/>
      <c r="B574" s="24" t="s">
        <v>1980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"/>
    </row>
    <row r="575">
      <c r="A575" s="1"/>
      <c r="B575" s="4" t="s">
        <v>1984</v>
      </c>
      <c r="D575" s="9"/>
      <c r="E575" s="17" t="s">
        <v>14</v>
      </c>
      <c r="F575" s="18" t="str">
        <f>HYPERLINK("https://youtu.be/YczfVNX2Rfk",'Players&gt;List'!$B29)</f>
        <v>[SYS]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>
      <c r="A576" s="1"/>
      <c r="B576" s="25" t="s">
        <v>117</v>
      </c>
      <c r="E576" s="26" t="s">
        <v>110</v>
      </c>
      <c r="F576" s="18" t="str">
        <f>HYPERLINK("https://www.youtube.com/watch?v=6ckIV4i0Dx8",'Players&gt;List'!$B28)</f>
        <v>[SUN]</v>
      </c>
      <c r="G576" s="18" t="str">
        <f>HYPERLINK("https://youtu.be/V-OtPmh3CkM",'Players&gt;List'!$B29)</f>
        <v>[SYS]</v>
      </c>
      <c r="H576" s="1"/>
      <c r="I576" s="1"/>
      <c r="J576" s="1"/>
      <c r="K576" s="1"/>
      <c r="L576" s="1"/>
      <c r="M576" s="1"/>
      <c r="N576" s="1"/>
      <c r="O576" s="1"/>
      <c r="P576" s="1"/>
    </row>
    <row r="577">
      <c r="A577" s="1"/>
      <c r="B577" s="24" t="s">
        <v>1991</v>
      </c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"/>
    </row>
    <row r="578">
      <c r="A578" s="1"/>
      <c r="B578" s="4" t="s">
        <v>1994</v>
      </c>
      <c r="D578" s="9"/>
      <c r="E578" s="17" t="s">
        <v>14</v>
      </c>
      <c r="F578" s="18" t="str">
        <f>HYPERLINK("https://youtu.be/YczfVNX2Rfk?t=5",'Players&gt;List'!$B29)</f>
        <v>[SYS]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>
      <c r="A579" s="1"/>
      <c r="B579" s="25" t="s">
        <v>400</v>
      </c>
      <c r="E579" s="26" t="s">
        <v>234</v>
      </c>
      <c r="F579" s="18" t="str">
        <f>HYPERLINK("https://youtu.be/V-OtPmh3CkM?t=6",'Players&gt;List'!$B29)</f>
        <v>[SYS]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>
      <c r="A580" s="1"/>
      <c r="B580" s="24" t="s">
        <v>2000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"/>
    </row>
    <row r="581">
      <c r="A581" s="1"/>
      <c r="B581" s="4" t="s">
        <v>2002</v>
      </c>
      <c r="D581" s="9"/>
      <c r="E581" s="17" t="s">
        <v>14</v>
      </c>
      <c r="F581" s="18" t="str">
        <f>HYPERLINK("https://youtu.be/YczfVNX2Rfk?t=23",'Players&gt;List'!$B29)</f>
        <v>[SYS]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>
      <c r="A582" s="1"/>
      <c r="B582" s="25" t="s">
        <v>157</v>
      </c>
      <c r="E582" s="26" t="s">
        <v>110</v>
      </c>
      <c r="F582" s="18" t="str">
        <f>HYPERLINK("https://www.twitch.tv/videos/110109467",'Players&gt;List'!$B17)</f>
        <v>[GOL]</v>
      </c>
      <c r="G582" s="18" t="str">
        <f>HYPERLINK("https://youtu.be/V-OtPmh3CkM?t=48",'Players&gt;List'!$B29)</f>
        <v>[SYS]</v>
      </c>
      <c r="H582" s="1"/>
      <c r="I582" s="1"/>
      <c r="J582" s="1"/>
      <c r="K582" s="1"/>
      <c r="L582" s="1"/>
      <c r="M582" s="1"/>
      <c r="N582" s="1"/>
      <c r="O582" s="1"/>
      <c r="P582" s="1"/>
    </row>
    <row r="583">
      <c r="A583" s="1"/>
      <c r="B583" s="25" t="s">
        <v>149</v>
      </c>
      <c r="E583" s="26" t="s">
        <v>147</v>
      </c>
      <c r="F583" s="18" t="str">
        <f>HYPERLINK("https://youtu.be/V-OtPmh3CkM?t=91",'Players&gt;List'!$B29)</f>
        <v>[SYS]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>
      <c r="A584" s="1"/>
      <c r="B584" s="24" t="s">
        <v>2014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"/>
    </row>
    <row r="585">
      <c r="A585" s="1"/>
      <c r="B585" s="4" t="s">
        <v>2016</v>
      </c>
      <c r="D585" s="9"/>
      <c r="E585" s="17" t="s">
        <v>14</v>
      </c>
      <c r="F585" s="18" t="str">
        <f>HYPERLINK("https://youtu.be/YczfVNX2Rfk?t=38",'Players&gt;List'!$B29)</f>
        <v>[SYS]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>
      <c r="A586" s="1"/>
      <c r="B586" s="25" t="s">
        <v>117</v>
      </c>
      <c r="E586" s="26" t="s">
        <v>110</v>
      </c>
      <c r="F586" s="18" t="str">
        <f>HYPERLINK("https://youtu.be/V-OtPmh3CkM?t=109",'Players&gt;List'!$B29)</f>
        <v>[SYS]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>
      <c r="A587" s="1"/>
      <c r="B587" s="24" t="s">
        <v>2022</v>
      </c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"/>
    </row>
    <row r="588">
      <c r="A588" s="1"/>
      <c r="B588" s="4" t="s">
        <v>2024</v>
      </c>
      <c r="D588" s="9"/>
      <c r="E588" s="17" t="s">
        <v>14</v>
      </c>
      <c r="F588" s="18" t="str">
        <f>HYPERLINK("https://youtu.be/YczfVNX2Rfk?t=57",'Players&gt;List'!$B29)</f>
        <v>[SYS]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>
      <c r="A589" s="1"/>
      <c r="B589" s="25" t="s">
        <v>149</v>
      </c>
      <c r="E589" s="26" t="s">
        <v>90</v>
      </c>
      <c r="F589" s="18" t="str">
        <f>HYPERLINK("https://youtu.be/V-OtPmh3CkM?t=159",'Players&gt;List'!$B29)</f>
        <v>[SYS]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>
      <c r="A590" s="1"/>
      <c r="B590" s="24" t="s">
        <v>2031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"/>
    </row>
    <row r="591">
      <c r="A591" s="1"/>
      <c r="B591" s="4" t="s">
        <v>2035</v>
      </c>
      <c r="D591" s="9"/>
      <c r="E591" s="17" t="s">
        <v>14</v>
      </c>
      <c r="F591" s="18" t="str">
        <f>HYPERLINK("https://youtu.be/wAxjVQx0Mj0",'Players&gt;List'!$B29)</f>
        <v>[SYS]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>
      <c r="A592" s="1"/>
      <c r="B592" s="25" t="s">
        <v>88</v>
      </c>
      <c r="E592" s="26" t="s">
        <v>90</v>
      </c>
      <c r="F592" s="18" t="str">
        <f>HYPERLINK("https://www.youtube.com/watch?v=lV1Iep8T6Ao",'Players&gt;List'!$B28)</f>
        <v>[SUN]</v>
      </c>
      <c r="G592" s="18" t="str">
        <f>HYPERLINK("https://youtu.be/DB78V18mBkU",'Players&gt;List'!$B29)</f>
        <v>[SYS]</v>
      </c>
      <c r="H592" s="1"/>
      <c r="I592" s="1"/>
      <c r="J592" s="1"/>
      <c r="K592" s="1"/>
      <c r="L592" s="1"/>
      <c r="M592" s="1"/>
      <c r="N592" s="1"/>
      <c r="O592" s="1"/>
      <c r="P592" s="1"/>
    </row>
    <row r="593">
      <c r="A593" s="1"/>
      <c r="B593" s="24" t="s">
        <v>2044</v>
      </c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"/>
    </row>
    <row r="594">
      <c r="A594" s="1"/>
      <c r="B594" s="4" t="s">
        <v>2047</v>
      </c>
      <c r="D594" s="9"/>
      <c r="E594" s="17" t="s">
        <v>14</v>
      </c>
      <c r="F594" s="18" t="str">
        <f>HYPERLINK("https://youtu.be/wAxjVQx0Mj0?t=12",'Players&gt;List'!$B29)</f>
        <v>[SYS]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>
      <c r="A595" s="1"/>
      <c r="B595" s="25" t="s">
        <v>157</v>
      </c>
      <c r="E595" s="26" t="s">
        <v>110</v>
      </c>
      <c r="F595" s="18" t="str">
        <f>HYPERLINK("https://youtu.be/DB78V18mBkU?t=10",'Players&gt;List'!$B29)</f>
        <v>[SYS]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>
      <c r="A596" s="1"/>
      <c r="B596" s="25" t="s">
        <v>149</v>
      </c>
      <c r="E596" s="26" t="s">
        <v>147</v>
      </c>
      <c r="F596" s="18" t="str">
        <f>HYPERLINK("https://youtu.be/DB78V18mBkU?t=36",'Players&gt;List'!$B29)</f>
        <v>[SYS]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>
      <c r="A597" s="1"/>
      <c r="B597" s="24" t="s">
        <v>2058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"/>
    </row>
    <row r="598">
      <c r="A598" s="1"/>
      <c r="B598" s="4" t="s">
        <v>2062</v>
      </c>
      <c r="D598" s="9"/>
      <c r="E598" s="17" t="s">
        <v>14</v>
      </c>
      <c r="F598" s="18" t="str">
        <f>HYPERLINK("https://youtu.be/wAxjVQx0Mj0?t=36",'Players&gt;List'!$B29)</f>
        <v>[SYS]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>
      <c r="A599" s="1"/>
      <c r="B599" s="25" t="s">
        <v>88</v>
      </c>
      <c r="E599" s="26" t="s">
        <v>90</v>
      </c>
      <c r="F599" s="18" t="str">
        <f>HYPERLINK("https://www.youtube.com/watch?v=AqESYtbhk2o",'Players&gt;List'!$B28)</f>
        <v>[SUN]</v>
      </c>
      <c r="G599" s="18" t="str">
        <f>HYPERLINK("https://youtu.be/DB78V18mBkU?t=63",'Players&gt;List'!$B29)</f>
        <v>[SYS]</v>
      </c>
      <c r="H599" s="1"/>
      <c r="I599" s="1"/>
      <c r="J599" s="1"/>
      <c r="K599" s="1"/>
      <c r="L599" s="1"/>
      <c r="M599" s="1"/>
      <c r="N599" s="1"/>
      <c r="O599" s="1"/>
      <c r="P599" s="1"/>
    </row>
    <row r="600">
      <c r="A600" s="1"/>
      <c r="B600" s="24" t="s">
        <v>2067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"/>
    </row>
    <row r="601">
      <c r="A601" s="1"/>
      <c r="B601" s="4" t="s">
        <v>2068</v>
      </c>
      <c r="D601" s="9"/>
      <c r="E601" s="17" t="s">
        <v>14</v>
      </c>
      <c r="F601" s="18" t="str">
        <f>HYPERLINK("https://www.youtube.com/watch?v=2ksKF0FRrT0",'Players&gt;List'!$B28)</f>
        <v>[SUN]</v>
      </c>
      <c r="G601" s="18" t="str">
        <f>HYPERLINK("https://youtu.be/wAxjVQx0Mj0?t=68",'Players&gt;List'!$B29)</f>
        <v>[SYS]</v>
      </c>
      <c r="H601" s="1"/>
      <c r="I601" s="1"/>
      <c r="J601" s="1"/>
      <c r="K601" s="1"/>
      <c r="L601" s="1"/>
      <c r="M601" s="1"/>
      <c r="N601" s="1"/>
      <c r="O601" s="1"/>
      <c r="P601" s="1"/>
    </row>
    <row r="602">
      <c r="A602" s="1"/>
      <c r="B602" s="25" t="s">
        <v>108</v>
      </c>
      <c r="E602" s="26" t="s">
        <v>110</v>
      </c>
      <c r="F602" s="18" t="str">
        <f>HYPERLINK("https://youtu.be/DB78V18mBkU?t=77",'Players&gt;List'!$B29)</f>
        <v>[SYS]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>
      <c r="A603" s="1"/>
      <c r="B603" s="24" t="s">
        <v>2077</v>
      </c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"/>
    </row>
    <row r="604">
      <c r="A604" s="1"/>
      <c r="B604" s="4" t="s">
        <v>2080</v>
      </c>
      <c r="D604" s="9"/>
      <c r="E604" s="17" t="s">
        <v>14</v>
      </c>
      <c r="F604" s="18" t="str">
        <f>HYPERLINK("https://youtu.be/wAxjVQx0Mj0?t=96",'Players&gt;List'!$B29)</f>
        <v>[SYS]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>
      <c r="A605" s="1"/>
      <c r="B605" s="25" t="s">
        <v>117</v>
      </c>
      <c r="E605" s="26" t="s">
        <v>110</v>
      </c>
      <c r="F605" s="18" t="str">
        <f>HYPERLINK("https://youtu.be/DB78V18mBkU?t=108",'Players&gt;List'!$B29)</f>
        <v>[SYS]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>
      <c r="A606" s="1"/>
      <c r="B606" s="25" t="s">
        <v>157</v>
      </c>
      <c r="E606" s="26" t="s">
        <v>132</v>
      </c>
      <c r="F606" s="18" t="str">
        <f>HYPERLINK("https://youtu.be/DB78V18mBkU?t=159",'Players&gt;List'!$B29)</f>
        <v>[SYS]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>
      <c r="A607" s="1"/>
      <c r="B607" s="24" t="s">
        <v>2093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"/>
    </row>
    <row r="608">
      <c r="A608" s="1"/>
      <c r="B608" s="4" t="s">
        <v>2095</v>
      </c>
      <c r="D608" s="9"/>
      <c r="E608" s="17" t="s">
        <v>14</v>
      </c>
      <c r="F608" s="18" t="str">
        <f>HYPERLINK("https://youtu.be/x-R2MoLJ0OE",'Players&gt;List'!$B29)</f>
        <v>[SYS]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>
      <c r="A609" s="1"/>
      <c r="B609" s="25" t="s">
        <v>149</v>
      </c>
      <c r="E609" s="26" t="s">
        <v>90</v>
      </c>
      <c r="F609" s="18" t="str">
        <f>HYPERLINK("https://youtu.be/0M-0KzLoB4M",'Players&gt;List'!$B29)</f>
        <v>[SYS]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>
      <c r="A610" s="1"/>
      <c r="B610" s="25" t="s">
        <v>88</v>
      </c>
      <c r="E610" s="26" t="s">
        <v>147</v>
      </c>
      <c r="F610" s="18" t="str">
        <f>HYPERLINK("https://youtu.be/0M-0KzLoB4M?t=78",'Players&gt;List'!$B29)</f>
        <v>[SYS]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>
      <c r="A611" s="1"/>
      <c r="B611" s="24" t="s">
        <v>2105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"/>
    </row>
    <row r="612">
      <c r="A612" s="1"/>
      <c r="B612" s="4" t="s">
        <v>2109</v>
      </c>
      <c r="D612" s="9"/>
      <c r="E612" s="17" t="s">
        <v>14</v>
      </c>
      <c r="F612" s="18" t="str">
        <f>HYPERLINK("https://youtu.be/x-R2MoLJ0OE?t=114",'Players&gt;List'!$B29)</f>
        <v>[SYS]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>
      <c r="A613" s="1"/>
      <c r="B613" s="25" t="s">
        <v>88</v>
      </c>
      <c r="E613" s="26" t="s">
        <v>90</v>
      </c>
      <c r="F613" s="18" t="str">
        <f>HYPERLINK("https://youtu.be/0M-0KzLoB4M?t=102",'Players&gt;List'!$B29)</f>
        <v>[SYS]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>
      <c r="A614" s="1"/>
      <c r="B614" s="24" t="s">
        <v>2115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"/>
    </row>
    <row r="615">
      <c r="A615" s="1"/>
      <c r="B615" s="4" t="s">
        <v>2117</v>
      </c>
      <c r="D615" s="9"/>
      <c r="E615" s="17" t="s">
        <v>14</v>
      </c>
      <c r="F615" s="18" t="str">
        <f>HYPERLINK("https://youtu.be/x-R2MoLJ0OE?t=169",'Players&gt;List'!$B29)</f>
        <v>[SYS]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>
      <c r="A616" s="1"/>
      <c r="B616" s="25" t="s">
        <v>108</v>
      </c>
      <c r="E616" s="26" t="s">
        <v>110</v>
      </c>
      <c r="F616" s="18" t="str">
        <f>HYPERLINK("https://www.youtube.com/watch?v=4BV738WoNp4",'Players&gt;List'!$B28)</f>
        <v>[SUN]</v>
      </c>
      <c r="G616" s="18" t="str">
        <f>HYPERLINK("https://youtu.be/0M-0KzLoB4M?t=131",'Players&gt;List'!$B29)</f>
        <v>[SYS]</v>
      </c>
      <c r="H616" s="1"/>
      <c r="I616" s="1"/>
      <c r="J616" s="1"/>
      <c r="K616" s="1"/>
      <c r="L616" s="1"/>
      <c r="M616" s="1"/>
      <c r="N616" s="1"/>
      <c r="O616" s="1"/>
      <c r="P616" s="1"/>
    </row>
    <row r="617">
      <c r="A617" s="1"/>
      <c r="B617" s="24" t="s">
        <v>2119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"/>
    </row>
    <row r="618">
      <c r="A618" s="1"/>
      <c r="B618" s="4" t="s">
        <v>2121</v>
      </c>
      <c r="D618" s="9"/>
      <c r="E618" s="17" t="s">
        <v>14</v>
      </c>
      <c r="F618" s="18" t="str">
        <f>HYPERLINK("https://youtu.be/x-R2MoLJ0OE?t=198",'Players&gt;List'!$B29)</f>
        <v>[SYS]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>
      <c r="A619" s="1"/>
      <c r="B619" s="25" t="s">
        <v>675</v>
      </c>
      <c r="E619" s="26" t="s">
        <v>234</v>
      </c>
      <c r="F619" s="18" t="str">
        <f>HYPERLINK("https://youtu.be/0M-0KzLoB4M?t=167",'Players&gt;List'!$B29)</f>
        <v>[SYS]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>
      <c r="A620" s="1"/>
      <c r="B620" s="25" t="s">
        <v>2129</v>
      </c>
      <c r="E620" s="26" t="s">
        <v>358</v>
      </c>
      <c r="F620" s="18" t="str">
        <f>HYPERLINK("https://youtu.be/0M-0KzLoB4M?t=195",'Players&gt;List'!$B29)</f>
        <v>[SYS]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>
      <c r="A621" s="1"/>
      <c r="B621" s="24" t="s">
        <v>2133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"/>
    </row>
    <row r="622">
      <c r="A622" s="1"/>
      <c r="B622" s="4" t="s">
        <v>2136</v>
      </c>
      <c r="D622" s="9"/>
      <c r="E622" s="17" t="s">
        <v>14</v>
      </c>
      <c r="F622" s="18" t="str">
        <f>HYPERLINK("https://www.youtube.com/watch?v=ER-QuE3cCE8",'Players&gt;List'!$B23)</f>
        <v>[MOL]</v>
      </c>
      <c r="G622" s="18" t="str">
        <f>HYPERLINK("https://youtu.be/x-R2MoLJ0OE?t=240",'Players&gt;List'!$B29)</f>
        <v>[SYS]</v>
      </c>
      <c r="H622" s="1"/>
      <c r="I622" s="1"/>
      <c r="J622" s="1"/>
      <c r="K622" s="1"/>
      <c r="L622" s="1"/>
      <c r="M622" s="1"/>
      <c r="N622" s="1"/>
      <c r="O622" s="1"/>
      <c r="P622" s="1"/>
    </row>
    <row r="623">
      <c r="A623" s="1"/>
      <c r="B623" s="25" t="s">
        <v>131</v>
      </c>
      <c r="E623" s="26" t="s">
        <v>110</v>
      </c>
      <c r="F623" s="18" t="str">
        <f>HYPERLINK("https://youtu.be/0M-0KzLoB4M?t=219",'Players&gt;List'!$B29)</f>
        <v>[SYS]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>
      <c r="A624" s="1"/>
      <c r="B624" s="25" t="s">
        <v>149</v>
      </c>
      <c r="E624" s="26" t="s">
        <v>147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>
      <c r="A625" s="1"/>
      <c r="B625" s="25" t="s">
        <v>197</v>
      </c>
      <c r="E625" s="26" t="s">
        <v>147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>
      <c r="A626" s="1"/>
      <c r="B626" s="25" t="s">
        <v>157</v>
      </c>
      <c r="E626" s="26" t="s">
        <v>132</v>
      </c>
      <c r="F626" s="18" t="str">
        <f>HYPERLINK("https://www.youtube.com/watch?v=a042_IwGMH8",'Players&gt;List'!$B18)</f>
        <v>[HGB]</v>
      </c>
      <c r="G626" s="18" t="str">
        <f>HYPERLINK("https://youtu.be/0M-0KzLoB4M?t=303",'Players&gt;List'!$B29)</f>
        <v>[SYS]</v>
      </c>
      <c r="H626" s="1"/>
      <c r="I626" s="1"/>
      <c r="J626" s="1"/>
      <c r="K626" s="1"/>
      <c r="L626" s="1"/>
      <c r="M626" s="1"/>
      <c r="N626" s="1"/>
      <c r="O626" s="1"/>
      <c r="P626" s="1"/>
    </row>
    <row r="627">
      <c r="A627" s="1"/>
      <c r="B627" s="24" t="s">
        <v>2150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"/>
    </row>
    <row r="628">
      <c r="A628" s="1"/>
      <c r="B628" s="4" t="s">
        <v>2153</v>
      </c>
      <c r="D628" s="9"/>
      <c r="E628" s="17" t="s">
        <v>14</v>
      </c>
      <c r="F628" s="18" t="str">
        <f>HYPERLINK("https://youtu.be/Rvoa2_afVWk",'Players&gt;List'!$B29)</f>
        <v>[SYS]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>
      <c r="A629" s="1"/>
      <c r="B629" s="25" t="s">
        <v>88</v>
      </c>
      <c r="E629" s="26" t="s">
        <v>90</v>
      </c>
      <c r="F629" s="18" t="str">
        <f>HYPERLINK("https://www.youtube.com/watch?v=zW7LP2OP4zs",'Players&gt;List'!$B28)</f>
        <v>[SUN]</v>
      </c>
      <c r="G629" s="18" t="str">
        <f>HYPERLINK("https://youtu.be/LMMgYicQ1QM",'Players&gt;List'!$B29)</f>
        <v>[SYS]</v>
      </c>
      <c r="H629" s="1"/>
      <c r="I629" s="1"/>
      <c r="J629" s="1"/>
      <c r="K629" s="1"/>
      <c r="L629" s="1"/>
      <c r="M629" s="1"/>
      <c r="N629" s="1"/>
      <c r="O629" s="1"/>
      <c r="P629" s="1"/>
    </row>
    <row r="630">
      <c r="A630" s="1"/>
      <c r="B630" s="24" t="s">
        <v>2156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"/>
    </row>
    <row r="631">
      <c r="A631" s="1"/>
      <c r="B631" s="4" t="s">
        <v>2157</v>
      </c>
      <c r="D631" s="9"/>
      <c r="E631" s="17" t="s">
        <v>14</v>
      </c>
      <c r="F631" s="18" t="str">
        <f>HYPERLINK("https://youtu.be/Rvoa2_afVWk?t=11",'Players&gt;List'!$B29)</f>
        <v>[SYS]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>
      <c r="A632" s="1"/>
      <c r="B632" s="25" t="s">
        <v>131</v>
      </c>
      <c r="E632" s="26" t="s">
        <v>110</v>
      </c>
      <c r="F632" s="18" t="str">
        <f>HYPERLINK("https://www.youtube.com/watch?v=zdVcUU3ImGA",'Players&gt;List'!$B28)</f>
        <v>[SUN]</v>
      </c>
      <c r="G632" s="18" t="str">
        <f>HYPERLINK("https://youtu.be/LMMgYicQ1QM?t=12",'Players&gt;List'!$B29)</f>
        <v>[SYS]</v>
      </c>
      <c r="H632" s="1"/>
      <c r="I632" s="1"/>
      <c r="J632" s="1"/>
      <c r="K632" s="1"/>
      <c r="L632" s="1"/>
      <c r="M632" s="1"/>
      <c r="N632" s="1"/>
      <c r="O632" s="1"/>
      <c r="P632" s="1"/>
    </row>
    <row r="633">
      <c r="A633" s="1"/>
      <c r="B633" s="24" t="s">
        <v>2160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"/>
    </row>
    <row r="634">
      <c r="A634" s="1"/>
      <c r="B634" s="4" t="s">
        <v>2161</v>
      </c>
      <c r="D634" s="9"/>
      <c r="E634" s="17" t="s">
        <v>14</v>
      </c>
      <c r="F634" s="18" t="str">
        <f>HYPERLINK("https://youtu.be/Rvoa2_afVWk?t=27",'Players&gt;List'!$B29)</f>
        <v>[SYS]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>
      <c r="A635" s="1"/>
      <c r="B635" s="25" t="s">
        <v>88</v>
      </c>
      <c r="E635" s="26" t="s">
        <v>90</v>
      </c>
      <c r="F635" s="18" t="str">
        <f>HYPERLINK("https://youtu.be/LMMgYicQ1QM?t=33",'Players&gt;List'!$B29)</f>
        <v>[SYS]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>
      <c r="A636" s="1"/>
      <c r="B636" s="24" t="s">
        <v>2165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"/>
    </row>
    <row r="637">
      <c r="A637" s="1"/>
      <c r="B637" s="4" t="s">
        <v>2166</v>
      </c>
      <c r="D637" s="9"/>
      <c r="E637" s="17" t="s">
        <v>14</v>
      </c>
      <c r="F637" s="18" t="str">
        <f>HYPERLINK("https://youtu.be/Rvoa2_afVWk?t=56",'Players&gt;List'!$B29)</f>
        <v>[SYS]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>
      <c r="A638" s="1"/>
      <c r="B638" s="25" t="s">
        <v>88</v>
      </c>
      <c r="E638" s="26" t="s">
        <v>90</v>
      </c>
      <c r="F638" s="18" t="str">
        <f>HYPERLINK("https://youtu.be/LMMgYicQ1QM?t=47",'Players&gt;List'!$B29)</f>
        <v>[SYS]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>
      <c r="A639" s="1"/>
      <c r="B639" s="25" t="s">
        <v>2167</v>
      </c>
      <c r="E639" s="26" t="s">
        <v>358</v>
      </c>
      <c r="F639" s="18" t="str">
        <f>HYPERLINK("https://www.youtube.com/watch?v=A_BZrw9CLcw",'Players&gt;List'!$B28)</f>
        <v>[SUN]</v>
      </c>
      <c r="G639" s="18" t="str">
        <f>HYPERLINK("https://youtu.be/LMMgYicQ1QM?t=83",'Players&gt;List'!$B29)</f>
        <v>[SYS]</v>
      </c>
      <c r="H639" s="1"/>
      <c r="I639" s="1"/>
      <c r="J639" s="1"/>
      <c r="K639" s="1"/>
      <c r="L639" s="1"/>
      <c r="M639" s="1"/>
      <c r="N639" s="1"/>
      <c r="O639" s="1"/>
      <c r="P639" s="1"/>
    </row>
    <row r="640">
      <c r="A640" s="1"/>
      <c r="B640" s="24" t="s">
        <v>2170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"/>
    </row>
    <row r="641">
      <c r="A641" s="1"/>
      <c r="B641" s="4" t="s">
        <v>2172</v>
      </c>
      <c r="D641" s="9"/>
      <c r="E641" s="17" t="s">
        <v>14</v>
      </c>
      <c r="F641" s="18" t="str">
        <f>HYPERLINK("https://youtu.be/Rvoa2_afVWk?t=85",'Players&gt;List'!$B29)</f>
        <v>[SYS]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>
      <c r="A642" s="1"/>
      <c r="B642" s="25" t="s">
        <v>117</v>
      </c>
      <c r="E642" s="26" t="s">
        <v>110</v>
      </c>
      <c r="F642" s="18" t="str">
        <f>HYPERLINK("https://youtu.be/LMMgYicQ1QM?t=105",'Players&gt;List'!$B29)</f>
        <v>[SYS]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>
      <c r="A643" s="1"/>
      <c r="B643" s="24" t="s">
        <v>2175</v>
      </c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"/>
    </row>
    <row r="644">
      <c r="A644" s="1"/>
      <c r="B644" s="4" t="s">
        <v>2176</v>
      </c>
      <c r="D644" s="9"/>
      <c r="E644" s="17" t="s">
        <v>14</v>
      </c>
      <c r="F644" s="18" t="str">
        <f>HYPERLINK("https://youtu.be/ITwZOjsgPB4",'Players&gt;List'!$B29)</f>
        <v>[SYS]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>
      <c r="A645" s="1"/>
      <c r="B645" s="25" t="s">
        <v>88</v>
      </c>
      <c r="E645" s="26" t="s">
        <v>90</v>
      </c>
      <c r="F645" s="18" t="str">
        <f>HYPERLINK("https://youtu.be/ZZKbofOJXL0",'Players&gt;List'!$B29)</f>
        <v>[SYS]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>
      <c r="A646" s="1"/>
      <c r="B646" s="24" t="s">
        <v>2178</v>
      </c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"/>
    </row>
    <row r="647">
      <c r="A647" s="1"/>
      <c r="B647" s="4" t="s">
        <v>2180</v>
      </c>
      <c r="D647" s="9"/>
      <c r="E647" s="17" t="s">
        <v>14</v>
      </c>
      <c r="F647" s="18" t="str">
        <f>HYPERLINK("https://youtu.be/ITwZOjsgPB4?t=17",'Players&gt;List'!$B29)</f>
        <v>[SYS]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>
      <c r="A648" s="1"/>
      <c r="B648" s="25" t="s">
        <v>2182</v>
      </c>
      <c r="E648" s="26" t="s">
        <v>380</v>
      </c>
      <c r="F648" s="18" t="str">
        <f>HYPERLINK("https://youtu.be/ZZKbofOJXL0?t=18",'Players&gt;List'!$B29)</f>
        <v>[SYS]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>
      <c r="A649" s="1"/>
      <c r="B649" s="25" t="s">
        <v>2183</v>
      </c>
      <c r="E649" s="26" t="s">
        <v>1418</v>
      </c>
      <c r="F649" s="18" t="str">
        <f>HYPERLINK("https://youtu.be/ZZKbofOJXL0?t=47",'Players&gt;List'!$B29)</f>
        <v>[SYS]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>
      <c r="A650" s="1"/>
      <c r="B650" s="24" t="s">
        <v>2186</v>
      </c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"/>
    </row>
    <row r="651">
      <c r="A651" s="1"/>
      <c r="B651" s="4" t="s">
        <v>2187</v>
      </c>
      <c r="D651" s="9"/>
      <c r="E651" s="17" t="s">
        <v>14</v>
      </c>
      <c r="F651" s="18" t="str">
        <f>HYPERLINK("https://youtu.be/ITwZOjsgPB4?t=44",'Players&gt;List'!$B29)</f>
        <v>[SYS]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>
      <c r="A652" s="1"/>
      <c r="B652" s="25" t="s">
        <v>117</v>
      </c>
      <c r="E652" s="26" t="s">
        <v>110</v>
      </c>
      <c r="F652" s="18" t="str">
        <f>HYPERLINK("https://youtu.be/ZZKbofOJXL0?t=74",'Players&gt;List'!$B29)</f>
        <v>[SYS]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>
      <c r="A653" s="1"/>
      <c r="B653" s="25" t="s">
        <v>88</v>
      </c>
      <c r="E653" s="26" t="s">
        <v>147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>
      <c r="A654" s="1"/>
      <c r="B654" s="25" t="s">
        <v>149</v>
      </c>
      <c r="E654" s="26" t="s">
        <v>147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>
      <c r="A655" s="1"/>
      <c r="B655" s="24" t="s">
        <v>2190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"/>
    </row>
    <row r="656">
      <c r="A656" s="1"/>
      <c r="B656" s="4" t="s">
        <v>2192</v>
      </c>
      <c r="D656" s="9"/>
      <c r="E656" s="17" t="s">
        <v>14</v>
      </c>
      <c r="F656" s="18" t="str">
        <f>HYPERLINK("https://youtu.be/ITwZOjsgPB4?t=72",'Players&gt;List'!$B29)</f>
        <v>[SYS]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>
      <c r="A657" s="1"/>
      <c r="B657" s="25" t="s">
        <v>88</v>
      </c>
      <c r="E657" s="26" t="s">
        <v>90</v>
      </c>
      <c r="F657" s="18" t="str">
        <f>HYPERLINK("https://youtu.be/ZZKbofOJXL0?t=137",'Players&gt;List'!$B29)</f>
        <v>[SYS]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>
      <c r="A658" s="1"/>
      <c r="B658" s="24" t="s">
        <v>2194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"/>
    </row>
    <row r="659">
      <c r="A659" s="1"/>
      <c r="B659" s="4" t="s">
        <v>2196</v>
      </c>
      <c r="D659" s="9"/>
      <c r="E659" s="17" t="s">
        <v>14</v>
      </c>
      <c r="F659" s="18" t="str">
        <f>HYPERLINK("https://youtu.be/ITwZOjsgPB4?t=94",'Players&gt;List'!$B29)</f>
        <v>[SYS]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>
      <c r="A660" s="1"/>
      <c r="B660" s="25" t="s">
        <v>88</v>
      </c>
      <c r="E660" s="26" t="s">
        <v>90</v>
      </c>
      <c r="F660" s="18" t="str">
        <f>HYPERLINK("https://youtu.be/ZZKbofOJXL0?t=165",'Players&gt;List'!$B29)</f>
        <v>[SYS]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>
      <c r="A661" s="1"/>
      <c r="B661" s="25" t="s">
        <v>157</v>
      </c>
      <c r="E661" s="26" t="s">
        <v>132</v>
      </c>
      <c r="F661" s="18" t="str">
        <f>HYPERLINK("https://youtu.be/ZZKbofOJXL0?t=203",'Players&gt;List'!$B29)</f>
        <v>[SYS]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>
      <c r="A662" s="1"/>
      <c r="B662" s="24" t="s">
        <v>2203</v>
      </c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"/>
    </row>
    <row r="663">
      <c r="A663" s="1"/>
      <c r="B663" s="4" t="s">
        <v>2204</v>
      </c>
      <c r="D663" s="9"/>
      <c r="E663" s="17" t="s">
        <v>14</v>
      </c>
      <c r="F663" s="18" t="str">
        <f>HYPERLINK("https://youtu.be/nkKkUm6X9q0",'Players&gt;List'!$B29)</f>
        <v>[SYS]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>
      <c r="A664" s="1"/>
      <c r="B664" s="25" t="s">
        <v>2207</v>
      </c>
      <c r="E664" s="26" t="s">
        <v>380</v>
      </c>
      <c r="F664" s="18" t="str">
        <f>HYPERLINK("https://youtu.be/QKnh1oFvZGM",'Players&gt;List'!$B29)</f>
        <v>[SYS]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>
      <c r="A665" s="1"/>
      <c r="B665" s="25" t="s">
        <v>88</v>
      </c>
      <c r="E665" s="26" t="s">
        <v>147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>
      <c r="A666" s="1"/>
      <c r="B666" s="25" t="s">
        <v>197</v>
      </c>
      <c r="E666" s="26" t="s">
        <v>147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>
      <c r="A667" s="1"/>
      <c r="B667" s="25" t="s">
        <v>117</v>
      </c>
      <c r="E667" s="26" t="s">
        <v>132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>
      <c r="A668" s="1"/>
      <c r="B668" s="25" t="s">
        <v>157</v>
      </c>
      <c r="E668" s="26" t="s">
        <v>132</v>
      </c>
      <c r="F668" s="18" t="str">
        <f>HYPERLINK("https://youtu.be/QKnh1oFvZGM?t=29",'Players&gt;List'!$B29)</f>
        <v>[SYS]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>
      <c r="A669" s="1"/>
      <c r="B669" s="25" t="s">
        <v>2177</v>
      </c>
      <c r="E669" s="26" t="s">
        <v>1418</v>
      </c>
      <c r="F669" s="18" t="str">
        <f>HYPERLINK("https://youtu.be/QKnh1oFvZGM?t=58",'Players&gt;List'!$B29)</f>
        <v>[SYS]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>
      <c r="A670" s="1"/>
      <c r="B670" s="24" t="s">
        <v>2211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"/>
    </row>
    <row r="671">
      <c r="A671" s="1"/>
      <c r="B671" s="4" t="s">
        <v>2214</v>
      </c>
      <c r="D671" s="9"/>
      <c r="E671" s="17" t="s">
        <v>14</v>
      </c>
      <c r="F671" s="18" t="str">
        <f>HYPERLINK("https://youtu.be/nkKkUm6X9q0?t=24",'Players&gt;List'!$B29)</f>
        <v>[SYS]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>
      <c r="A672" s="1"/>
      <c r="B672" s="25" t="s">
        <v>117</v>
      </c>
      <c r="E672" s="26" t="s">
        <v>110</v>
      </c>
      <c r="F672" s="18" t="str">
        <f>HYPERLINK("https://youtu.be/QKnh1oFvZGM?t=87",'Players&gt;List'!$B29)</f>
        <v>[SYS]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>
      <c r="A673" s="1"/>
      <c r="B673" s="24" t="s">
        <v>2218</v>
      </c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"/>
    </row>
    <row r="674">
      <c r="A674" s="1"/>
      <c r="B674" s="4" t="s">
        <v>2219</v>
      </c>
      <c r="D674" s="9"/>
      <c r="E674" s="17" t="s">
        <v>14</v>
      </c>
      <c r="F674" s="18" t="str">
        <f>HYPERLINK("https://www.youtube.com/watch?v=x3SO1lERNEQ",'Players&gt;List'!$B28)</f>
        <v>[SUN]</v>
      </c>
      <c r="G674" s="18" t="str">
        <f>HYPERLINK("https://youtu.be/nkKkUm6X9q0?t=43",'Players&gt;List'!$B29)</f>
        <v>[SYS]</v>
      </c>
      <c r="H674" s="1"/>
      <c r="I674" s="1"/>
      <c r="J674" s="1"/>
      <c r="K674" s="1"/>
      <c r="L674" s="1"/>
      <c r="M674" s="1"/>
      <c r="N674" s="1"/>
      <c r="O674" s="1"/>
      <c r="P674" s="1"/>
    </row>
    <row r="675">
      <c r="A675" s="1"/>
      <c r="B675" s="25" t="s">
        <v>157</v>
      </c>
      <c r="E675" s="26" t="s">
        <v>110</v>
      </c>
      <c r="F675" s="18" t="str">
        <f>HYPERLINK("https://youtu.be/QKnh1oFvZGM?t=122",'Players&gt;List'!$B29)</f>
        <v>[SYS]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>
      <c r="A676" s="1"/>
      <c r="B676" s="25" t="s">
        <v>149</v>
      </c>
      <c r="E676" s="26" t="s">
        <v>147</v>
      </c>
      <c r="F676" s="18" t="str">
        <f>HYPERLINK("https://www.youtube.com/watch?v=x3SO1lERNEQ",'Players&gt;List'!$B28)</f>
        <v>[SUN]</v>
      </c>
      <c r="G676" s="18" t="str">
        <f>HYPERLINK("https://youtu.be/QKnh1oFvZGM?t=147",'Players&gt;List'!$B29)</f>
        <v>[SYS]</v>
      </c>
      <c r="H676" s="1"/>
      <c r="I676" s="1"/>
      <c r="J676" s="1"/>
      <c r="K676" s="1"/>
      <c r="L676" s="1"/>
      <c r="M676" s="1"/>
      <c r="N676" s="1"/>
      <c r="O676" s="1"/>
      <c r="P676" s="1"/>
    </row>
    <row r="677">
      <c r="A677" s="1"/>
      <c r="B677" s="24" t="s">
        <v>2222</v>
      </c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"/>
    </row>
    <row r="678">
      <c r="A678" s="1"/>
      <c r="B678" s="4" t="s">
        <v>2225</v>
      </c>
      <c r="D678" s="9"/>
      <c r="E678" s="17" t="s">
        <v>14</v>
      </c>
      <c r="F678" s="18" t="str">
        <f>HYPERLINK("https://youtu.be/nkKkUm6X9q0?t=68",'Players&gt;List'!$B29)</f>
        <v>[SYS]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>
      <c r="A679" s="1"/>
      <c r="B679" s="25" t="s">
        <v>117</v>
      </c>
      <c r="E679" s="26" t="s">
        <v>110</v>
      </c>
      <c r="F679" s="18" t="str">
        <f>HYPERLINK("https://youtu.be/QKnh1oFvZGM?t=164",'Players&gt;List'!$B29)</f>
        <v>[SYS]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>
      <c r="A680" s="1"/>
      <c r="B680" s="25" t="s">
        <v>157</v>
      </c>
      <c r="E680" s="26" t="s">
        <v>132</v>
      </c>
      <c r="F680" s="18" t="str">
        <f>HYPERLINK("https://youtu.be/QKnh1oFvZGM?t=206",'Players&gt;List'!$B29)</f>
        <v>[SYS]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>
      <c r="A681" s="1"/>
      <c r="B681" s="25" t="s">
        <v>108</v>
      </c>
      <c r="E681" s="26" t="s">
        <v>132</v>
      </c>
      <c r="F681" s="18" t="str">
        <f>HYPERLINK("https://youtu.be/QKnh1oFvZGM?t=271",'Players&gt;List'!$B29)</f>
        <v>[SYS]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>
      <c r="A682" s="1"/>
      <c r="B682" s="25" t="s">
        <v>131</v>
      </c>
      <c r="E682" s="26" t="s">
        <v>132</v>
      </c>
      <c r="F682" s="18" t="str">
        <f>HYPERLINK("https://youtu.be/QKnh1oFvZGM?t=305",'Players&gt;List'!$B29)</f>
        <v>[SYS]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>
      <c r="A683" s="1"/>
      <c r="B683" s="24" t="s">
        <v>2231</v>
      </c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"/>
    </row>
    <row r="684">
      <c r="A684" s="1"/>
      <c r="B684" s="4" t="s">
        <v>2232</v>
      </c>
      <c r="D684" s="9"/>
      <c r="E684" s="17" t="s">
        <v>14</v>
      </c>
      <c r="F684" s="18" t="str">
        <f>HYPERLINK("https://youtu.be/nkKkUm6X9q0?t=120",'Players&gt;List'!$B29)</f>
        <v>[SYS]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>
      <c r="A685" s="1"/>
      <c r="B685" s="25" t="s">
        <v>668</v>
      </c>
      <c r="E685" s="26" t="s">
        <v>234</v>
      </c>
      <c r="F685" s="18" t="str">
        <f>HYPERLINK("https://youtu.be/QKnh1oFvZGM?t=359",'Players&gt;List'!$B29)</f>
        <v>[SYS]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>
      <c r="A686" s="1"/>
      <c r="B686" s="25" t="s">
        <v>671</v>
      </c>
      <c r="E686" s="26" t="s">
        <v>358</v>
      </c>
      <c r="F686" s="18" t="str">
        <f>HYPERLINK("https://youtu.be/QKnh1oFvZGM?t=407",'Players&gt;List'!$B29)</f>
        <v>[SYS]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>
      <c r="A687" s="1"/>
      <c r="B687" s="24" t="s">
        <v>2236</v>
      </c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"/>
    </row>
    <row r="688">
      <c r="A688" s="1"/>
      <c r="B688" s="4" t="s">
        <v>2239</v>
      </c>
      <c r="D688" s="9"/>
      <c r="E688" s="17" t="s">
        <v>14</v>
      </c>
      <c r="F688" s="18" t="str">
        <f>HYPERLINK("https://youtu.be/LW296KZwM-Y",'Players&gt;List'!$B29)</f>
        <v>[SYS]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>
      <c r="A689" s="1"/>
      <c r="B689" s="25" t="s">
        <v>88</v>
      </c>
      <c r="E689" s="26" t="s">
        <v>90</v>
      </c>
      <c r="F689" s="18" t="str">
        <f>HYPERLINK("https://youtu.be/grbXv2vwFPE",'Players&gt;List'!$B29)</f>
        <v>[SYS]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>
      <c r="A690" s="1"/>
      <c r="B690" s="24" t="s">
        <v>2243</v>
      </c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"/>
    </row>
    <row r="691">
      <c r="A691" s="1"/>
      <c r="B691" s="4" t="s">
        <v>2246</v>
      </c>
      <c r="D691" s="9"/>
      <c r="E691" s="17" t="s">
        <v>14</v>
      </c>
      <c r="F691" s="18" t="str">
        <f>HYPERLINK("https://youtu.be/LW296KZwM-Y?t=9",'Players&gt;List'!$B29)</f>
        <v>[SYS]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>
      <c r="A692" s="1"/>
      <c r="B692" s="25" t="s">
        <v>88</v>
      </c>
      <c r="E692" s="26" t="s">
        <v>90</v>
      </c>
      <c r="F692" s="18" t="str">
        <f>HYPERLINK("https://youtu.be/grbXv2vwFPE?t=11",'Players&gt;List'!$B29)</f>
        <v>[SYS]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>
      <c r="A693" s="1"/>
      <c r="B693" s="24" t="s">
        <v>2249</v>
      </c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"/>
    </row>
    <row r="694">
      <c r="A694" s="1"/>
      <c r="B694" s="4" t="s">
        <v>2252</v>
      </c>
      <c r="D694" s="9"/>
      <c r="E694" s="17" t="s">
        <v>14</v>
      </c>
      <c r="F694" s="18" t="str">
        <f>HYPERLINK("https://youtu.be/LW296KZwM-Y?t=36",'Players&gt;List'!$B29)</f>
        <v>[SYS]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>
      <c r="A695" s="1"/>
      <c r="B695" s="25" t="s">
        <v>117</v>
      </c>
      <c r="E695" s="26" t="s">
        <v>110</v>
      </c>
      <c r="F695" s="18" t="str">
        <f>HYPERLINK("https://youtu.be/grbXv2vwFPE?t=31",'Players&gt;List'!$B29)</f>
        <v>[SYS]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>
      <c r="A696" s="1"/>
      <c r="B696" s="25" t="s">
        <v>157</v>
      </c>
      <c r="E696" s="26" t="s">
        <v>132</v>
      </c>
      <c r="F696" s="18" t="str">
        <f>HYPERLINK("https://youtu.be/grbXv2vwFPE?t=89",'Players&gt;List'!$B29)</f>
        <v>[SYS]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>
      <c r="A697" s="1"/>
      <c r="B697" s="24" t="s">
        <v>2255</v>
      </c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"/>
    </row>
    <row r="698">
      <c r="A698" s="1"/>
      <c r="B698" s="4" t="s">
        <v>2256</v>
      </c>
      <c r="D698" s="9"/>
      <c r="E698" s="17" t="s">
        <v>14</v>
      </c>
      <c r="F698" s="18" t="str">
        <f>HYPERLINK("https://youtu.be/LW296KZwM-Y?t=100",'Players&gt;List'!$B29)</f>
        <v>[SYS]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>
      <c r="A699" s="1"/>
      <c r="B699" s="25" t="s">
        <v>149</v>
      </c>
      <c r="E699" s="26" t="s">
        <v>90</v>
      </c>
      <c r="F699" s="18" t="str">
        <f>HYPERLINK("https://youtu.be/grbXv2vwFPE?t=135",'Players&gt;List'!$B29)</f>
        <v>[SYS]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>
      <c r="A700" s="1"/>
      <c r="B700" s="25" t="s">
        <v>108</v>
      </c>
      <c r="E700" s="26" t="s">
        <v>132</v>
      </c>
      <c r="F700" s="18" t="str">
        <f>HYPERLINK("https://youtu.be/grbXv2vwFPE?t=173",'Players&gt;List'!$B29)</f>
        <v>[SYS]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>
      <c r="A701" s="1"/>
      <c r="B701" s="24" t="s">
        <v>2263</v>
      </c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"/>
    </row>
    <row r="702">
      <c r="A702" s="1"/>
      <c r="B702" s="4" t="s">
        <v>2265</v>
      </c>
      <c r="D702" s="9"/>
      <c r="E702" s="17" t="s">
        <v>14</v>
      </c>
      <c r="F702" s="18" t="str">
        <f>HYPERLINK("https://youtu.be/LW296KZwM-Y?t=120",'Players&gt;List'!$B29)</f>
        <v>[SYS]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>
      <c r="A703" s="1"/>
      <c r="B703" s="25" t="s">
        <v>668</v>
      </c>
      <c r="E703" s="26" t="s">
        <v>234</v>
      </c>
      <c r="F703" s="18" t="str">
        <f>HYPERLINK("https://youtu.be/grbXv2vwFPE?t=193",'Players&gt;List'!$B29)</f>
        <v>[SYS]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>
      <c r="A704" s="1"/>
      <c r="B704" s="24" t="s">
        <v>2268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"/>
    </row>
    <row r="705">
      <c r="A705" s="1"/>
      <c r="B705" s="4" t="s">
        <v>2270</v>
      </c>
      <c r="D705" s="9"/>
      <c r="E705" s="17" t="s">
        <v>14</v>
      </c>
      <c r="F705" s="18" t="str">
        <f>HYPERLINK("https://youtu.be/rQtzSBPjc8g",'Players&gt;List'!$B29)</f>
        <v>[SYS]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>
      <c r="A706" s="1"/>
      <c r="B706" s="25" t="s">
        <v>2271</v>
      </c>
      <c r="E706" s="26" t="s">
        <v>380</v>
      </c>
      <c r="F706" s="18" t="str">
        <f>HYPERLINK("https://youtu.be/EY03rSHP3Zo",'Players&gt;List'!$B29)</f>
        <v>[SYS]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>
      <c r="A707" s="1"/>
      <c r="B707" s="25" t="s">
        <v>149</v>
      </c>
      <c r="E707" s="26" t="s">
        <v>147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>
      <c r="A708" s="1"/>
      <c r="B708" s="25" t="s">
        <v>88</v>
      </c>
      <c r="E708" s="26" t="s">
        <v>147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>
      <c r="A709" s="1"/>
      <c r="B709" s="24" t="s">
        <v>2274</v>
      </c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"/>
    </row>
    <row r="710">
      <c r="A710" s="1"/>
      <c r="B710" s="4" t="s">
        <v>2275</v>
      </c>
      <c r="D710" s="9"/>
      <c r="E710" s="17" t="s">
        <v>14</v>
      </c>
      <c r="F710" s="18" t="str">
        <f>HYPERLINK("https://youtu.be/rQtzSBPjc8g?t=24s",'Players&gt;List'!$B29)</f>
        <v>[SYS]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>
      <c r="A711" s="1"/>
      <c r="B711" s="25" t="s">
        <v>117</v>
      </c>
      <c r="E711" s="26" t="s">
        <v>110</v>
      </c>
      <c r="F711" s="18" t="str">
        <f>HYPERLINK("https://youtu.be/EY03rSHP3Zo?t=35",'Players&gt;List'!$B29)</f>
        <v>[SYS]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>
      <c r="A712" s="1"/>
      <c r="B712" s="24" t="s">
        <v>2279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"/>
    </row>
    <row r="713">
      <c r="A713" s="1"/>
      <c r="B713" s="4" t="s">
        <v>2281</v>
      </c>
      <c r="D713" s="9"/>
      <c r="E713" s="17" t="s">
        <v>14</v>
      </c>
      <c r="F713" s="18" t="str">
        <f>HYPERLINK("https://youtu.be/rQtzSBPjc8g?t=44s",'Players&gt;List'!$B29)</f>
        <v>[SYS]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>
      <c r="A714" s="1"/>
      <c r="B714" s="25" t="s">
        <v>117</v>
      </c>
      <c r="E714" s="26" t="s">
        <v>110</v>
      </c>
      <c r="F714" s="18" t="str">
        <f>HYPERLINK("https://youtu.be/EY03rSHP3Zo?t=65",'Players&gt;List'!$B29)</f>
        <v>[SYS]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>
      <c r="A715" s="1"/>
      <c r="B715" s="24" t="s">
        <v>2282</v>
      </c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"/>
    </row>
    <row r="716">
      <c r="A716" s="1"/>
      <c r="B716" s="4" t="s">
        <v>2285</v>
      </c>
      <c r="D716" s="9"/>
      <c r="E716" s="17" t="s">
        <v>14</v>
      </c>
      <c r="F716" s="18" t="str">
        <f>HYPERLINK("https://youtu.be/rQtzSBPjc8g?t=1m19s",'Players&gt;List'!$B29)</f>
        <v>[SYS]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>
      <c r="A717" s="1"/>
      <c r="B717" s="25" t="s">
        <v>1715</v>
      </c>
      <c r="E717" s="26" t="s">
        <v>234</v>
      </c>
      <c r="F717" s="18" t="str">
        <f>HYPERLINK("https://youtu.be/EY03rSHP3Zo?t=98",'Players&gt;List'!$B29)</f>
        <v>[SYS]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>
      <c r="A718" s="1"/>
      <c r="B718" s="25" t="s">
        <v>88</v>
      </c>
      <c r="E718" s="26" t="s">
        <v>147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>
      <c r="A719" s="1"/>
      <c r="B719" s="25" t="s">
        <v>2288</v>
      </c>
      <c r="E719" s="26" t="s">
        <v>132</v>
      </c>
      <c r="F719" s="18" t="str">
        <f>HYPERLINK("https://youtu.be/EY03rSHP3Zo?t=137",'Players&gt;List'!$B29)</f>
        <v>[SYS]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>
      <c r="A720" s="1"/>
      <c r="B720" s="24" t="s">
        <v>2290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"/>
    </row>
    <row r="721">
      <c r="A721" s="1"/>
      <c r="B721" s="4" t="s">
        <v>2292</v>
      </c>
      <c r="D721" s="9"/>
      <c r="E721" s="17" t="s">
        <v>14</v>
      </c>
      <c r="F721" s="18" t="str">
        <f>HYPERLINK("https://youtu.be/rQtzSBPjc8g?t=2m6s",'Players&gt;List'!$B29)</f>
        <v>[SYS]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>
      <c r="A722" s="1"/>
      <c r="B722" s="25" t="s">
        <v>117</v>
      </c>
      <c r="E722" s="26" t="s">
        <v>110</v>
      </c>
      <c r="F722" s="18" t="str">
        <f>HYPERLINK("https://youtu.be/EY03rSHP3Zo?t=167",'Players&gt;List'!$B29)</f>
        <v>[SYS]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>
      <c r="A723" s="1"/>
      <c r="B723" s="25" t="s">
        <v>157</v>
      </c>
      <c r="E723" s="26" t="s">
        <v>132</v>
      </c>
      <c r="F723" s="18" t="str">
        <f>HYPERLINK("https://youtu.be/EY03rSHP3Zo?t=203",'Players&gt;List'!$B29)</f>
        <v>[SYS]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>
      <c r="A724" s="1"/>
      <c r="B724" s="25" t="s">
        <v>2296</v>
      </c>
      <c r="E724" s="26" t="s">
        <v>358</v>
      </c>
      <c r="F724" s="18" t="str">
        <f>HYPERLINK("https://youtu.be/EY03rSHP3Zo?t=234",'Players&gt;List'!$B29)</f>
        <v>[SYS]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>
      <c r="A725" s="1"/>
      <c r="B725" s="25" t="s">
        <v>2299</v>
      </c>
      <c r="E725" s="26" t="s">
        <v>132</v>
      </c>
      <c r="F725" s="18" t="str">
        <f>HYPERLINK("https://youtu.be/EY03rSHP3Zo?t=271",'Players&gt;List'!$B29)</f>
        <v>[SYS]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>
      <c r="A726" s="1"/>
      <c r="B726" s="24" t="s">
        <v>2301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"/>
    </row>
    <row r="727">
      <c r="A727" s="1"/>
      <c r="B727" s="4" t="s">
        <v>2304</v>
      </c>
      <c r="D727" s="9"/>
      <c r="E727" s="17" t="s">
        <v>14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>
      <c r="A728" s="1"/>
      <c r="B728" s="25" t="s">
        <v>131</v>
      </c>
      <c r="E728" s="26" t="s">
        <v>110</v>
      </c>
      <c r="F728" s="18" t="str">
        <f>HYPERLINK("https://www.youtube.com/watch?v=ye2uIc3ZGPU",'Players&gt;List'!$B28)</f>
        <v>[SUN]</v>
      </c>
      <c r="G728" s="18" t="str">
        <f>HYPERLINK("https://youtu.be/Hx0pE_atWqE",'Players&gt;List'!$B29)</f>
        <v>[SYS]</v>
      </c>
      <c r="H728" s="1"/>
      <c r="I728" s="1"/>
      <c r="J728" s="1"/>
      <c r="K728" s="1"/>
      <c r="L728" s="1"/>
      <c r="M728" s="1"/>
      <c r="N728" s="1"/>
      <c r="O728" s="1"/>
      <c r="P728" s="1"/>
    </row>
    <row r="729">
      <c r="A729" s="1"/>
      <c r="B729" s="25" t="s">
        <v>157</v>
      </c>
      <c r="E729" s="26" t="s">
        <v>132</v>
      </c>
      <c r="F729" s="18" t="str">
        <f>HYPERLINK("https://youtu.be/Hx0pE_atWqE?t=26",'Players&gt;List'!$B29)</f>
        <v>[SYS]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>
      <c r="A730" s="1"/>
      <c r="B730" s="24" t="s">
        <v>2312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"/>
    </row>
    <row r="731">
      <c r="A731" s="1"/>
      <c r="B731" s="4" t="s">
        <v>2314</v>
      </c>
      <c r="D731" s="9"/>
      <c r="E731" s="17" t="s">
        <v>14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>
      <c r="A732" s="1"/>
      <c r="B732" s="25" t="s">
        <v>88</v>
      </c>
      <c r="E732" s="26" t="s">
        <v>90</v>
      </c>
      <c r="F732" s="18" t="str">
        <f>HYPERLINK("https://www.youtube.com/watch?v=aPVRBp-N2DQ",'Players&gt;List'!$B28)</f>
        <v>[SUN]</v>
      </c>
      <c r="G732" s="18" t="str">
        <f>HYPERLINK("https://youtu.be/Hx0pE_atWqE?t=52",'Players&gt;List'!$B29)</f>
        <v>[SYS]</v>
      </c>
      <c r="H732" s="1"/>
      <c r="I732" s="1"/>
      <c r="J732" s="1"/>
      <c r="K732" s="1"/>
      <c r="L732" s="1"/>
      <c r="M732" s="1"/>
      <c r="N732" s="1"/>
      <c r="O732" s="1"/>
      <c r="P732" s="1"/>
    </row>
    <row r="733">
      <c r="A733" s="1"/>
      <c r="B733" s="24" t="s">
        <v>2316</v>
      </c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"/>
    </row>
    <row r="734">
      <c r="A734" s="1"/>
      <c r="B734" s="4" t="s">
        <v>2317</v>
      </c>
      <c r="D734" s="9"/>
      <c r="E734" s="17" t="s">
        <v>14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>
      <c r="A735" s="1"/>
      <c r="B735" s="25" t="s">
        <v>88</v>
      </c>
      <c r="E735" s="26" t="s">
        <v>90</v>
      </c>
      <c r="F735" s="18" t="str">
        <f>HYPERLINK("https://www.youtube.com/watch?v=OBHaLEVSQJA",'Players&gt;List'!$B28)</f>
        <v>[SUN]</v>
      </c>
      <c r="G735" s="18" t="str">
        <f>HYPERLINK("https://youtu.be/Hx0pE_atWqE?t=81",'Players&gt;List'!$B29)</f>
        <v>[SYS]</v>
      </c>
      <c r="H735" s="1"/>
      <c r="I735" s="1"/>
      <c r="J735" s="1"/>
      <c r="K735" s="1"/>
      <c r="L735" s="1"/>
      <c r="M735" s="1"/>
      <c r="N735" s="1"/>
      <c r="O735" s="1"/>
      <c r="P735" s="1"/>
    </row>
    <row r="736">
      <c r="A736" s="1"/>
      <c r="B736" s="24" t="s">
        <v>2320</v>
      </c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"/>
    </row>
    <row r="737">
      <c r="A737" s="1"/>
      <c r="B737" s="4" t="s">
        <v>2322</v>
      </c>
      <c r="D737" s="9"/>
      <c r="E737" s="17" t="s">
        <v>14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>
      <c r="A738" s="1"/>
      <c r="B738" s="25" t="s">
        <v>108</v>
      </c>
      <c r="E738" s="26" t="s">
        <v>110</v>
      </c>
      <c r="F738" s="18" t="str">
        <f>HYPERLINK("https://youtu.be/Hx0pE_atWqE?t=90",'Players&gt;List'!$B29)</f>
        <v>[SYS]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>
      <c r="A739" s="1"/>
      <c r="B739" s="24" t="s">
        <v>2326</v>
      </c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"/>
    </row>
    <row r="740">
      <c r="A740" s="1"/>
      <c r="B740" s="4" t="s">
        <v>2327</v>
      </c>
      <c r="D740" s="9"/>
      <c r="E740" s="17" t="s">
        <v>14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>
      <c r="A741" s="1"/>
      <c r="B741" s="25" t="s">
        <v>117</v>
      </c>
      <c r="E741" s="26" t="s">
        <v>110</v>
      </c>
      <c r="F741" s="18" t="str">
        <f>HYPERLINK("https://www.youtube.com/watch?v=zgnZ_3ozXMY",'Players&gt;List'!$B28)</f>
        <v>[SUN]</v>
      </c>
      <c r="G741" s="18" t="str">
        <f>HYPERLINK("https://youtu.be/Hx0pE_atWqE?t=104",'Players&gt;List'!$B29)</f>
        <v>[SYS]</v>
      </c>
      <c r="H741" s="1"/>
      <c r="I741" s="1"/>
      <c r="J741" s="1"/>
      <c r="K741" s="1"/>
      <c r="L741" s="1"/>
      <c r="M741" s="1"/>
      <c r="N741" s="1"/>
      <c r="O741" s="1"/>
      <c r="P741" s="1"/>
    </row>
    <row r="742">
      <c r="A742" s="1"/>
      <c r="B742" s="24" t="s">
        <v>2330</v>
      </c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"/>
    </row>
    <row r="743">
      <c r="A743" s="1"/>
      <c r="B743" s="4" t="s">
        <v>2331</v>
      </c>
      <c r="D743" s="9"/>
      <c r="E743" s="17" t="s">
        <v>14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>
      <c r="A744" s="1"/>
      <c r="B744" s="25" t="s">
        <v>108</v>
      </c>
      <c r="E744" s="26" t="s">
        <v>110</v>
      </c>
      <c r="F744" s="18" t="str">
        <f>HYPERLINK("https://youtu.be/_0JgoiNO8MY",'Players&gt;List'!$B29)</f>
        <v>[SYS]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>
      <c r="A745" s="1"/>
      <c r="B745" s="24" t="s">
        <v>2336</v>
      </c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"/>
    </row>
    <row r="746">
      <c r="A746" s="1"/>
      <c r="B746" s="4" t="s">
        <v>2337</v>
      </c>
      <c r="D746" s="9"/>
      <c r="E746" s="17" t="s">
        <v>14</v>
      </c>
      <c r="F746" s="18" t="str">
        <f>HYPERLINK("https://www.youtube.com/watch?v=kifz3yQIdoE",'Players&gt;List'!$B28)</f>
        <v>[SUN]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>
      <c r="A747" s="1"/>
      <c r="B747" s="25" t="s">
        <v>157</v>
      </c>
      <c r="E747" s="26" t="s">
        <v>110</v>
      </c>
      <c r="F747" s="18" t="str">
        <f>HYPERLINK("https://youtu.be/_0JgoiNO8MY?t=21",'Players&gt;List'!$B29)</f>
        <v>[SYS]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>
      <c r="A748" s="1"/>
      <c r="B748" s="24" t="s">
        <v>2338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"/>
    </row>
    <row r="749">
      <c r="A749" s="1"/>
      <c r="B749" s="4" t="s">
        <v>2340</v>
      </c>
      <c r="D749" s="9"/>
      <c r="E749" s="17" t="s">
        <v>14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>
      <c r="A750" s="1"/>
      <c r="B750" s="25" t="s">
        <v>117</v>
      </c>
      <c r="E750" s="26" t="s">
        <v>110</v>
      </c>
      <c r="F750" s="18" t="str">
        <f>HYPERLINK("https://youtu.be/_0JgoiNO8MY?t=34",'Players&gt;List'!$B29)</f>
        <v>[SYS]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>
      <c r="A751" s="1"/>
      <c r="B751" s="24" t="s">
        <v>2344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"/>
    </row>
    <row r="752">
      <c r="A752" s="1"/>
      <c r="B752" s="4" t="s">
        <v>2345</v>
      </c>
      <c r="D752" s="9"/>
      <c r="E752" s="17" t="s">
        <v>14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>
      <c r="A753" s="1"/>
      <c r="B753" s="25" t="s">
        <v>117</v>
      </c>
      <c r="E753" s="26" t="s">
        <v>110</v>
      </c>
      <c r="F753" s="18" t="str">
        <f>HYPERLINK("https://youtu.be/_0JgoiNO8MY?t=70",'Players&gt;List'!$B29)</f>
        <v>[SYS]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>
      <c r="A754" s="1"/>
      <c r="B754" s="24" t="s">
        <v>2350</v>
      </c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"/>
    </row>
    <row r="755">
      <c r="A755" s="1"/>
      <c r="B755" s="4" t="s">
        <v>2351</v>
      </c>
      <c r="D755" s="9"/>
      <c r="E755" s="17" t="s">
        <v>14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>
      <c r="A756" s="1"/>
      <c r="B756" s="25" t="s">
        <v>149</v>
      </c>
      <c r="E756" s="26" t="s">
        <v>90</v>
      </c>
      <c r="F756" s="18" t="str">
        <f>HYPERLINK("https://youtu.be/_0JgoiNO8MY?t=96",'Players&gt;List'!$B29)</f>
        <v>[SYS]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>
      <c r="A757" s="1"/>
      <c r="B757" s="24" t="s">
        <v>2354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"/>
    </row>
    <row r="758">
      <c r="A758" s="1"/>
      <c r="B758" s="4" t="s">
        <v>2355</v>
      </c>
      <c r="D758" s="9"/>
      <c r="E758" s="17" t="s">
        <v>14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>
      <c r="A759" s="1"/>
      <c r="B759" s="25" t="s">
        <v>117</v>
      </c>
      <c r="E759" s="26" t="s">
        <v>110</v>
      </c>
      <c r="F759" s="18" t="str">
        <f>HYPERLINK("https://www.youtube.com/watch?v=cEuiaHYyQFU",'Players&gt;List'!$B28)</f>
        <v>[SUN]</v>
      </c>
      <c r="G759" s="18" t="str">
        <f>HYPERLINK("https://youtu.be/2UsSeN1cQt4",'Players&gt;List'!$B29)</f>
        <v>[SYS]</v>
      </c>
      <c r="H759" s="1"/>
      <c r="I759" s="1"/>
      <c r="J759" s="1"/>
      <c r="K759" s="1"/>
      <c r="L759" s="1"/>
      <c r="M759" s="1"/>
      <c r="N759" s="1"/>
      <c r="O759" s="1"/>
      <c r="P759" s="1"/>
    </row>
    <row r="760">
      <c r="A760" s="1"/>
      <c r="B760" s="24" t="s">
        <v>2360</v>
      </c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"/>
    </row>
    <row r="761">
      <c r="A761" s="1"/>
      <c r="B761" s="4" t="s">
        <v>2361</v>
      </c>
      <c r="D761" s="9"/>
      <c r="E761" s="17" t="s">
        <v>14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>
      <c r="A762" s="1"/>
      <c r="B762" s="25" t="s">
        <v>88</v>
      </c>
      <c r="E762" s="26" t="s">
        <v>90</v>
      </c>
      <c r="F762" s="18" t="str">
        <f>HYPERLINK("https://www.youtube.com/watch?v=ChTRafCDxZI",'Players&gt;List'!$B28)</f>
        <v>[SUN]</v>
      </c>
      <c r="G762" s="18" t="str">
        <f>HYPERLINK("https://youtu.be/2UsSeN1cQt4?t=20",'Players&gt;List'!$B29)</f>
        <v>[SYS]</v>
      </c>
      <c r="H762" s="1"/>
      <c r="I762" s="1"/>
      <c r="J762" s="1"/>
      <c r="K762" s="1"/>
      <c r="L762" s="1"/>
      <c r="M762" s="1"/>
      <c r="N762" s="1"/>
      <c r="O762" s="1"/>
      <c r="P762" s="1"/>
    </row>
    <row r="763">
      <c r="A763" s="1"/>
      <c r="B763" s="24" t="s">
        <v>2362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"/>
    </row>
    <row r="764">
      <c r="A764" s="1"/>
      <c r="B764" s="4" t="s">
        <v>2367</v>
      </c>
      <c r="D764" s="9"/>
      <c r="E764" s="17" t="s">
        <v>14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>
      <c r="A765" s="1"/>
      <c r="B765" s="25" t="s">
        <v>117</v>
      </c>
      <c r="E765" s="26" t="s">
        <v>110</v>
      </c>
      <c r="F765" s="18" t="str">
        <f>HYPERLINK("https://youtu.be/2UsSeN1cQt4?t=36",'Players&gt;List'!$B29)</f>
        <v>[SYS]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>
      <c r="A766" s="1"/>
      <c r="B766" s="25" t="s">
        <v>88</v>
      </c>
      <c r="E766" s="26" t="s">
        <v>147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>
      <c r="A767" s="1"/>
      <c r="B767" s="24" t="s">
        <v>2369</v>
      </c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"/>
    </row>
    <row r="768">
      <c r="A768" s="1"/>
      <c r="B768" s="4" t="s">
        <v>2371</v>
      </c>
      <c r="D768" s="9"/>
      <c r="E768" s="17" t="s">
        <v>14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>
      <c r="A769" s="1"/>
      <c r="B769" s="25" t="s">
        <v>117</v>
      </c>
      <c r="E769" s="26" t="s">
        <v>110</v>
      </c>
      <c r="F769" s="18" t="str">
        <f>HYPERLINK("https://www.youtube.com/watch?v=_8zxxV8mrCs",'Players&gt;List'!$B18)</f>
        <v>[HGB]</v>
      </c>
      <c r="G769" s="18" t="str">
        <f>HYPERLINK("https://youtu.be/2UsSeN1cQt4?t=121",'Players&gt;List'!$B29)</f>
        <v>[SYS]</v>
      </c>
      <c r="H769" s="1"/>
      <c r="I769" s="1"/>
      <c r="J769" s="1"/>
      <c r="K769" s="1"/>
      <c r="L769" s="1"/>
      <c r="M769" s="1"/>
      <c r="N769" s="1"/>
      <c r="O769" s="1"/>
      <c r="P769" s="1"/>
    </row>
    <row r="770">
      <c r="A770" s="1"/>
      <c r="B770" s="25" t="s">
        <v>157</v>
      </c>
      <c r="E770" s="26" t="s">
        <v>132</v>
      </c>
      <c r="F770" s="18" t="str">
        <f>HYPERLINK("https://youtu.be/2UsSeN1cQt4?t=180",'Players&gt;List'!$B29)</f>
        <v>[SYS]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>
      <c r="A771" s="1"/>
      <c r="B771" s="24" t="s">
        <v>2373</v>
      </c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"/>
    </row>
    <row r="772">
      <c r="A772" s="1"/>
      <c r="B772" s="4" t="s">
        <v>2375</v>
      </c>
      <c r="D772" s="9"/>
      <c r="E772" s="17" t="s">
        <v>14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>
      <c r="A773" s="1"/>
      <c r="B773" s="25" t="s">
        <v>117</v>
      </c>
      <c r="E773" s="26" t="s">
        <v>110</v>
      </c>
      <c r="F773" s="18" t="str">
        <f>HYPERLINK("https://youtu.be/2UsSeN1cQt4?t=215",'Players&gt;List'!$B29)</f>
        <v>[SYS]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>
      <c r="A774" s="1"/>
      <c r="B774" s="25" t="s">
        <v>149</v>
      </c>
      <c r="E774" s="26" t="s">
        <v>147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>
      <c r="A775" s="1"/>
      <c r="B775" s="24" t="s">
        <v>2378</v>
      </c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"/>
    </row>
    <row r="776">
      <c r="A776" s="1"/>
      <c r="B776" s="4" t="s">
        <v>2381</v>
      </c>
      <c r="D776" s="9"/>
      <c r="E776" s="17" t="s">
        <v>14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>
      <c r="A777" s="1"/>
      <c r="B777" s="25" t="s">
        <v>88</v>
      </c>
      <c r="E777" s="26" t="s">
        <v>90</v>
      </c>
      <c r="F777" s="18" t="str">
        <f>HYPERLINK("https://youtu.be/2qeFYkND3-o",'Players&gt;List'!$B29)</f>
        <v>[SYS]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>
      <c r="A778" s="1"/>
      <c r="B778" s="24" t="s">
        <v>2383</v>
      </c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"/>
    </row>
    <row r="779">
      <c r="A779" s="1"/>
      <c r="B779" s="4" t="s">
        <v>2386</v>
      </c>
      <c r="D779" s="9"/>
      <c r="E779" s="17" t="s">
        <v>14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>
      <c r="A780" s="1"/>
      <c r="B780" s="25" t="s">
        <v>88</v>
      </c>
      <c r="E780" s="26" t="s">
        <v>90</v>
      </c>
      <c r="F780" s="18" t="str">
        <f>HYPERLINK("https://youtu.be/2qeFYkND3-o?t=30",'Players&gt;List'!$B29)</f>
        <v>[SYS]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>
      <c r="A781" s="1"/>
      <c r="B781" s="24" t="s">
        <v>2389</v>
      </c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"/>
    </row>
    <row r="782">
      <c r="A782" s="1"/>
      <c r="B782" s="4" t="s">
        <v>2391</v>
      </c>
      <c r="D782" s="9"/>
      <c r="E782" s="17" t="s">
        <v>14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>
      <c r="A783" s="1"/>
      <c r="B783" s="25" t="s">
        <v>668</v>
      </c>
      <c r="E783" s="26" t="s">
        <v>234</v>
      </c>
      <c r="F783" s="18" t="str">
        <f>HYPERLINK("https://youtu.be/2qeFYkND3-o?t=47",'Players&gt;List'!$B29)</f>
        <v>[SYS]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>
      <c r="A784" s="1"/>
      <c r="B784" s="25" t="s">
        <v>2393</v>
      </c>
      <c r="E784" s="26" t="s">
        <v>358</v>
      </c>
      <c r="F784" s="18" t="str">
        <f>HYPERLINK("https://youtu.be/2qeFYkND3-o?t=65",'Players&gt;List'!$B29)</f>
        <v>[SYS]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>
      <c r="A785" s="1"/>
      <c r="B785" s="25" t="s">
        <v>149</v>
      </c>
      <c r="E785" s="26" t="s">
        <v>147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>
      <c r="A786" s="1"/>
      <c r="B786" s="25" t="s">
        <v>197</v>
      </c>
      <c r="E786" s="26" t="s">
        <v>147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>
      <c r="A787" s="1"/>
      <c r="B787" s="25" t="s">
        <v>88</v>
      </c>
      <c r="E787" s="26" t="s">
        <v>147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>
      <c r="A788" s="1"/>
      <c r="B788" s="24" t="s">
        <v>2398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"/>
    </row>
    <row r="789">
      <c r="A789" s="1"/>
      <c r="B789" s="4" t="s">
        <v>2400</v>
      </c>
      <c r="D789" s="9"/>
      <c r="E789" s="17" t="s">
        <v>14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>
      <c r="A790" s="1"/>
      <c r="B790" s="25" t="s">
        <v>108</v>
      </c>
      <c r="E790" s="26" t="s">
        <v>110</v>
      </c>
      <c r="F790" s="18" t="str">
        <f>HYPERLINK("https://youtu.be/2qeFYkND3-o?t=80",'Players&gt;List'!$B29)</f>
        <v>[SYS]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>
      <c r="A791" s="1"/>
      <c r="B791" s="25" t="s">
        <v>131</v>
      </c>
      <c r="E791" s="26" t="s">
        <v>132</v>
      </c>
      <c r="F791" s="18" t="str">
        <f>HYPERLINK("https://youtu.be/2qeFYkND3-o?t=97",'Players&gt;List'!$B29)</f>
        <v>[SYS]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>
      <c r="A792" s="1"/>
      <c r="B792" s="24" t="s">
        <v>2405</v>
      </c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"/>
    </row>
    <row r="793">
      <c r="A793" s="1"/>
      <c r="B793" s="4" t="s">
        <v>2407</v>
      </c>
      <c r="D793" s="9"/>
      <c r="E793" s="17" t="s">
        <v>14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>
      <c r="A794" s="1"/>
      <c r="B794" s="25" t="s">
        <v>117</v>
      </c>
      <c r="E794" s="26" t="s">
        <v>110</v>
      </c>
      <c r="F794" s="18" t="str">
        <f>HYPERLINK("https://youtu.be/2qeFYkND3-o?t=132",'Players&gt;List'!$B29)</f>
        <v>[SYS]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>
      <c r="A795" s="1"/>
      <c r="B795" s="25" t="s">
        <v>108</v>
      </c>
      <c r="E795" s="26" t="s">
        <v>132</v>
      </c>
      <c r="F795" s="18" t="str">
        <f>HYPERLINK("https://youtu.be/2qeFYkND3-o?t=180",'Players&gt;List'!$B29)</f>
        <v>[SYS]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>
      <c r="A796" s="1"/>
      <c r="B796" s="24" t="s">
        <v>2410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"/>
    </row>
    <row r="797">
      <c r="A797" s="1"/>
      <c r="B797" s="4" t="s">
        <v>2411</v>
      </c>
      <c r="D797" s="9"/>
      <c r="E797" s="17" t="s">
        <v>14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>
      <c r="A798" s="1"/>
      <c r="B798" s="25" t="s">
        <v>149</v>
      </c>
      <c r="E798" s="26" t="s">
        <v>90</v>
      </c>
      <c r="F798" s="18" t="str">
        <f>HYPERLINK("https://www.youtube.com/watch?v=FWEkgRxqDMw",'Players&gt;List'!$B18)</f>
        <v>[HGB]</v>
      </c>
      <c r="G798" s="18" t="str">
        <f>HYPERLINK("https://www.youtube.com/watch?v=4o2CfywUZDY",'Players&gt;List'!$B19)</f>
        <v>[HIT]</v>
      </c>
      <c r="H798" s="1"/>
      <c r="I798" s="1"/>
      <c r="J798" s="1"/>
      <c r="K798" s="1"/>
      <c r="L798" s="1"/>
      <c r="M798" s="1"/>
      <c r="N798" s="1"/>
      <c r="O798" s="1"/>
      <c r="P798" s="1"/>
    </row>
    <row r="799">
      <c r="A799" s="1"/>
      <c r="B799" s="24" t="s">
        <v>2413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"/>
    </row>
    <row r="800">
      <c r="A800" s="1"/>
      <c r="B800" s="4" t="s">
        <v>2415</v>
      </c>
      <c r="D800" s="9"/>
      <c r="E800" s="17" t="s">
        <v>14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>
      <c r="A801" s="1"/>
      <c r="B801" s="25" t="s">
        <v>668</v>
      </c>
      <c r="E801" s="26" t="s">
        <v>234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>
      <c r="A802" s="1"/>
      <c r="B802" s="25" t="s">
        <v>149</v>
      </c>
      <c r="E802" s="26" t="s">
        <v>147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>
      <c r="A803" s="1"/>
      <c r="B803" s="25" t="s">
        <v>1715</v>
      </c>
      <c r="E803" s="26" t="s">
        <v>358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>
      <c r="A804" s="1"/>
      <c r="B804" s="24" t="s">
        <v>2416</v>
      </c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"/>
    </row>
    <row r="805">
      <c r="A805" s="1"/>
      <c r="B805" s="4" t="s">
        <v>2418</v>
      </c>
      <c r="D805" s="9"/>
      <c r="E805" s="17" t="s">
        <v>14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>
      <c r="A806" s="1"/>
      <c r="B806" s="25" t="s">
        <v>88</v>
      </c>
      <c r="E806" s="26" t="s">
        <v>90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>
      <c r="A807" s="1"/>
      <c r="B807" s="24" t="s">
        <v>2420</v>
      </c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"/>
    </row>
    <row r="808">
      <c r="A808" s="1"/>
      <c r="B808" s="4" t="s">
        <v>2422</v>
      </c>
      <c r="D808" s="9"/>
      <c r="E808" s="17" t="s">
        <v>14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>
      <c r="A809" s="1"/>
      <c r="B809" s="25" t="s">
        <v>88</v>
      </c>
      <c r="E809" s="26" t="s">
        <v>90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>
      <c r="A810" s="1"/>
      <c r="B810" s="24" t="s">
        <v>2424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"/>
    </row>
    <row r="811">
      <c r="A811" s="1"/>
      <c r="B811" s="4" t="s">
        <v>2425</v>
      </c>
      <c r="D811" s="9"/>
      <c r="E811" s="17" t="s">
        <v>14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>
      <c r="A812" s="1"/>
      <c r="B812" s="25" t="s">
        <v>1715</v>
      </c>
      <c r="E812" s="26" t="s">
        <v>234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>
      <c r="A813" s="1"/>
      <c r="B813" s="25" t="s">
        <v>149</v>
      </c>
      <c r="E813" s="26" t="s">
        <v>147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>
      <c r="A814" s="1"/>
      <c r="B814" s="24" t="s">
        <v>2426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"/>
    </row>
    <row r="815">
      <c r="A815" s="1"/>
      <c r="B815" s="4" t="s">
        <v>2427</v>
      </c>
      <c r="D815" s="9"/>
      <c r="E815" s="17" t="s">
        <v>14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>
      <c r="A816" s="1"/>
      <c r="B816" s="25" t="s">
        <v>108</v>
      </c>
      <c r="E816" s="26" t="s">
        <v>110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>
      <c r="A817" s="1"/>
      <c r="B817" s="25" t="s">
        <v>131</v>
      </c>
      <c r="E817" s="26" t="s">
        <v>132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>
      <c r="A818" s="1"/>
      <c r="B818" s="24" t="s">
        <v>2428</v>
      </c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"/>
    </row>
    <row r="819">
      <c r="A819" s="1"/>
      <c r="B819" s="4" t="s">
        <v>2431</v>
      </c>
      <c r="D819" s="9"/>
      <c r="E819" s="17" t="s">
        <v>14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>
      <c r="A820" s="1"/>
      <c r="B820" s="25" t="s">
        <v>117</v>
      </c>
      <c r="E820" s="26" t="s">
        <v>110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>
      <c r="A821" s="1"/>
      <c r="B821" s="25" t="s">
        <v>88</v>
      </c>
      <c r="E821" s="26" t="s">
        <v>147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>
      <c r="A822" s="1"/>
      <c r="B822" s="25" t="s">
        <v>149</v>
      </c>
      <c r="E822" s="26" t="s">
        <v>147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>
      <c r="A823" s="1"/>
      <c r="B823" s="24" t="s">
        <v>2434</v>
      </c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"/>
    </row>
    <row r="824">
      <c r="A824" s="1"/>
      <c r="B824" s="4" t="s">
        <v>2435</v>
      </c>
      <c r="D824" s="9"/>
      <c r="E824" s="17" t="s">
        <v>14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>
      <c r="A825" s="1"/>
      <c r="B825" s="25" t="s">
        <v>117</v>
      </c>
      <c r="E825" s="26" t="s">
        <v>110</v>
      </c>
      <c r="F825" s="18" t="str">
        <f>HYPERLINK("https://youtu.be/6S1Lz8xbrQs",'Players&gt;List'!$B18)</f>
        <v>[HGB]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>
      <c r="A826" s="1"/>
      <c r="B826" s="25" t="s">
        <v>149</v>
      </c>
      <c r="E826" s="26" t="s">
        <v>147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>
      <c r="A827" s="1"/>
      <c r="B827" s="24" t="s">
        <v>2438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"/>
    </row>
    <row r="828">
      <c r="A828" s="1"/>
      <c r="B828" s="4" t="s">
        <v>2440</v>
      </c>
      <c r="D828" s="9"/>
      <c r="E828" s="17" t="s">
        <v>14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>
      <c r="A829" s="1"/>
      <c r="B829" s="25" t="s">
        <v>117</v>
      </c>
      <c r="E829" s="26" t="s">
        <v>110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>
      <c r="A830" s="1"/>
      <c r="B830" s="25" t="s">
        <v>157</v>
      </c>
      <c r="E830" s="26" t="s">
        <v>132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>
      <c r="A831" s="1"/>
      <c r="B831" s="24" t="s">
        <v>2444</v>
      </c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"/>
    </row>
    <row r="832">
      <c r="A832" s="1"/>
      <c r="B832" s="4" t="s">
        <v>2446</v>
      </c>
      <c r="D832" s="9"/>
      <c r="E832" s="17" t="s">
        <v>14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>
      <c r="A833" s="1"/>
      <c r="B833" s="25" t="s">
        <v>117</v>
      </c>
      <c r="E833" s="26" t="s">
        <v>110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>
      <c r="A834" s="1"/>
      <c r="B834" s="24" t="s">
        <v>2448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"/>
    </row>
    <row r="835">
      <c r="A835" s="1"/>
      <c r="B835" s="4" t="s">
        <v>2449</v>
      </c>
      <c r="D835" s="9"/>
      <c r="E835" s="17" t="s">
        <v>14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>
      <c r="A836" s="1"/>
      <c r="B836" s="25" t="s">
        <v>88</v>
      </c>
      <c r="E836" s="26" t="s">
        <v>90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>
      <c r="A837" s="1"/>
      <c r="B837" s="24" t="s">
        <v>2450</v>
      </c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"/>
    </row>
    <row r="838">
      <c r="A838" s="1"/>
      <c r="B838" s="4" t="s">
        <v>2452</v>
      </c>
      <c r="D838" s="9"/>
      <c r="E838" s="17" t="s">
        <v>14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>
      <c r="A839" s="1"/>
      <c r="B839" s="25" t="s">
        <v>88</v>
      </c>
      <c r="E839" s="26" t="s">
        <v>90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>
      <c r="A840" s="1"/>
      <c r="B840" s="24" t="s">
        <v>2454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"/>
    </row>
    <row r="841">
      <c r="A841" s="1"/>
      <c r="B841" s="4" t="s">
        <v>2456</v>
      </c>
      <c r="D841" s="9"/>
      <c r="E841" s="17" t="s">
        <v>14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>
      <c r="A842" s="1"/>
      <c r="B842" s="25" t="s">
        <v>117</v>
      </c>
      <c r="E842" s="26" t="s">
        <v>110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>
      <c r="A843" s="1"/>
      <c r="B843" s="25" t="s">
        <v>88</v>
      </c>
      <c r="E843" s="26" t="s">
        <v>147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>
      <c r="A844" s="1"/>
      <c r="B844" s="25" t="s">
        <v>149</v>
      </c>
      <c r="E844" s="26" t="s">
        <v>147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>
      <c r="A845" s="1"/>
      <c r="B845" s="24" t="s">
        <v>2458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"/>
    </row>
    <row r="846">
      <c r="A846" s="1"/>
      <c r="B846" s="4" t="s">
        <v>2459</v>
      </c>
      <c r="D846" s="9"/>
      <c r="E846" s="17" t="s">
        <v>14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>
      <c r="A847" s="1"/>
      <c r="B847" s="25" t="s">
        <v>131</v>
      </c>
      <c r="E847" s="26" t="s">
        <v>110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>
      <c r="A848" s="1"/>
      <c r="B848" s="25" t="s">
        <v>108</v>
      </c>
      <c r="E848" s="26" t="s">
        <v>132</v>
      </c>
      <c r="F848" s="18" t="str">
        <f>HYPERLINK("https://www.youtube.com/watch?v=HxuOWl4t87o",'Players&gt;List'!$B18)</f>
        <v>[HGB]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>
      <c r="A849" s="1"/>
      <c r="B849" s="24" t="s">
        <v>2462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"/>
    </row>
    <row r="850">
      <c r="A850" s="1"/>
      <c r="B850" s="4" t="s">
        <v>2465</v>
      </c>
      <c r="D850" s="9"/>
      <c r="E850" s="17" t="s">
        <v>14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>
      <c r="A851" s="1"/>
      <c r="B851" s="25" t="s">
        <v>117</v>
      </c>
      <c r="E851" s="26" t="s">
        <v>110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>
      <c r="A852" s="1"/>
      <c r="B852" s="24" t="s">
        <v>2466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"/>
    </row>
    <row r="853">
      <c r="A853" s="1"/>
      <c r="B853" s="4" t="s">
        <v>2467</v>
      </c>
      <c r="D853" s="9"/>
      <c r="E853" s="17" t="s">
        <v>14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>
      <c r="A854" s="1"/>
      <c r="B854" s="25" t="s">
        <v>117</v>
      </c>
      <c r="E854" s="26" t="s">
        <v>110</v>
      </c>
      <c r="F854" s="18" t="str">
        <f>HYPERLINK("https://youtu.be/Icr20m7AWDo",'Players&gt;List'!$B29)</f>
        <v>[SYS]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>
      <c r="A855" s="1"/>
      <c r="B855" s="25" t="s">
        <v>88</v>
      </c>
      <c r="E855" s="26" t="s">
        <v>147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>
      <c r="A856" s="1"/>
      <c r="B856" s="25" t="s">
        <v>149</v>
      </c>
      <c r="E856" s="26" t="s">
        <v>147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>
      <c r="A857" s="1"/>
      <c r="B857" s="24" t="s">
        <v>2470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"/>
    </row>
    <row r="858">
      <c r="A858" s="1"/>
      <c r="B858" s="4" t="s">
        <v>2472</v>
      </c>
      <c r="D858" s="9"/>
      <c r="E858" s="17" t="s">
        <v>14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>
      <c r="A859" s="1"/>
      <c r="B859" s="25" t="s">
        <v>117</v>
      </c>
      <c r="E859" s="26" t="s">
        <v>110</v>
      </c>
      <c r="F859" s="18" t="str">
        <f>HYPERLINK("https://www.youtube.com/watch?v=-A6Grd9_5sE",'Players&gt;List'!$B23)</f>
        <v>[MOL]</v>
      </c>
      <c r="G859" s="18" t="str">
        <f>HYPERLINK("https://www.twitch.tv/videos/87264772",'Players&gt;List'!$B32)</f>
        <v>[XEL]</v>
      </c>
      <c r="H859" s="18" t="str">
        <f>HYPERLINK("https://www.youtube.com/watch?v=FqNuvuVy3J0",'Players&gt;List'!$B19)</f>
        <v>[HIT]</v>
      </c>
      <c r="I859" s="18" t="str">
        <f>HYPERLINK("https://www.twitch.tv/videos/208307786",'Players&gt;List'!$B17)</f>
        <v>[GOL]</v>
      </c>
      <c r="J859" s="18" t="str">
        <f>HYPERLINK("https://youtu.be/wSoNa7E4d3k?t=53",'Players&gt;List'!$B16)</f>
        <v>[GEA]</v>
      </c>
      <c r="K859" s="18" t="str">
        <f>HYPERLINK("https://www.twitch.tv/videos/306899799",'Players&gt;List'!$B9)</f>
        <v>[AWE]</v>
      </c>
      <c r="L859" s="18" t="str">
        <f>HYPERLINK("https://www.twitch.tv/videos/335474160",'Players&gt;List'!$B24)</f>
        <v>[NIM]</v>
      </c>
      <c r="M859" s="18" t="str">
        <f>HYPERLINK("https://www.youtube.com/watch?v=LyyDblprPSE",'Players&gt;List'!$B14)</f>
        <v>[ESP]</v>
      </c>
      <c r="N859" s="18" t="str">
        <f>HYPERLINK("https://youtu.be/Icr20m7AWDo?t=50",'Players&gt;List'!$B29)</f>
        <v>[SYS]</v>
      </c>
      <c r="O859" s="1"/>
      <c r="P859" s="1"/>
    </row>
    <row r="860">
      <c r="A860" s="1"/>
      <c r="B860" s="25" t="s">
        <v>157</v>
      </c>
      <c r="E860" s="26" t="s">
        <v>132</v>
      </c>
      <c r="F860" s="18" t="str">
        <f>HYPERLINK("https://youtu.be/Icr20m7AWDo?t=154",'Players&gt;List'!$B29)</f>
        <v>[SYS]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>
      <c r="A861" s="1"/>
      <c r="B861" s="24" t="s">
        <v>2479</v>
      </c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"/>
    </row>
    <row r="862">
      <c r="A862" s="1"/>
      <c r="B862" s="4" t="s">
        <v>2481</v>
      </c>
      <c r="D862" s="9"/>
      <c r="E862" s="17" t="s">
        <v>14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>
      <c r="A863" s="1"/>
      <c r="B863" s="25" t="s">
        <v>668</v>
      </c>
      <c r="E863" s="26" t="s">
        <v>234</v>
      </c>
      <c r="F863" s="18" t="str">
        <f>HYPERLINK("https://youtu.be/Icr20m7AWDo?t=184",'Players&gt;List'!$B29)</f>
        <v>[SYS]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>
      <c r="A864" s="1"/>
      <c r="B864" s="25" t="s">
        <v>157</v>
      </c>
      <c r="E864" s="26" t="s">
        <v>132</v>
      </c>
      <c r="F864" s="18" t="str">
        <f>HYPERLINK("https://youtu.be/Icr20m7AWDo?t=216",'Players&gt;List'!$B29)</f>
        <v>[SYS]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>
      <c r="A865" s="1"/>
      <c r="B865" s="24" t="s">
        <v>2484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"/>
    </row>
    <row r="866">
      <c r="A866" s="1"/>
      <c r="B866" s="4" t="s">
        <v>2485</v>
      </c>
      <c r="D866" s="9"/>
      <c r="E866" s="17" t="s">
        <v>14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>
      <c r="A867" s="1"/>
      <c r="B867" s="25" t="s">
        <v>117</v>
      </c>
      <c r="E867" s="26" t="s">
        <v>110</v>
      </c>
      <c r="F867" s="18" t="str">
        <f>HYPERLINK("https://youtu.be/Icr20m7AWDo?t=268",'Players&gt;List'!$B29)</f>
        <v>[SYS]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>
      <c r="A868" s="1"/>
      <c r="B868" s="24" t="s">
        <v>2487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"/>
    </row>
    <row r="869">
      <c r="A869" s="1"/>
      <c r="B869" s="4" t="s">
        <v>2489</v>
      </c>
      <c r="D869" s="9"/>
      <c r="E869" s="17" t="s">
        <v>14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>
      <c r="A870" s="1"/>
      <c r="B870" s="25" t="s">
        <v>108</v>
      </c>
      <c r="E870" s="26" t="s">
        <v>110</v>
      </c>
      <c r="F870" s="18" t="str">
        <f>HYPERLINK("https://youtu.be/Icr20m7AWDo?t=295",'Players&gt;List'!$B29)</f>
        <v>[SYS]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>
      <c r="A871" s="1"/>
      <c r="B871" s="24" t="s">
        <v>2492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"/>
    </row>
    <row r="872">
      <c r="A872" s="1"/>
      <c r="B872" s="4" t="s">
        <v>2495</v>
      </c>
      <c r="D872" s="9"/>
      <c r="E872" s="17" t="s">
        <v>14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>
      <c r="A873" s="1"/>
      <c r="B873" s="25" t="s">
        <v>157</v>
      </c>
      <c r="E873" s="26" t="s">
        <v>110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>
      <c r="A874" s="1"/>
      <c r="B874" s="24" t="s">
        <v>2497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"/>
    </row>
    <row r="875">
      <c r="A875" s="1"/>
      <c r="B875" s="4" t="s">
        <v>2498</v>
      </c>
      <c r="D875" s="9"/>
      <c r="E875" s="17" t="s">
        <v>14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>
      <c r="A876" s="1"/>
      <c r="B876" s="25" t="s">
        <v>117</v>
      </c>
      <c r="E876" s="26" t="s">
        <v>110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>
      <c r="A877" s="1"/>
      <c r="B877" s="25" t="s">
        <v>131</v>
      </c>
      <c r="E877" s="26" t="s">
        <v>132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>
      <c r="A878" s="1"/>
      <c r="B878" s="24" t="s">
        <v>2499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"/>
    </row>
    <row r="879">
      <c r="A879" s="1"/>
      <c r="B879" s="4" t="s">
        <v>2501</v>
      </c>
      <c r="D879" s="9"/>
      <c r="E879" s="17" t="s">
        <v>14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>
      <c r="A880" s="1"/>
      <c r="B880" s="25" t="s">
        <v>88</v>
      </c>
      <c r="E880" s="26" t="s">
        <v>90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>
      <c r="A881" s="1"/>
      <c r="B881" s="24" t="s">
        <v>2504</v>
      </c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"/>
    </row>
    <row r="882">
      <c r="A882" s="1"/>
      <c r="B882" s="4" t="s">
        <v>2508</v>
      </c>
      <c r="D882" s="9"/>
      <c r="E882" s="17" t="s">
        <v>14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>
      <c r="A883" s="1"/>
      <c r="B883" s="25" t="s">
        <v>117</v>
      </c>
      <c r="E883" s="26" t="s">
        <v>110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>
      <c r="A884" s="1"/>
      <c r="B884" s="24" t="s">
        <v>2509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"/>
    </row>
    <row r="885">
      <c r="A885" s="1"/>
      <c r="B885" s="4" t="s">
        <v>2511</v>
      </c>
      <c r="D885" s="9"/>
      <c r="E885" s="17" t="s">
        <v>14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>
      <c r="A886" s="1"/>
      <c r="B886" s="25" t="s">
        <v>157</v>
      </c>
      <c r="E886" s="26" t="s">
        <v>110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>
      <c r="A887" s="1"/>
      <c r="B887" s="24" t="s">
        <v>2513</v>
      </c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"/>
    </row>
    <row r="888">
      <c r="A888" s="1"/>
      <c r="B888" s="4" t="s">
        <v>2515</v>
      </c>
      <c r="D888" s="9"/>
      <c r="E888" s="17" t="s">
        <v>14</v>
      </c>
      <c r="F888" s="18" t="str">
        <f>HYPERLINK("https://www.youtube.com/watch?v=Ov8TYbzGL3U",'Players&gt;List'!$B28)</f>
        <v>[SUN]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>
      <c r="A889" s="1"/>
      <c r="B889" s="25" t="s">
        <v>149</v>
      </c>
      <c r="E889" s="26" t="s">
        <v>90</v>
      </c>
      <c r="F889" s="18" t="str">
        <f>HYPERLINK("https://www.youtube.com/watch?v=Ov8TYbzGL3U",'Players&gt;List'!$B28)</f>
        <v>[SUN]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>
      <c r="A890" s="1"/>
      <c r="B890" s="24" t="s">
        <v>2519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"/>
    </row>
    <row r="891">
      <c r="A891" s="1"/>
      <c r="B891" s="4" t="s">
        <v>2520</v>
      </c>
      <c r="D891" s="9"/>
      <c r="E891" s="17" t="s">
        <v>14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>
      <c r="A892" s="1"/>
      <c r="B892" s="25" t="s">
        <v>2393</v>
      </c>
      <c r="E892" s="26" t="s">
        <v>234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>
      <c r="A893" s="1"/>
      <c r="B893" s="25" t="s">
        <v>668</v>
      </c>
      <c r="E893" s="26" t="s">
        <v>358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>
      <c r="A894" s="1"/>
      <c r="B894" s="24" t="s">
        <v>2521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"/>
    </row>
    <row r="895">
      <c r="A895" s="1"/>
      <c r="B895" s="4" t="s">
        <v>2522</v>
      </c>
      <c r="D895" s="9"/>
      <c r="E895" s="17" t="s">
        <v>14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>
      <c r="A896" s="1"/>
      <c r="B896" s="25" t="s">
        <v>157</v>
      </c>
      <c r="E896" s="26" t="s">
        <v>110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>
      <c r="A897" s="1"/>
      <c r="B897" s="25" t="s">
        <v>117</v>
      </c>
      <c r="E897" s="26" t="s">
        <v>132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>
      <c r="A898" s="1"/>
      <c r="B898" s="24" t="s">
        <v>2525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"/>
    </row>
    <row r="899">
      <c r="A899" s="1"/>
      <c r="B899" s="4" t="s">
        <v>2527</v>
      </c>
      <c r="D899" s="9"/>
      <c r="E899" s="17" t="s">
        <v>14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>
      <c r="A900" s="1"/>
      <c r="B900" s="25" t="s">
        <v>117</v>
      </c>
      <c r="E900" s="26" t="s">
        <v>110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>
      <c r="A901" s="1"/>
      <c r="B901" s="24" t="s">
        <v>2529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"/>
    </row>
    <row r="902">
      <c r="A902" s="1"/>
      <c r="B902" s="4" t="s">
        <v>2530</v>
      </c>
      <c r="D902" s="9"/>
      <c r="E902" s="17" t="s">
        <v>14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>
      <c r="A903" s="1"/>
      <c r="B903" s="25" t="s">
        <v>117</v>
      </c>
      <c r="E903" s="26" t="s">
        <v>110</v>
      </c>
      <c r="F903" s="18" t="str">
        <f>HYPERLINK("https://www.twitch.tv/videos/309292684",'Players&gt;List'!$B24)</f>
        <v>[NIM]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>
      <c r="A904" s="1"/>
      <c r="B904" s="25" t="s">
        <v>108</v>
      </c>
      <c r="E904" s="26" t="s">
        <v>132</v>
      </c>
      <c r="F904" s="18" t="str">
        <f>HYPERLINK("https://www.twitch.tv/videos/309292685",'Players&gt;List'!$B24)</f>
        <v>[NIM]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>
      <c r="A905" s="1"/>
      <c r="B905" s="25" t="s">
        <v>88</v>
      </c>
      <c r="E905" s="26" t="s">
        <v>147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>
      <c r="A906" s="1"/>
      <c r="B906" s="25" t="s">
        <v>197</v>
      </c>
      <c r="E906" s="26" t="s">
        <v>147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>
      <c r="A907" s="1"/>
      <c r="B907" s="24" t="s">
        <v>2534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"/>
    </row>
    <row r="908">
      <c r="A908" s="1"/>
      <c r="B908" s="4" t="s">
        <v>2536</v>
      </c>
      <c r="D908" s="9"/>
      <c r="E908" s="17" t="s">
        <v>14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>
      <c r="A909" s="1"/>
      <c r="B909" s="25" t="s">
        <v>117</v>
      </c>
      <c r="E909" s="26" t="s">
        <v>110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>
      <c r="A910" s="1"/>
      <c r="B910" s="24" t="s">
        <v>2538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"/>
    </row>
    <row r="911">
      <c r="A911" s="1"/>
      <c r="B911" s="4" t="s">
        <v>2539</v>
      </c>
      <c r="D911" s="9"/>
      <c r="E911" s="17" t="s">
        <v>14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>
      <c r="A912" s="1"/>
      <c r="B912" s="25" t="s">
        <v>117</v>
      </c>
      <c r="E912" s="26" t="s">
        <v>110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>
      <c r="A913" s="1"/>
      <c r="B913" s="24" t="s">
        <v>2542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"/>
    </row>
    <row r="914">
      <c r="A914" s="1"/>
      <c r="B914" s="4" t="s">
        <v>2544</v>
      </c>
      <c r="D914" s="9"/>
      <c r="E914" s="17" t="s">
        <v>14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>
      <c r="A915" s="1"/>
      <c r="B915" s="25" t="s">
        <v>117</v>
      </c>
      <c r="E915" s="26" t="s">
        <v>110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>
      <c r="A916" s="1"/>
      <c r="B916" s="24" t="s">
        <v>2546</v>
      </c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"/>
    </row>
    <row r="917">
      <c r="A917" s="1"/>
      <c r="B917" s="4" t="s">
        <v>2547</v>
      </c>
      <c r="D917" s="9"/>
      <c r="E917" s="17" t="s">
        <v>14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>
      <c r="A918" s="1"/>
      <c r="B918" s="25" t="s">
        <v>149</v>
      </c>
      <c r="E918" s="26" t="s">
        <v>90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>
      <c r="A919" s="1"/>
      <c r="B919" s="25" t="s">
        <v>88</v>
      </c>
      <c r="E919" s="26" t="s">
        <v>147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>
      <c r="A920" s="1"/>
      <c r="B920" s="25" t="s">
        <v>157</v>
      </c>
      <c r="E920" s="26" t="s">
        <v>132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>
      <c r="A921" s="1"/>
      <c r="B921" s="24" t="s">
        <v>2550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"/>
    </row>
    <row r="922">
      <c r="A922" s="1"/>
      <c r="B922" s="4" t="s">
        <v>2553</v>
      </c>
      <c r="D922" s="9"/>
      <c r="E922" s="17" t="s">
        <v>14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>
      <c r="A923" s="1"/>
      <c r="B923" s="25" t="s">
        <v>668</v>
      </c>
      <c r="E923" s="26" t="s">
        <v>234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>
      <c r="A924" s="1"/>
      <c r="B924" s="24" t="s">
        <v>2554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"/>
    </row>
    <row r="925">
      <c r="A925" s="1"/>
      <c r="B925" s="4" t="s">
        <v>2555</v>
      </c>
      <c r="D925" s="9"/>
      <c r="E925" s="17" t="s">
        <v>14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>
      <c r="A926" s="1"/>
      <c r="B926" s="25" t="s">
        <v>117</v>
      </c>
      <c r="E926" s="26" t="s">
        <v>110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>
      <c r="A927" s="1"/>
      <c r="B927" s="24" t="s">
        <v>2558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"/>
    </row>
    <row r="928">
      <c r="A928" s="1"/>
      <c r="B928" s="4" t="s">
        <v>2559</v>
      </c>
      <c r="D928" s="9"/>
      <c r="E928" s="17" t="s">
        <v>14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>
      <c r="A929" s="1"/>
      <c r="B929" s="25" t="s">
        <v>117</v>
      </c>
      <c r="E929" s="26" t="s">
        <v>110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>
      <c r="A930" s="1"/>
      <c r="B930" s="25" t="s">
        <v>157</v>
      </c>
      <c r="E930" s="26" t="s">
        <v>132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>
      <c r="A931" s="1"/>
      <c r="B931" s="24" t="s">
        <v>2562</v>
      </c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"/>
    </row>
    <row r="932">
      <c r="A932" s="1"/>
      <c r="B932" s="4" t="s">
        <v>2565</v>
      </c>
      <c r="D932" s="9"/>
      <c r="E932" s="17" t="s">
        <v>14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>
      <c r="A933" s="1"/>
      <c r="B933" s="25" t="s">
        <v>117</v>
      </c>
      <c r="E933" s="26" t="s">
        <v>110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>
      <c r="A934" s="1"/>
      <c r="B934" s="24" t="s">
        <v>2566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"/>
    </row>
    <row r="935">
      <c r="A935" s="1"/>
      <c r="B935" s="4" t="s">
        <v>2567</v>
      </c>
      <c r="D935" s="9"/>
      <c r="E935" s="17" t="s">
        <v>14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>
      <c r="A936" s="1"/>
      <c r="B936" s="25" t="s">
        <v>108</v>
      </c>
      <c r="E936" s="26" t="s">
        <v>110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>
      <c r="A937" s="1"/>
      <c r="B937" s="25" t="s">
        <v>88</v>
      </c>
      <c r="E937" s="26" t="s">
        <v>147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>
      <c r="A938" s="1"/>
      <c r="B938" s="25" t="s">
        <v>149</v>
      </c>
      <c r="E938" s="26" t="s">
        <v>147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>
      <c r="A939" s="1"/>
      <c r="B939" s="25" t="s">
        <v>197</v>
      </c>
      <c r="E939" s="26" t="s">
        <v>147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>
      <c r="A940" s="1"/>
      <c r="B940" s="25" t="s">
        <v>117</v>
      </c>
      <c r="E940" s="26" t="s">
        <v>132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>
      <c r="A941" s="1"/>
      <c r="B941" s="25" t="s">
        <v>157</v>
      </c>
      <c r="E941" s="26" t="s">
        <v>132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>
      <c r="A942" s="1"/>
      <c r="B942" s="24" t="s">
        <v>2570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"/>
    </row>
    <row r="943">
      <c r="A943" s="1"/>
      <c r="B943" s="4" t="s">
        <v>2573</v>
      </c>
      <c r="D943" s="9"/>
      <c r="E943" s="17" t="s">
        <v>14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>
      <c r="A944" s="1"/>
      <c r="B944" s="25" t="s">
        <v>157</v>
      </c>
      <c r="E944" s="26" t="s">
        <v>110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>
      <c r="A945" s="1"/>
      <c r="B945" s="25" t="s">
        <v>117</v>
      </c>
      <c r="E945" s="26" t="s">
        <v>132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>
      <c r="A946" s="1"/>
      <c r="B946" s="24" t="s">
        <v>2574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"/>
    </row>
    <row r="947">
      <c r="A947" s="1"/>
      <c r="B947" s="4" t="s">
        <v>2575</v>
      </c>
      <c r="D947" s="9"/>
      <c r="E947" s="17" t="s">
        <v>14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>
      <c r="A948" s="1"/>
      <c r="B948" s="25" t="s">
        <v>149</v>
      </c>
      <c r="E948" s="26" t="s">
        <v>90</v>
      </c>
      <c r="F948" s="18" t="str">
        <f>HYPERLINK("https://www.youtube.com/watch?v=cylPxDzld9M",'Players&gt;List'!$B18)</f>
        <v>[HGB]</v>
      </c>
      <c r="G948" s="18" t="str">
        <f>HYPERLINK("https://www.youtube.com/watch?v=PjaNnLl4yR0&amp;t=0s",'Players&gt;List'!$B23)</f>
        <v>[MOL]</v>
      </c>
      <c r="H948" s="18" t="str">
        <f>HYPERLINK("https://www.youtube.com/watch?v=UvBt-mi__fg",'Players&gt;List'!$B19)</f>
        <v>[HIT]</v>
      </c>
      <c r="I948" s="18" t="str">
        <f>HYPERLINK("https://www.twitch.tv/videos/335500372",'Players&gt;List'!$B24)</f>
        <v>[NIM]</v>
      </c>
      <c r="J948" s="18" t="str">
        <f>HYPERLINK("https://www.twitch.tv/videos/392169138?collection=oQVne6T1iRWqEw",'Players&gt;List'!$B30)</f>
        <v>[TST]</v>
      </c>
      <c r="K948" s="1"/>
      <c r="L948" s="1"/>
      <c r="M948" s="1"/>
      <c r="N948" s="1"/>
      <c r="O948" s="1"/>
      <c r="P948" s="1"/>
    </row>
    <row r="949">
      <c r="A949" s="1"/>
      <c r="B949" s="25" t="s">
        <v>88</v>
      </c>
      <c r="E949" s="26" t="s">
        <v>147</v>
      </c>
      <c r="F949" s="18" t="str">
        <f>HYPERLINK("https://www.twitch.tv/videos/392169484?collection=oQVne6T1iRWqEw",'Players&gt;List'!$B30)</f>
        <v>[TST]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>
      <c r="A950" s="1"/>
      <c r="B950" s="24" t="s">
        <v>2583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"/>
    </row>
    <row r="951">
      <c r="A951" s="1"/>
      <c r="B951" s="4" t="s">
        <v>2586</v>
      </c>
      <c r="D951" s="9"/>
      <c r="E951" s="17" t="s">
        <v>14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>
      <c r="A952" s="1"/>
      <c r="B952" s="25" t="s">
        <v>88</v>
      </c>
      <c r="E952" s="26" t="s">
        <v>90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>
      <c r="A953" s="1"/>
      <c r="B953" s="24" t="s">
        <v>2588</v>
      </c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"/>
    </row>
    <row r="954">
      <c r="A954" s="1"/>
      <c r="B954" s="4" t="s">
        <v>2590</v>
      </c>
      <c r="D954" s="9"/>
      <c r="E954" s="17" t="s">
        <v>14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>
      <c r="A955" s="1"/>
      <c r="B955" s="25" t="s">
        <v>108</v>
      </c>
      <c r="E955" s="26" t="s">
        <v>110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>
      <c r="A956" s="1"/>
      <c r="B956" s="24" t="s">
        <v>2592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"/>
    </row>
    <row r="957">
      <c r="A957" s="1"/>
      <c r="B957" s="4" t="s">
        <v>2593</v>
      </c>
      <c r="D957" s="9"/>
      <c r="E957" s="17" t="s">
        <v>14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>
      <c r="A958" s="1"/>
      <c r="B958" s="25" t="s">
        <v>387</v>
      </c>
      <c r="E958" s="26" t="s">
        <v>110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>
      <c r="A959" s="1"/>
      <c r="B959" s="25" t="s">
        <v>88</v>
      </c>
      <c r="E959" s="26" t="s">
        <v>147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>
      <c r="A960" s="1"/>
      <c r="B960" s="24" t="s">
        <v>2595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"/>
    </row>
    <row r="961">
      <c r="A961" s="1"/>
      <c r="B961" s="4" t="s">
        <v>2597</v>
      </c>
      <c r="D961" s="9"/>
      <c r="E961" s="17" t="s">
        <v>14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>
      <c r="A962" s="1"/>
      <c r="B962" s="25" t="s">
        <v>2305</v>
      </c>
      <c r="E962" s="26" t="s">
        <v>234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>
      <c r="A963" s="1"/>
      <c r="B963" s="24" t="s">
        <v>2598</v>
      </c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"/>
    </row>
    <row r="964">
      <c r="A964" s="1"/>
      <c r="B964" s="4" t="s">
        <v>2599</v>
      </c>
      <c r="D964" s="9"/>
      <c r="E964" s="17" t="s">
        <v>14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>
      <c r="A965" s="1"/>
      <c r="B965" s="25" t="s">
        <v>117</v>
      </c>
      <c r="E965" s="26" t="s">
        <v>110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>
      <c r="A966" s="1"/>
      <c r="B966" s="25" t="s">
        <v>157</v>
      </c>
      <c r="E966" s="26" t="s">
        <v>132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>
      <c r="A967" s="1"/>
      <c r="B967" s="24" t="s">
        <v>2603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"/>
    </row>
    <row r="968">
      <c r="A968" s="1"/>
      <c r="B968" s="4" t="s">
        <v>2605</v>
      </c>
      <c r="D968" s="9"/>
      <c r="E968" s="17" t="s">
        <v>14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>
      <c r="A969" s="1"/>
      <c r="B969" s="25" t="s">
        <v>488</v>
      </c>
      <c r="E969" s="26" t="s">
        <v>234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>
      <c r="A970" s="1"/>
      <c r="B970" s="25" t="s">
        <v>400</v>
      </c>
      <c r="E970" s="26" t="s">
        <v>358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>
      <c r="A971" s="1"/>
      <c r="B971" s="24" t="s">
        <v>2606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"/>
    </row>
    <row r="972">
      <c r="A972" s="1"/>
      <c r="B972" s="4" t="s">
        <v>2608</v>
      </c>
      <c r="D972" s="9"/>
      <c r="E972" s="17" t="s">
        <v>14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>
      <c r="A973" s="1"/>
      <c r="B973" s="25" t="s">
        <v>88</v>
      </c>
      <c r="E973" s="26" t="s">
        <v>90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>
      <c r="A974" s="1"/>
      <c r="B974" s="24" t="s">
        <v>2610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"/>
    </row>
    <row r="975">
      <c r="A975" s="1"/>
      <c r="B975" s="4" t="s">
        <v>2611</v>
      </c>
      <c r="D975" s="9"/>
      <c r="E975" s="17" t="s">
        <v>14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>
      <c r="A976" s="1"/>
      <c r="B976" s="25" t="s">
        <v>131</v>
      </c>
      <c r="E976" s="26" t="s">
        <v>110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>
      <c r="A977" s="1"/>
      <c r="B977" s="25" t="s">
        <v>108</v>
      </c>
      <c r="E977" s="26" t="s">
        <v>132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>
      <c r="A978" s="1"/>
      <c r="B978" s="24" t="s">
        <v>2613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"/>
    </row>
    <row r="979">
      <c r="A979" s="1"/>
      <c r="B979" s="4" t="s">
        <v>2616</v>
      </c>
      <c r="D979" s="9"/>
      <c r="E979" s="17" t="s">
        <v>14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>
      <c r="A980" s="1"/>
      <c r="B980" s="25" t="s">
        <v>117</v>
      </c>
      <c r="E980" s="26" t="s">
        <v>110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>
      <c r="A981" s="1"/>
      <c r="B981" s="25" t="s">
        <v>149</v>
      </c>
      <c r="E981" s="26" t="s">
        <v>147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>
      <c r="A982" s="1"/>
      <c r="B982" s="25" t="s">
        <v>108</v>
      </c>
      <c r="E982" s="26" t="s">
        <v>132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>
      <c r="A983" s="1"/>
      <c r="B983" s="24" t="s">
        <v>2620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"/>
    </row>
    <row r="984">
      <c r="A984" s="1"/>
      <c r="B984" s="4" t="s">
        <v>2622</v>
      </c>
      <c r="D984" s="9"/>
      <c r="E984" s="17" t="s">
        <v>14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>
      <c r="A985" s="1"/>
      <c r="B985" s="25" t="s">
        <v>88</v>
      </c>
      <c r="E985" s="26" t="s">
        <v>90</v>
      </c>
      <c r="F985" s="18" t="str">
        <f>HYPERLINK("https://www.youtube.com/watch?v=g_GXQRZedoU",'Players&gt;List'!$B28)</f>
        <v>[SUN]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>
      <c r="A986" s="1"/>
      <c r="B986" s="24" t="s">
        <v>2623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"/>
    </row>
    <row r="987">
      <c r="A987" s="1"/>
      <c r="B987" s="4" t="s">
        <v>2626</v>
      </c>
      <c r="D987" s="9"/>
      <c r="E987" s="17" t="s">
        <v>14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>
      <c r="A988" s="1"/>
      <c r="B988" s="25" t="s">
        <v>117</v>
      </c>
      <c r="E988" s="26" t="s">
        <v>110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>
      <c r="A989" s="1"/>
      <c r="B989" s="24" t="s">
        <v>2628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"/>
    </row>
    <row r="990">
      <c r="A990" s="1"/>
      <c r="B990" s="4" t="s">
        <v>2630</v>
      </c>
      <c r="D990" s="9"/>
      <c r="E990" s="17" t="s">
        <v>14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>
      <c r="A991" s="1"/>
      <c r="B991" s="25" t="s">
        <v>117</v>
      </c>
      <c r="E991" s="26" t="s">
        <v>110</v>
      </c>
      <c r="F991" s="18" t="str">
        <f>HYPERLINK("https://www.youtube.com/watch?v=tVo9qwsifu8",'Players&gt;List'!$B18)</f>
        <v>[HGB]</v>
      </c>
      <c r="G991" s="18" t="str">
        <f>HYPERLINK("https://www.youtube.com/watch?v=gMvUoYnsj4E&amp;t=0s",'Players&gt;List'!$B23)</f>
        <v>[MOL]</v>
      </c>
      <c r="H991" s="18" t="str">
        <f>HYPERLINK("https://www.twitch.tv/videos/307325482",'Players&gt;List'!$B9)</f>
        <v>[AWE]</v>
      </c>
      <c r="I991" s="1"/>
      <c r="J991" s="1"/>
      <c r="K991" s="1"/>
      <c r="L991" s="1"/>
      <c r="M991" s="1"/>
      <c r="N991" s="1"/>
      <c r="O991" s="1"/>
      <c r="P991" s="1"/>
    </row>
    <row r="992">
      <c r="A992" s="1"/>
      <c r="B992" s="25" t="s">
        <v>197</v>
      </c>
      <c r="E992" s="26" t="s">
        <v>147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>
      <c r="A993" s="1"/>
      <c r="B993" s="25" t="s">
        <v>88</v>
      </c>
      <c r="E993" s="26" t="s">
        <v>147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>
      <c r="A994" s="1"/>
      <c r="B994" s="24" t="s">
        <v>2637</v>
      </c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"/>
    </row>
    <row r="995">
      <c r="A995" s="1"/>
      <c r="B995" s="4" t="s">
        <v>2639</v>
      </c>
      <c r="D995" s="9"/>
      <c r="E995" s="17" t="s">
        <v>14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>
      <c r="A996" s="1"/>
      <c r="B996" s="25" t="s">
        <v>88</v>
      </c>
      <c r="E996" s="26" t="s">
        <v>90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>
      <c r="A997" s="1"/>
      <c r="B997" s="24" t="s">
        <v>2641</v>
      </c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"/>
    </row>
    <row r="998">
      <c r="A998" s="1"/>
      <c r="B998" s="4" t="s">
        <v>2642</v>
      </c>
      <c r="D998" s="9"/>
      <c r="E998" s="17" t="s">
        <v>14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>
      <c r="A999" s="1"/>
      <c r="B999" s="25" t="s">
        <v>1715</v>
      </c>
      <c r="E999" s="26" t="s">
        <v>234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>
      <c r="A1000" s="1"/>
      <c r="B1000" s="25" t="s">
        <v>149</v>
      </c>
      <c r="E1000" s="26" t="s">
        <v>147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>
      <c r="A1001" s="1"/>
      <c r="B1001" s="25" t="s">
        <v>117</v>
      </c>
      <c r="E1001" s="26" t="s">
        <v>132</v>
      </c>
      <c r="F1001" s="18" t="str">
        <f>HYPERLINK("https://www.twitch.tv/videos/307325483",'Players&gt;List'!$B9)</f>
        <v>[AWE]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>
      <c r="A1002" s="1"/>
      <c r="B1002" s="25" t="s">
        <v>157</v>
      </c>
      <c r="E1002" s="26" t="s">
        <v>132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>
      <c r="A1003" s="1"/>
      <c r="B1003" s="24" t="s">
        <v>2647</v>
      </c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"/>
    </row>
    <row r="1004">
      <c r="A1004" s="1"/>
      <c r="B1004" s="4" t="s">
        <v>2648</v>
      </c>
      <c r="D1004" s="9"/>
      <c r="E1004" s="17" t="s">
        <v>14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>
      <c r="A1005" s="1"/>
      <c r="B1005" s="25" t="s">
        <v>117</v>
      </c>
      <c r="E1005" s="26" t="s">
        <v>110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>
      <c r="A1006" s="1"/>
      <c r="B1006" s="25" t="s">
        <v>157</v>
      </c>
      <c r="E1006" s="26" t="s">
        <v>132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>
      <c r="A1007" s="1"/>
      <c r="B1007" s="24" t="s">
        <v>2651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"/>
    </row>
    <row r="1008">
      <c r="A1008" s="1"/>
      <c r="B1008" s="4" t="s">
        <v>2652</v>
      </c>
      <c r="D1008" s="9"/>
      <c r="E1008" s="17" t="s">
        <v>14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>
      <c r="A1009" s="1"/>
      <c r="B1009" s="25" t="s">
        <v>88</v>
      </c>
      <c r="E1009" s="26" t="s">
        <v>90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>
      <c r="A1010" s="1"/>
      <c r="B1010" s="24" t="s">
        <v>2654</v>
      </c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"/>
    </row>
    <row r="1011">
      <c r="A1011" s="1"/>
      <c r="B1011" s="4" t="s">
        <v>2656</v>
      </c>
      <c r="D1011" s="9"/>
      <c r="E1011" s="17" t="s">
        <v>14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>
      <c r="A1012" s="1"/>
      <c r="B1012" s="25" t="s">
        <v>117</v>
      </c>
      <c r="E1012" s="26" t="s">
        <v>110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>
      <c r="A1013" s="1"/>
      <c r="B1013" s="25" t="s">
        <v>233</v>
      </c>
      <c r="E1013" s="26" t="s">
        <v>358</v>
      </c>
      <c r="F1013" s="18" t="str">
        <f>HYPERLINK("https://youtu.be/6ikaYIGXolA",'Players&gt;List'!$B23)</f>
        <v>[MOL]</v>
      </c>
      <c r="G1013" s="18" t="str">
        <f>HYPERLINK("https://youtu.be/6vAl_YpIFd4",'Players&gt;List'!$B19)</f>
        <v>[HIT]</v>
      </c>
      <c r="H1013" s="18" t="str">
        <f>HYPERLINK("https://www.twitch.tv/videos/214019250",'Players&gt;List'!$B17)</f>
        <v>[GOL]</v>
      </c>
      <c r="I1013" s="18" t="str">
        <f>HYPERLINK("https://www.twitch.tv/videos/308631662",'Players&gt;List'!$B9)</f>
        <v>[AWE]</v>
      </c>
      <c r="J1013" s="18" t="str">
        <f>HYPERLINK("https://youtu.be/o-W7YcmCFVs",'Players&gt;List'!$B27)</f>
        <v>[SKY]</v>
      </c>
      <c r="K1013" s="18" t="str">
        <f>HYPERLINK("https://www.youtube.com/watch?v=BttRZEHygus",'Players&gt;List'!$B28)</f>
        <v>[SUN]</v>
      </c>
      <c r="L1013" s="18" t="str">
        <f>HYPERLINK("https://www.youtube.com/watch?v=EHhGGVbPQdM",'Players&gt;List'!$B25)</f>
        <v>[PBR]</v>
      </c>
      <c r="M1013" s="1"/>
      <c r="N1013" s="1"/>
      <c r="O1013" s="1"/>
      <c r="P1013" s="1"/>
    </row>
    <row r="1014">
      <c r="A1014" s="1"/>
      <c r="B1014" s="24" t="s">
        <v>2663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"/>
    </row>
    <row r="1015">
      <c r="A1015" s="1"/>
      <c r="B1015" s="4" t="s">
        <v>2665</v>
      </c>
      <c r="D1015" s="9"/>
      <c r="E1015" s="17" t="s">
        <v>14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>
      <c r="A1016" s="1"/>
      <c r="B1016" s="25" t="s">
        <v>2213</v>
      </c>
      <c r="E1016" s="26" t="s">
        <v>90</v>
      </c>
      <c r="F1016" s="18" t="str">
        <f>HYPERLINK("https://www.youtube.com/watch?v=Gp1DdLiDRJg",'Players&gt;List'!$B19)</f>
        <v>[HIT]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>
      <c r="A1017" s="1"/>
      <c r="B1017" s="24" t="s">
        <v>2668</v>
      </c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"/>
    </row>
    <row r="1018">
      <c r="A1018" s="1"/>
      <c r="B1018" s="4" t="s">
        <v>2669</v>
      </c>
      <c r="D1018" s="9"/>
      <c r="E1018" s="17" t="s">
        <v>14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>
      <c r="A1019" s="1"/>
      <c r="B1019" s="25" t="s">
        <v>88</v>
      </c>
      <c r="E1019" s="26" t="s">
        <v>90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>
      <c r="A1020" s="1"/>
      <c r="B1020" s="24" t="s">
        <v>2672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"/>
    </row>
    <row r="1021">
      <c r="A1021" s="1"/>
      <c r="B1021" s="4" t="s">
        <v>2674</v>
      </c>
      <c r="D1021" s="9"/>
      <c r="E1021" s="17" t="s">
        <v>14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>
      <c r="A1022" s="1"/>
      <c r="B1022" s="25" t="s">
        <v>671</v>
      </c>
      <c r="E1022" s="26" t="s">
        <v>234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>
      <c r="A1023" s="1"/>
      <c r="B1023" s="25" t="s">
        <v>668</v>
      </c>
      <c r="E1023" s="26" t="s">
        <v>358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>
      <c r="A1024" s="1"/>
      <c r="B1024" s="24" t="s">
        <v>2675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"/>
    </row>
    <row r="1025">
      <c r="A1025" s="1"/>
      <c r="B1025" s="4" t="s">
        <v>2677</v>
      </c>
      <c r="D1025" s="9"/>
      <c r="E1025" s="17" t="s">
        <v>14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>
      <c r="A1026" s="1"/>
      <c r="B1026" s="25" t="s">
        <v>149</v>
      </c>
      <c r="E1026" s="26" t="s">
        <v>90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>
      <c r="A1027" s="1"/>
      <c r="B1027" s="24" t="s">
        <v>2679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"/>
    </row>
    <row r="1028">
      <c r="A1028" s="1"/>
      <c r="B1028" s="4" t="s">
        <v>2680</v>
      </c>
      <c r="D1028" s="9"/>
      <c r="E1028" s="17" t="s">
        <v>14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>
      <c r="A1029" s="1"/>
      <c r="B1029" s="25" t="s">
        <v>108</v>
      </c>
      <c r="E1029" s="26" t="s">
        <v>110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>
      <c r="A1030" s="1"/>
      <c r="B1030" s="25" t="s">
        <v>131</v>
      </c>
      <c r="E1030" s="26" t="s">
        <v>132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>
      <c r="A1031" s="1"/>
      <c r="B1031" s="24" t="s">
        <v>2682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"/>
    </row>
    <row r="1032">
      <c r="A1032" s="1"/>
      <c r="B1032" s="4" t="s">
        <v>2683</v>
      </c>
      <c r="D1032" s="9"/>
      <c r="E1032" s="17" t="s">
        <v>14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>
      <c r="A1033" s="1"/>
      <c r="B1033" s="25" t="s">
        <v>88</v>
      </c>
      <c r="E1033" s="26" t="s">
        <v>90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>
      <c r="A1034" s="1"/>
      <c r="B1034" s="25" t="s">
        <v>131</v>
      </c>
      <c r="E1034" s="26" t="s">
        <v>132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>
      <c r="A1035" s="1"/>
      <c r="B1035" s="24" t="s">
        <v>2685</v>
      </c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"/>
    </row>
    <row r="1036">
      <c r="A1036" s="1"/>
      <c r="B1036" s="4" t="s">
        <v>2688</v>
      </c>
      <c r="D1036" s="9"/>
      <c r="E1036" s="17" t="s">
        <v>14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>
      <c r="A1037" s="1"/>
      <c r="B1037" s="25" t="s">
        <v>149</v>
      </c>
      <c r="E1037" s="26" t="s">
        <v>90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>
      <c r="A1038" s="1"/>
      <c r="B1038" s="25" t="s">
        <v>197</v>
      </c>
      <c r="E1038" s="26" t="s">
        <v>147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>
      <c r="A1039" s="1"/>
      <c r="B1039" s="24" t="s">
        <v>2690</v>
      </c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"/>
    </row>
    <row r="1040">
      <c r="A1040" s="1"/>
      <c r="B1040" s="4" t="s">
        <v>2691</v>
      </c>
      <c r="D1040" s="9"/>
      <c r="E1040" s="17" t="s">
        <v>14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>
      <c r="A1041" s="1"/>
      <c r="B1041" s="25" t="s">
        <v>131</v>
      </c>
      <c r="E1041" s="26" t="s">
        <v>110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>
      <c r="A1042" s="1"/>
      <c r="B1042" s="24" t="s">
        <v>2694</v>
      </c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"/>
    </row>
    <row r="1043">
      <c r="A1043" s="1"/>
      <c r="B1043" s="4" t="s">
        <v>2695</v>
      </c>
      <c r="D1043" s="9"/>
      <c r="E1043" s="17" t="s">
        <v>14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>
      <c r="A1044" s="1"/>
      <c r="B1044" s="25" t="s">
        <v>117</v>
      </c>
      <c r="E1044" s="26" t="s">
        <v>110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>
      <c r="A1045" s="1"/>
      <c r="B1045" s="25" t="s">
        <v>157</v>
      </c>
      <c r="E1045" s="26" t="s">
        <v>132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>
      <c r="A1046" s="1"/>
      <c r="B1046" s="24" t="s">
        <v>2699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"/>
    </row>
    <row r="1047">
      <c r="A1047" s="1"/>
      <c r="B1047" s="4" t="s">
        <v>2700</v>
      </c>
      <c r="D1047" s="9"/>
      <c r="E1047" s="17" t="s">
        <v>14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>
      <c r="A1048" s="1"/>
      <c r="B1048" s="25" t="s">
        <v>1715</v>
      </c>
      <c r="E1048" s="26" t="s">
        <v>234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>
      <c r="A1049" s="1"/>
      <c r="B1049" s="25" t="s">
        <v>157</v>
      </c>
      <c r="E1049" s="26" t="s">
        <v>132</v>
      </c>
      <c r="F1049" s="18" t="str">
        <f>HYPERLINK("https://www.youtube.com/watch?v=d8GPhPWZUkA",'Players&gt;List'!$B23)</f>
        <v>[MOL]</v>
      </c>
      <c r="G1049" s="18" t="str">
        <f>HYPERLINK("https://www.youtube.com/watch?v=4LHbvBIiFpM",'Players&gt;List'!$B18)</f>
        <v>[HGB]</v>
      </c>
      <c r="H1049" s="18" t="str">
        <f>HYPERLINK("https://www.youtube.com/watch?v=h52XKErz42A",'Players&gt;List'!$B19)</f>
        <v>[HIT]</v>
      </c>
      <c r="I1049" s="18" t="str">
        <f>HYPERLINK("https://www.twitch.tv/videos/220722759",'Players&gt;List'!$B17)</f>
        <v>[GOL]</v>
      </c>
      <c r="J1049" s="18" t="str">
        <f>HYPERLINK("https://www.youtube.com/watch?v=TIngOoIdrk4",'Players&gt;List'!$B16)</f>
        <v>[GEA]</v>
      </c>
      <c r="K1049" s="18" t="str">
        <f>HYPERLINK("https://www.twitch.tv/videos/335600128",'Players&gt;List'!$B24)</f>
        <v>[NIM]</v>
      </c>
      <c r="L1049" s="1"/>
      <c r="M1049" s="1"/>
      <c r="N1049" s="1"/>
      <c r="O1049" s="1"/>
      <c r="P1049" s="1"/>
    </row>
    <row r="1050">
      <c r="A1050" s="1"/>
      <c r="B1050" s="24" t="s">
        <v>2707</v>
      </c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"/>
    </row>
    <row r="1051">
      <c r="A1051" s="1"/>
      <c r="B1051" s="4" t="s">
        <v>2709</v>
      </c>
      <c r="D1051" s="9"/>
      <c r="E1051" s="17" t="s">
        <v>14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>
      <c r="A1052" s="1"/>
      <c r="B1052" s="25" t="s">
        <v>149</v>
      </c>
      <c r="E1052" s="26" t="s">
        <v>90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>
      <c r="A1053" s="1"/>
      <c r="B1053" s="25" t="s">
        <v>108</v>
      </c>
      <c r="E1053" s="26" t="s">
        <v>132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>
      <c r="A1054" s="1"/>
      <c r="B1054" s="24" t="s">
        <v>2711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"/>
    </row>
    <row r="1055">
      <c r="A1055" s="1"/>
      <c r="B1055" s="4" t="s">
        <v>2712</v>
      </c>
      <c r="D1055" s="9"/>
      <c r="E1055" s="17" t="s">
        <v>14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>
      <c r="A1056" s="1"/>
      <c r="B1056" s="25" t="s">
        <v>117</v>
      </c>
      <c r="E1056" s="26" t="s">
        <v>110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>
      <c r="A1057" s="1"/>
      <c r="B1057" s="24" t="s">
        <v>2714</v>
      </c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"/>
    </row>
    <row r="1058">
      <c r="A1058" s="1"/>
      <c r="B1058" s="4" t="s">
        <v>2716</v>
      </c>
      <c r="D1058" s="9"/>
      <c r="E1058" s="17" t="s">
        <v>14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>
      <c r="A1059" s="1"/>
      <c r="B1059" s="25" t="s">
        <v>88</v>
      </c>
      <c r="E1059" s="26" t="s">
        <v>90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>
      <c r="A1060" s="1"/>
      <c r="B1060" s="24" t="s">
        <v>2718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"/>
    </row>
    <row r="1061">
      <c r="A1061" s="1"/>
      <c r="B1061" s="4" t="s">
        <v>2719</v>
      </c>
      <c r="D1061" s="9"/>
      <c r="E1061" s="17" t="s">
        <v>14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>
      <c r="A1062" s="1"/>
      <c r="B1062" s="25" t="s">
        <v>88</v>
      </c>
      <c r="E1062" s="26" t="s">
        <v>90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>
      <c r="A1063" s="1"/>
      <c r="B1063" s="24" t="s">
        <v>2721</v>
      </c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"/>
    </row>
    <row r="1064">
      <c r="A1064" s="1"/>
      <c r="B1064" s="4" t="s">
        <v>2723</v>
      </c>
      <c r="D1064" s="9"/>
      <c r="E1064" s="17" t="s">
        <v>14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>
      <c r="A1065" s="1"/>
      <c r="B1065" s="25" t="s">
        <v>2213</v>
      </c>
      <c r="E1065" s="26" t="s">
        <v>90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>
      <c r="A1066" s="1"/>
      <c r="B1066" s="25" t="s">
        <v>131</v>
      </c>
      <c r="E1066" s="26" t="s">
        <v>132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>
      <c r="A1067" s="1"/>
      <c r="B1067" s="24" t="s">
        <v>2725</v>
      </c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"/>
    </row>
    <row r="1068">
      <c r="A1068" s="1"/>
      <c r="B1068" s="4" t="s">
        <v>2728</v>
      </c>
      <c r="D1068" s="9"/>
      <c r="E1068" s="17" t="s">
        <v>14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>
      <c r="A1069" s="1"/>
      <c r="B1069" s="25" t="s">
        <v>108</v>
      </c>
      <c r="E1069" s="26" t="s">
        <v>110</v>
      </c>
      <c r="F1069" s="18" t="str">
        <f>HYPERLINK("https://www.youtube.com/watch?v=QaQh7F6QD3Q&amp;t=0s",'Players&gt;List'!$B19)</f>
        <v>[HIT]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>
      <c r="A1070" s="1"/>
      <c r="B1070" s="24" t="s">
        <v>2730</v>
      </c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"/>
    </row>
    <row r="1071">
      <c r="A1071" s="1"/>
      <c r="B1071" s="4" t="s">
        <v>2731</v>
      </c>
      <c r="D1071" s="9"/>
      <c r="E1071" s="17" t="s">
        <v>14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>
      <c r="A1072" s="1"/>
      <c r="B1072" s="25" t="s">
        <v>149</v>
      </c>
      <c r="E1072" s="26" t="s">
        <v>90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>
      <c r="A1073" s="1"/>
      <c r="B1073" s="24" t="s">
        <v>2733</v>
      </c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"/>
    </row>
    <row r="1074">
      <c r="A1074" s="1"/>
      <c r="B1074" s="4" t="s">
        <v>2736</v>
      </c>
      <c r="D1074" s="9"/>
      <c r="E1074" s="17" t="s">
        <v>14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>
      <c r="A1075" s="1"/>
      <c r="B1075" s="25" t="s">
        <v>149</v>
      </c>
      <c r="E1075" s="26" t="s">
        <v>90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>
      <c r="A1076" s="1"/>
      <c r="B1076" s="24" t="s">
        <v>2738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"/>
    </row>
    <row r="1077">
      <c r="A1077" s="1"/>
      <c r="B1077" s="4" t="s">
        <v>2739</v>
      </c>
      <c r="D1077" s="9"/>
      <c r="E1077" s="17" t="s">
        <v>14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>
      <c r="A1078" s="1"/>
      <c r="B1078" s="25" t="s">
        <v>117</v>
      </c>
      <c r="E1078" s="26" t="s">
        <v>110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>
      <c r="A1079" s="1"/>
      <c r="B1079" s="25" t="s">
        <v>157</v>
      </c>
      <c r="E1079" s="26" t="s">
        <v>132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>
      <c r="A1080" s="1"/>
      <c r="B1080" s="24" t="s">
        <v>2740</v>
      </c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"/>
    </row>
    <row r="1081">
      <c r="A1081" s="1"/>
      <c r="B1081" s="4" t="s">
        <v>2741</v>
      </c>
      <c r="D1081" s="9"/>
      <c r="E1081" s="17" t="s">
        <v>14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>
      <c r="A1082" s="1"/>
      <c r="B1082" s="25" t="s">
        <v>117</v>
      </c>
      <c r="E1082" s="26" t="s">
        <v>110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>
      <c r="A1083" s="1"/>
      <c r="B1083" s="24" t="s">
        <v>2744</v>
      </c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"/>
    </row>
    <row r="1084">
      <c r="A1084" s="1"/>
      <c r="B1084" s="4" t="s">
        <v>2745</v>
      </c>
      <c r="D1084" s="9"/>
      <c r="E1084" s="17" t="s">
        <v>14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>
      <c r="A1085" s="1"/>
      <c r="B1085" s="25" t="s">
        <v>2183</v>
      </c>
      <c r="E1085" s="26" t="s">
        <v>380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>
      <c r="A1086" s="1"/>
      <c r="B1086" s="25" t="s">
        <v>108</v>
      </c>
      <c r="E1086" s="26" t="s">
        <v>132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>
      <c r="A1087" s="1"/>
      <c r="B1087" s="24" t="s">
        <v>2748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"/>
    </row>
    <row r="1088">
      <c r="A1088" s="1"/>
      <c r="B1088" s="4" t="s">
        <v>2749</v>
      </c>
      <c r="D1088" s="9"/>
      <c r="E1088" s="17" t="s">
        <v>14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>
      <c r="A1089" s="1"/>
      <c r="B1089" s="25" t="s">
        <v>108</v>
      </c>
      <c r="E1089" s="26" t="s">
        <v>110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>
      <c r="A1090" s="1"/>
      <c r="B1090" s="25" t="s">
        <v>88</v>
      </c>
      <c r="E1090" s="26" t="s">
        <v>147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>
      <c r="A1091" s="1"/>
      <c r="B1091" s="24" t="s">
        <v>2750</v>
      </c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"/>
    </row>
    <row r="1092">
      <c r="A1092" s="1"/>
      <c r="B1092" s="4" t="s">
        <v>2751</v>
      </c>
      <c r="D1092" s="9"/>
      <c r="E1092" s="17" t="s">
        <v>14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>
      <c r="A1093" s="1"/>
      <c r="B1093" s="25" t="s">
        <v>88</v>
      </c>
      <c r="E1093" s="26" t="s">
        <v>90</v>
      </c>
      <c r="F1093" s="18" t="str">
        <f>HYPERLINK("https://www.youtube.com/watch?v=ReBb47J_ZtA",'Players&gt;List'!$B28)</f>
        <v>[SUN]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>
      <c r="A1094" s="1"/>
      <c r="B1094" s="24" t="s">
        <v>2755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"/>
    </row>
    <row r="1095">
      <c r="A1095" s="1"/>
      <c r="B1095" s="4" t="s">
        <v>2756</v>
      </c>
      <c r="D1095" s="9"/>
      <c r="E1095" s="17" t="s">
        <v>14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>
      <c r="A1096" s="1"/>
      <c r="B1096" s="25" t="s">
        <v>108</v>
      </c>
      <c r="E1096" s="26" t="s">
        <v>110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>
      <c r="A1097" s="1"/>
      <c r="B1097" s="24" t="s">
        <v>2758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"/>
    </row>
    <row r="1098">
      <c r="A1098" s="1"/>
      <c r="B1098" s="4" t="s">
        <v>2760</v>
      </c>
      <c r="D1098" s="9"/>
      <c r="E1098" s="17" t="s">
        <v>14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>
      <c r="A1099" s="1"/>
      <c r="B1099" s="25" t="s">
        <v>2226</v>
      </c>
      <c r="E1099" s="26" t="s">
        <v>234</v>
      </c>
      <c r="F1099" s="18" t="str">
        <f>HYPERLINK("https://www.youtube.com/watch?v=jmiHQKxVD5E",'Players&gt;List'!$B18)</f>
        <v>[HGB]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>
      <c r="A1100" s="1"/>
      <c r="B1100" s="25" t="s">
        <v>457</v>
      </c>
      <c r="E1100" s="26" t="s">
        <v>132</v>
      </c>
      <c r="F1100" s="18" t="str">
        <f>HYPERLINK("https://www.youtube.com/watch?v=zk-B897jPmg",'Players&gt;List'!$B18)</f>
        <v>[HGB]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>
      <c r="A1101" s="1"/>
      <c r="B1101" s="25" t="s">
        <v>88</v>
      </c>
      <c r="E1101" s="26" t="s">
        <v>147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>
      <c r="A1102" s="1"/>
      <c r="B1102" s="24" t="s">
        <v>2765</v>
      </c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"/>
    </row>
    <row r="1103">
      <c r="A1103" s="1"/>
      <c r="B1103" s="4" t="s">
        <v>2767</v>
      </c>
      <c r="D1103" s="9"/>
      <c r="E1103" s="17" t="s">
        <v>14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>
      <c r="A1104" s="1"/>
      <c r="B1104" s="25" t="s">
        <v>117</v>
      </c>
      <c r="E1104" s="26" t="s">
        <v>110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>
      <c r="A1105" s="1"/>
      <c r="B1105" s="24" t="s">
        <v>2769</v>
      </c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"/>
    </row>
    <row r="1106">
      <c r="A1106" s="1"/>
      <c r="B1106" s="4" t="s">
        <v>2770</v>
      </c>
      <c r="D1106" s="9"/>
      <c r="E1106" s="17" t="s">
        <v>14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>
      <c r="A1107" s="1"/>
      <c r="B1107" s="25" t="s">
        <v>488</v>
      </c>
      <c r="E1107" s="26" t="s">
        <v>234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>
      <c r="A1108" s="1"/>
      <c r="B1108" s="25" t="s">
        <v>117</v>
      </c>
      <c r="E1108" s="26" t="s">
        <v>132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>
      <c r="A1109" s="1"/>
      <c r="B1109" s="24" t="s">
        <v>2773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"/>
    </row>
    <row r="1110">
      <c r="A1110" s="1"/>
      <c r="B1110" s="4" t="s">
        <v>2774</v>
      </c>
      <c r="D1110" s="9"/>
      <c r="E1110" s="17" t="s">
        <v>14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>
      <c r="A1111" s="1"/>
      <c r="B1111" s="25" t="s">
        <v>117</v>
      </c>
      <c r="E1111" s="26" t="s">
        <v>110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>
      <c r="A1112" s="1"/>
      <c r="B1112" s="24" t="s">
        <v>2775</v>
      </c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"/>
    </row>
    <row r="1113">
      <c r="A1113" s="1"/>
      <c r="B1113" s="4" t="s">
        <v>2779</v>
      </c>
      <c r="D1113" s="9"/>
      <c r="E1113" s="17" t="s">
        <v>14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>
      <c r="A1114" s="1"/>
      <c r="B1114" s="25" t="s">
        <v>117</v>
      </c>
      <c r="E1114" s="26" t="s">
        <v>110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>
      <c r="A1115" s="1"/>
      <c r="B1115" s="24" t="s">
        <v>2781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"/>
    </row>
    <row r="1116">
      <c r="A1116" s="1"/>
      <c r="B1116" s="4" t="s">
        <v>2784</v>
      </c>
      <c r="D1116" s="9"/>
      <c r="E1116" s="17" t="s">
        <v>14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>
      <c r="A1117" s="1"/>
      <c r="B1117" s="25" t="s">
        <v>88</v>
      </c>
      <c r="E1117" s="26" t="s">
        <v>90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>
      <c r="A1118" s="1"/>
      <c r="B1118" s="24" t="s">
        <v>2785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"/>
    </row>
    <row r="1119">
      <c r="A1119" s="1"/>
      <c r="B1119" s="4" t="s">
        <v>2787</v>
      </c>
      <c r="D1119" s="9"/>
      <c r="E1119" s="17" t="s">
        <v>14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>
      <c r="A1120" s="1"/>
      <c r="B1120" s="25" t="s">
        <v>88</v>
      </c>
      <c r="E1120" s="26" t="s">
        <v>90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>
      <c r="A1121" s="1"/>
      <c r="B1121" s="24" t="s">
        <v>2789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"/>
    </row>
    <row r="1122">
      <c r="A1122" s="1"/>
      <c r="B1122" s="4" t="s">
        <v>2791</v>
      </c>
      <c r="D1122" s="9"/>
      <c r="E1122" s="17" t="s">
        <v>14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>
      <c r="A1123" s="1"/>
      <c r="B1123" s="25" t="s">
        <v>400</v>
      </c>
      <c r="E1123" s="26" t="s">
        <v>234</v>
      </c>
      <c r="F1123" s="18" t="str">
        <f>HYPERLINK("https://www.youtube.com/watch?v=oibWqogrgjM",'Players&gt;List'!$B19)</f>
        <v>[HIT]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>
      <c r="A1124" s="1"/>
      <c r="B1124" s="25" t="s">
        <v>149</v>
      </c>
      <c r="E1124" s="26" t="s">
        <v>147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>
      <c r="A1125" s="1"/>
      <c r="B1125" s="25" t="s">
        <v>649</v>
      </c>
      <c r="E1125" s="26" t="s">
        <v>147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>
      <c r="A1126" s="1"/>
      <c r="B1126" s="25" t="s">
        <v>488</v>
      </c>
      <c r="E1126" s="26" t="s">
        <v>358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>
      <c r="A1127" s="1"/>
      <c r="B1127" s="24" t="s">
        <v>2797</v>
      </c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"/>
    </row>
    <row r="1128">
      <c r="A1128" s="1"/>
      <c r="B1128" s="4" t="s">
        <v>2799</v>
      </c>
      <c r="D1128" s="9"/>
      <c r="E1128" s="17" t="s">
        <v>14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>
      <c r="A1129" s="1"/>
      <c r="B1129" s="25" t="s">
        <v>88</v>
      </c>
      <c r="E1129" s="26" t="s">
        <v>90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>
      <c r="A1130" s="1"/>
      <c r="B1130" s="24" t="s">
        <v>2800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"/>
    </row>
    <row r="1131">
      <c r="A1131" s="1"/>
      <c r="B1131" s="4" t="s">
        <v>2802</v>
      </c>
      <c r="D1131" s="9"/>
      <c r="E1131" s="17" t="s">
        <v>14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>
      <c r="A1132" s="1"/>
      <c r="B1132" s="25" t="s">
        <v>2493</v>
      </c>
      <c r="E1132" s="26" t="s">
        <v>380</v>
      </c>
      <c r="F1132" s="18" t="str">
        <f>HYPERLINK("https://www.youtube.com/watch?v=e7Jz_67bDu4",'Players&gt;List'!$B18)</f>
        <v>[HGB]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>
      <c r="A1133" s="1"/>
      <c r="B1133" s="25" t="s">
        <v>88</v>
      </c>
      <c r="E1133" s="26" t="s">
        <v>147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>
      <c r="A1134" s="1"/>
      <c r="B1134" s="25" t="s">
        <v>149</v>
      </c>
      <c r="E1134" s="26" t="s">
        <v>147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>
      <c r="A1135" s="1"/>
      <c r="B1135" s="24" t="s">
        <v>2804</v>
      </c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"/>
    </row>
    <row r="1136">
      <c r="A1136" s="1"/>
      <c r="B1136" s="4" t="s">
        <v>2805</v>
      </c>
      <c r="D1136" s="9"/>
      <c r="E1136" s="17" t="s">
        <v>14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>
      <c r="A1137" s="1"/>
      <c r="B1137" s="25" t="s">
        <v>88</v>
      </c>
      <c r="E1137" s="26" t="s">
        <v>90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>
      <c r="A1138" s="1"/>
      <c r="B1138" s="24" t="s">
        <v>2807</v>
      </c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"/>
    </row>
    <row r="1139">
      <c r="A1139" s="1"/>
      <c r="B1139" s="4" t="s">
        <v>2809</v>
      </c>
      <c r="D1139" s="9"/>
      <c r="E1139" s="17" t="s">
        <v>14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>
      <c r="A1140" s="1"/>
      <c r="B1140" s="25" t="s">
        <v>117</v>
      </c>
      <c r="E1140" s="26" t="s">
        <v>110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>
      <c r="A1141" s="1"/>
      <c r="B1141" s="24" t="s">
        <v>2812</v>
      </c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"/>
    </row>
    <row r="1142">
      <c r="A1142" s="1"/>
      <c r="B1142" s="4" t="s">
        <v>2813</v>
      </c>
      <c r="D1142" s="9"/>
      <c r="E1142" s="17" t="s">
        <v>14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>
      <c r="A1143" s="1"/>
      <c r="B1143" s="25" t="s">
        <v>108</v>
      </c>
      <c r="E1143" s="26" t="s">
        <v>110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>
      <c r="A1144" s="1"/>
      <c r="B1144" s="25" t="s">
        <v>131</v>
      </c>
      <c r="E1144" s="26" t="s">
        <v>132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>
      <c r="A1145" s="1"/>
      <c r="B1145" s="24" t="s">
        <v>2815</v>
      </c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"/>
    </row>
    <row r="1146">
      <c r="A1146" s="1"/>
      <c r="B1146" s="4" t="s">
        <v>2817</v>
      </c>
      <c r="D1146" s="9"/>
      <c r="E1146" s="17" t="s">
        <v>14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>
      <c r="A1147" s="1"/>
      <c r="B1147" s="25" t="s">
        <v>117</v>
      </c>
      <c r="E1147" s="26" t="s">
        <v>110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>
      <c r="A1148" s="1"/>
      <c r="B1148" s="25" t="s">
        <v>157</v>
      </c>
      <c r="E1148" s="26" t="s">
        <v>132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>
      <c r="A1149" s="1"/>
      <c r="B1149" s="24" t="s">
        <v>2818</v>
      </c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"/>
    </row>
    <row r="1150">
      <c r="A1150" s="1"/>
      <c r="B1150" s="4" t="s">
        <v>2819</v>
      </c>
      <c r="D1150" s="9"/>
      <c r="E1150" s="17" t="s">
        <v>14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>
      <c r="A1151" s="1"/>
      <c r="B1151" s="25" t="s">
        <v>88</v>
      </c>
      <c r="E1151" s="26" t="s">
        <v>90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>
      <c r="A1152" s="1"/>
      <c r="B1152" s="24" t="s">
        <v>2820</v>
      </c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"/>
    </row>
    <row r="1153">
      <c r="A1153" s="1"/>
      <c r="B1153" s="4" t="s">
        <v>2822</v>
      </c>
      <c r="D1153" s="9"/>
      <c r="E1153" s="17" t="s">
        <v>14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>
      <c r="A1154" s="1"/>
      <c r="B1154" s="25" t="s">
        <v>197</v>
      </c>
      <c r="E1154" s="26" t="s">
        <v>90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>
      <c r="A1155" s="1"/>
      <c r="B1155" s="25" t="s">
        <v>157</v>
      </c>
      <c r="E1155" s="26" t="s">
        <v>132</v>
      </c>
      <c r="F1155" s="18" t="str">
        <f>HYPERLINK("https://www.youtube.com/watch?v=3NgbMLOuLbg",'Players&gt;List'!$B19)</f>
        <v>[HIT]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>
      <c r="A1156" s="1"/>
      <c r="B1156" s="24" t="s">
        <v>2825</v>
      </c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"/>
    </row>
    <row r="1157">
      <c r="A1157" s="1"/>
      <c r="B1157" s="4" t="s">
        <v>2827</v>
      </c>
      <c r="D1157" s="9"/>
      <c r="E1157" s="17" t="s">
        <v>14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>
      <c r="A1158" s="1"/>
      <c r="B1158" s="25" t="s">
        <v>108</v>
      </c>
      <c r="E1158" s="26" t="s">
        <v>110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>
      <c r="A1159" s="1"/>
      <c r="B1159" s="25" t="s">
        <v>117</v>
      </c>
      <c r="E1159" s="26" t="s">
        <v>132</v>
      </c>
      <c r="F1159" s="18" t="str">
        <f>HYPERLINK("https://www.youtube.com/watch?v=53rsH0U1TUg",'Players&gt;List'!$B18)</f>
        <v>[HGB]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>
      <c r="A1160" s="1"/>
      <c r="B1160" s="24" t="s">
        <v>2830</v>
      </c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"/>
    </row>
    <row r="1161">
      <c r="A1161" s="1"/>
      <c r="B1161" s="4" t="s">
        <v>2833</v>
      </c>
      <c r="D1161" s="9"/>
      <c r="E1161" s="17" t="s">
        <v>14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>
      <c r="A1162" s="1"/>
      <c r="B1162" s="25" t="s">
        <v>88</v>
      </c>
      <c r="E1162" s="26" t="s">
        <v>90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>
      <c r="A1163" s="1"/>
      <c r="B1163" s="24" t="s">
        <v>2834</v>
      </c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"/>
    </row>
    <row r="1164">
      <c r="A1164" s="1"/>
      <c r="B1164" s="4" t="s">
        <v>2835</v>
      </c>
      <c r="D1164" s="9"/>
      <c r="E1164" s="17" t="s">
        <v>14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>
      <c r="A1165" s="1"/>
      <c r="B1165" s="25" t="s">
        <v>149</v>
      </c>
      <c r="E1165" s="26" t="s">
        <v>90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>
      <c r="A1166" s="1"/>
      <c r="B1166" s="24" t="s">
        <v>2836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"/>
    </row>
    <row r="1167">
      <c r="A1167" s="1"/>
      <c r="B1167" s="4" t="s">
        <v>2837</v>
      </c>
      <c r="D1167" s="9"/>
      <c r="E1167" s="17" t="s">
        <v>14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>
      <c r="A1168" s="1"/>
      <c r="B1168" s="25" t="s">
        <v>88</v>
      </c>
      <c r="E1168" s="26" t="s">
        <v>90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>
      <c r="A1169" s="1"/>
      <c r="B1169" s="24" t="s">
        <v>2839</v>
      </c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"/>
    </row>
    <row r="1170">
      <c r="A1170" s="1"/>
      <c r="B1170" s="4" t="s">
        <v>2841</v>
      </c>
      <c r="D1170" s="9"/>
      <c r="E1170" s="17" t="s">
        <v>14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>
      <c r="A1171" s="1"/>
      <c r="B1171" s="25" t="s">
        <v>117</v>
      </c>
      <c r="E1171" s="26" t="s">
        <v>110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>
      <c r="A1172" s="1"/>
      <c r="B1172" s="25" t="s">
        <v>149</v>
      </c>
      <c r="E1172" s="26" t="s">
        <v>147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>
      <c r="A1173" s="1"/>
      <c r="B1173" s="24" t="s">
        <v>2845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"/>
    </row>
    <row r="1174">
      <c r="A1174" s="1"/>
      <c r="B1174" s="4" t="s">
        <v>2846</v>
      </c>
      <c r="D1174" s="9"/>
      <c r="E1174" s="17" t="s">
        <v>14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>
      <c r="A1175" s="1"/>
      <c r="B1175" s="25" t="s">
        <v>117</v>
      </c>
      <c r="E1175" s="26" t="s">
        <v>110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>
      <c r="A1176" s="1"/>
      <c r="B1176" s="25" t="s">
        <v>108</v>
      </c>
      <c r="E1176" s="26" t="s">
        <v>132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>
      <c r="A1177" s="1"/>
      <c r="B1177" s="24" t="s">
        <v>2847</v>
      </c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"/>
    </row>
    <row r="1178">
      <c r="A1178" s="1"/>
      <c r="B1178" s="4" t="s">
        <v>2848</v>
      </c>
      <c r="D1178" s="9"/>
      <c r="E1178" s="17" t="s">
        <v>14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>
      <c r="A1179" s="1"/>
      <c r="B1179" s="25" t="s">
        <v>117</v>
      </c>
      <c r="E1179" s="26" t="s">
        <v>110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>
      <c r="A1180" s="1"/>
      <c r="B1180" s="25" t="s">
        <v>88</v>
      </c>
      <c r="E1180" s="26" t="s">
        <v>147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>
      <c r="A1181" s="1"/>
      <c r="B1181" s="25" t="s">
        <v>157</v>
      </c>
      <c r="E1181" s="26" t="s">
        <v>132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>
      <c r="A1182" s="1"/>
      <c r="B1182" s="24" t="s">
        <v>2850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"/>
    </row>
    <row r="1183">
      <c r="A1183" s="1"/>
      <c r="B1183" s="4" t="s">
        <v>2853</v>
      </c>
      <c r="D1183" s="9"/>
      <c r="E1183" s="17" t="s">
        <v>14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>
      <c r="A1184" s="1"/>
      <c r="B1184" s="25" t="s">
        <v>117</v>
      </c>
      <c r="E1184" s="26" t="s">
        <v>110</v>
      </c>
      <c r="F1184" s="18" t="str">
        <f>HYPERLINK("https://www.youtube.com/watch?v=vahunFo3WRY",'Players&gt;List'!$B28)</f>
        <v>[SUN]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>
      <c r="A1185" s="1"/>
      <c r="B1185" s="24" t="s">
        <v>2856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"/>
    </row>
    <row r="1186">
      <c r="A1186" s="1"/>
      <c r="B1186" s="4" t="s">
        <v>2858</v>
      </c>
      <c r="D1186" s="9"/>
      <c r="E1186" s="17" t="s">
        <v>14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>
      <c r="A1187" s="1"/>
      <c r="B1187" s="25" t="s">
        <v>502</v>
      </c>
      <c r="E1187" s="26" t="s">
        <v>234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>
      <c r="A1188" s="1"/>
      <c r="B1188" s="25" t="s">
        <v>2859</v>
      </c>
      <c r="E1188" s="26" t="s">
        <v>358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>
      <c r="A1189" s="1"/>
      <c r="B1189" s="24" t="s">
        <v>2861</v>
      </c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"/>
    </row>
    <row r="1190">
      <c r="A1190" s="1"/>
      <c r="B1190" s="4" t="s">
        <v>2864</v>
      </c>
      <c r="D1190" s="9"/>
      <c r="E1190" s="17" t="s">
        <v>14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>
      <c r="A1191" s="1"/>
      <c r="B1191" s="25" t="s">
        <v>149</v>
      </c>
      <c r="E1191" s="26" t="s">
        <v>90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>
      <c r="A1192" s="1"/>
      <c r="B1192" s="24" t="s">
        <v>2866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"/>
    </row>
    <row r="1193">
      <c r="A1193" s="1"/>
      <c r="B1193" s="4" t="s">
        <v>2867</v>
      </c>
      <c r="D1193" s="9"/>
      <c r="E1193" s="17" t="s">
        <v>14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>
      <c r="A1194" s="1"/>
      <c r="B1194" s="25" t="s">
        <v>157</v>
      </c>
      <c r="E1194" s="26" t="s">
        <v>110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>
      <c r="A1195" s="1"/>
      <c r="B1195" s="24" t="s">
        <v>2868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"/>
    </row>
    <row r="1196">
      <c r="A1196" s="1"/>
      <c r="B1196" s="4" t="s">
        <v>2869</v>
      </c>
      <c r="D1196" s="9"/>
      <c r="E1196" s="17" t="s">
        <v>14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>
      <c r="A1197" s="1"/>
      <c r="B1197" s="25" t="s">
        <v>2162</v>
      </c>
      <c r="E1197" s="26" t="s">
        <v>234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>
      <c r="A1198" s="1"/>
      <c r="B1198" s="24" t="s">
        <v>2871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"/>
    </row>
    <row r="1199">
      <c r="A1199" s="1"/>
      <c r="B1199" s="4" t="s">
        <v>2873</v>
      </c>
      <c r="D1199" s="9"/>
      <c r="E1199" s="17" t="s">
        <v>14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>
      <c r="A1200" s="1"/>
      <c r="B1200" s="25" t="s">
        <v>117</v>
      </c>
      <c r="E1200" s="26" t="s">
        <v>110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>
      <c r="A1201" s="1"/>
      <c r="B1201" s="24" t="s">
        <v>2875</v>
      </c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"/>
    </row>
    <row r="1202">
      <c r="A1202" s="1"/>
      <c r="B1202" s="4" t="s">
        <v>2877</v>
      </c>
      <c r="D1202" s="9"/>
      <c r="E1202" s="17" t="s">
        <v>14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>
      <c r="A1203" s="1"/>
      <c r="B1203" s="25" t="s">
        <v>88</v>
      </c>
      <c r="E1203" s="26" t="s">
        <v>90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>
      <c r="A1204" s="1"/>
      <c r="B1204" s="24" t="s">
        <v>2879</v>
      </c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"/>
    </row>
    <row r="1205">
      <c r="A1205" s="1"/>
      <c r="B1205" s="4" t="s">
        <v>2881</v>
      </c>
      <c r="D1205" s="9"/>
      <c r="E1205" s="17" t="s">
        <v>14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>
      <c r="A1206" s="1"/>
      <c r="B1206" s="25" t="s">
        <v>668</v>
      </c>
      <c r="E1206" s="26" t="s">
        <v>234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>
      <c r="A1207" s="1"/>
      <c r="B1207" s="24" t="s">
        <v>2882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"/>
    </row>
    <row r="1208">
      <c r="A1208" s="1"/>
      <c r="B1208" s="4" t="s">
        <v>2883</v>
      </c>
      <c r="D1208" s="9"/>
      <c r="E1208" s="17" t="s">
        <v>14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>
      <c r="A1209" s="1"/>
      <c r="B1209" s="25" t="s">
        <v>108</v>
      </c>
      <c r="E1209" s="26" t="s">
        <v>110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>
      <c r="A1210" s="1"/>
      <c r="B1210" s="24" t="s">
        <v>2884</v>
      </c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"/>
    </row>
    <row r="1211">
      <c r="A1211" s="1"/>
      <c r="B1211" s="4" t="s">
        <v>2887</v>
      </c>
      <c r="D1211" s="9"/>
      <c r="E1211" s="17" t="s">
        <v>14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>
      <c r="A1212" s="1"/>
      <c r="B1212" s="25" t="s">
        <v>88</v>
      </c>
      <c r="E1212" s="26" t="s">
        <v>90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>
      <c r="A1213" s="1"/>
      <c r="B1213" s="24" t="s">
        <v>2889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"/>
    </row>
    <row r="1214">
      <c r="A1214" s="1"/>
      <c r="B1214" s="4" t="s">
        <v>2891</v>
      </c>
      <c r="D1214" s="9"/>
      <c r="E1214" s="17" t="s">
        <v>14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>
      <c r="A1215" s="1"/>
      <c r="B1215" s="25" t="s">
        <v>117</v>
      </c>
      <c r="E1215" s="26" t="s">
        <v>110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>
      <c r="A1216" s="1"/>
      <c r="B1216" s="25" t="s">
        <v>197</v>
      </c>
      <c r="E1216" s="26" t="s">
        <v>147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>
      <c r="A1217" s="1"/>
      <c r="B1217" s="24" t="s">
        <v>2893</v>
      </c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"/>
    </row>
    <row r="1218">
      <c r="A1218" s="1"/>
      <c r="B1218" s="4" t="s">
        <v>2895</v>
      </c>
      <c r="D1218" s="9"/>
      <c r="E1218" s="17" t="s">
        <v>14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>
      <c r="A1219" s="1"/>
      <c r="B1219" s="25" t="s">
        <v>88</v>
      </c>
      <c r="E1219" s="26" t="s">
        <v>90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>
      <c r="A1220" s="1"/>
      <c r="B1220" s="24" t="s">
        <v>2896</v>
      </c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"/>
    </row>
    <row r="1221">
      <c r="A1221" s="1"/>
      <c r="B1221" s="4" t="s">
        <v>2898</v>
      </c>
      <c r="D1221" s="9"/>
      <c r="E1221" s="17" t="s">
        <v>14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>
      <c r="A1222" s="1"/>
      <c r="B1222" s="25" t="s">
        <v>108</v>
      </c>
      <c r="E1222" s="26" t="s">
        <v>110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>
      <c r="A1223" s="1"/>
      <c r="B1223" s="24" t="s">
        <v>2901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"/>
    </row>
    <row r="1224">
      <c r="A1224" s="1"/>
      <c r="B1224" s="4" t="s">
        <v>2903</v>
      </c>
      <c r="D1224" s="9"/>
      <c r="E1224" s="17" t="s">
        <v>14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>
      <c r="A1225" s="1"/>
      <c r="B1225" s="25" t="s">
        <v>117</v>
      </c>
      <c r="E1225" s="26" t="s">
        <v>110</v>
      </c>
      <c r="F1225" s="18" t="str">
        <f>HYPERLINK("https://www.youtube.com/watch?v=2axdz9zHzwc",'Players&gt;List'!$B18)</f>
        <v>[HGB]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>
      <c r="A1226" s="1"/>
      <c r="B1226" s="25" t="s">
        <v>88</v>
      </c>
      <c r="E1226" s="26" t="s">
        <v>147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>
      <c r="A1227" s="1"/>
      <c r="B1227" s="25" t="s">
        <v>149</v>
      </c>
      <c r="E1227" s="26" t="s">
        <v>147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>
      <c r="A1228" s="1"/>
      <c r="B1228" s="24" t="s">
        <v>2906</v>
      </c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"/>
    </row>
    <row r="1229">
      <c r="A1229" s="1"/>
      <c r="B1229" s="4" t="s">
        <v>2907</v>
      </c>
      <c r="D1229" s="9"/>
      <c r="E1229" s="17" t="s">
        <v>14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>
      <c r="A1230" s="1"/>
      <c r="B1230" s="25" t="s">
        <v>108</v>
      </c>
      <c r="E1230" s="26" t="s">
        <v>110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>
      <c r="A1231" s="1"/>
      <c r="B1231" s="25" t="s">
        <v>2183</v>
      </c>
      <c r="E1231" s="26" t="s">
        <v>1418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>
      <c r="A1232" s="1"/>
      <c r="B1232" s="24" t="s">
        <v>2909</v>
      </c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"/>
    </row>
    <row r="1233">
      <c r="A1233" s="1"/>
      <c r="B1233" s="4" t="s">
        <v>2913</v>
      </c>
      <c r="D1233" s="9"/>
      <c r="E1233" s="17" t="s">
        <v>14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>
      <c r="A1234" s="1"/>
      <c r="B1234" s="25" t="s">
        <v>117</v>
      </c>
      <c r="E1234" s="26" t="s">
        <v>110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>
      <c r="A1235" s="1"/>
      <c r="B1235" s="24" t="s">
        <v>2914</v>
      </c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"/>
    </row>
    <row r="1236">
      <c r="A1236" s="1"/>
      <c r="B1236" s="4" t="s">
        <v>2915</v>
      </c>
      <c r="D1236" s="9"/>
      <c r="E1236" s="17" t="s">
        <v>14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>
      <c r="A1237" s="1"/>
      <c r="B1237" s="25" t="s">
        <v>108</v>
      </c>
      <c r="E1237" s="26" t="s">
        <v>110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>
      <c r="A1238" s="1"/>
      <c r="B1238" s="25" t="s">
        <v>131</v>
      </c>
      <c r="E1238" s="26" t="s">
        <v>132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>
      <c r="A1239" s="1"/>
      <c r="B1239" s="24" t="s">
        <v>2917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"/>
    </row>
    <row r="1240">
      <c r="A1240" s="1"/>
      <c r="B1240" s="4" t="s">
        <v>2919</v>
      </c>
      <c r="D1240" s="9"/>
      <c r="E1240" s="17" t="s">
        <v>14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>
      <c r="A1241" s="1"/>
      <c r="B1241" s="25" t="s">
        <v>131</v>
      </c>
      <c r="E1241" s="26" t="s">
        <v>110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>
      <c r="A1242" s="1"/>
      <c r="B1242" s="25" t="s">
        <v>108</v>
      </c>
      <c r="E1242" s="26" t="s">
        <v>132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>
      <c r="A1243" s="1"/>
      <c r="B1243" s="24" t="s">
        <v>2922</v>
      </c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"/>
    </row>
    <row r="1244">
      <c r="A1244" s="1"/>
      <c r="B1244" s="4" t="s">
        <v>2924</v>
      </c>
      <c r="D1244" s="9"/>
      <c r="E1244" s="17" t="s">
        <v>14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>
      <c r="A1245" s="1"/>
      <c r="B1245" s="25" t="s">
        <v>2162</v>
      </c>
      <c r="E1245" s="26" t="s">
        <v>234</v>
      </c>
      <c r="F1245" s="18" t="str">
        <f>HYPERLINK("https://www.youtube.com/watch?v=b6Oly_FHyv8",'Players&gt;List'!$B18)</f>
        <v>[HGB]</v>
      </c>
      <c r="G1245" s="18" t="str">
        <f>HYPERLINK("https://www.youtube.com/watch?v=7DcJTFapLZg",'Players&gt;List'!$B19)</f>
        <v>[HIT]</v>
      </c>
      <c r="H1245" s="18" t="str">
        <f>HYPERLINK("https://www.youtube.com/watch?v=4bLcxaRejnc",'Players&gt;List'!$B28)</f>
        <v>[SUN]</v>
      </c>
      <c r="I1245" s="1"/>
      <c r="J1245" s="1"/>
      <c r="K1245" s="1"/>
      <c r="L1245" s="1"/>
      <c r="M1245" s="1"/>
      <c r="N1245" s="1"/>
      <c r="O1245" s="1"/>
      <c r="P1245" s="1"/>
    </row>
    <row r="1246">
      <c r="A1246" s="1"/>
      <c r="B1246" s="25" t="s">
        <v>149</v>
      </c>
      <c r="E1246" s="26" t="s">
        <v>147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>
      <c r="A1247" s="1"/>
      <c r="B1247" s="25" t="s">
        <v>197</v>
      </c>
      <c r="E1247" s="26" t="s">
        <v>147</v>
      </c>
      <c r="F1247" s="18" t="str">
        <f>HYPERLINK("https://www.youtube.com/watch?v=caliGTFzrYs",'Players&gt;List'!$B18)</f>
        <v>[HGB]</v>
      </c>
      <c r="G1247" s="18" t="str">
        <f>HYPERLINK("https://www.youtube.com/watch?v=3nR3OUpLXpo",'Players&gt;List'!$B19)</f>
        <v>[HIT]</v>
      </c>
      <c r="H1247" s="1"/>
      <c r="I1247" s="1"/>
      <c r="J1247" s="1"/>
      <c r="K1247" s="1"/>
      <c r="L1247" s="1"/>
      <c r="M1247" s="1"/>
      <c r="N1247" s="1"/>
      <c r="O1247" s="1"/>
      <c r="P1247" s="1"/>
    </row>
    <row r="1248">
      <c r="A1248" s="1"/>
      <c r="B1248" s="25" t="s">
        <v>457</v>
      </c>
      <c r="E1248" s="26" t="s">
        <v>132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>
      <c r="A1249" s="1"/>
      <c r="B1249" s="25" t="s">
        <v>335</v>
      </c>
      <c r="E1249" s="26" t="s">
        <v>147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>
      <c r="A1250" s="1"/>
      <c r="B1250" s="24" t="s">
        <v>2931</v>
      </c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"/>
    </row>
    <row r="1251">
      <c r="A1251" s="1"/>
      <c r="B1251" s="4" t="s">
        <v>2933</v>
      </c>
      <c r="D1251" s="9"/>
      <c r="E1251" s="17" t="s">
        <v>14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>
      <c r="A1252" s="1"/>
      <c r="B1252" s="25" t="s">
        <v>108</v>
      </c>
      <c r="E1252" s="26" t="s">
        <v>110</v>
      </c>
      <c r="F1252" s="18" t="str">
        <f>HYPERLINK("https://www.youtube.com/watch?v=gsvKM92KmS8",'Players&gt;List'!$B18)</f>
        <v>[HGB]</v>
      </c>
      <c r="G1252" s="18" t="str">
        <f>HYPERLINK("https://www.twitch.tv/videos/277113882",'Players&gt;List'!$B24)</f>
        <v>[NIM]</v>
      </c>
      <c r="H1252" s="1"/>
      <c r="I1252" s="1"/>
      <c r="J1252" s="1"/>
      <c r="K1252" s="1"/>
      <c r="L1252" s="1"/>
      <c r="M1252" s="1"/>
      <c r="N1252" s="1"/>
      <c r="O1252" s="1"/>
      <c r="P1252" s="1"/>
    </row>
    <row r="1253">
      <c r="A1253" s="1"/>
      <c r="B1253" s="25" t="s">
        <v>88</v>
      </c>
      <c r="E1253" s="26" t="s">
        <v>147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>
      <c r="A1254" s="1"/>
      <c r="B1254" s="25" t="s">
        <v>149</v>
      </c>
      <c r="E1254" s="26" t="s">
        <v>147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>
      <c r="A1255" s="1"/>
      <c r="B1255" s="24" t="s">
        <v>2939</v>
      </c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"/>
    </row>
    <row r="1256">
      <c r="A1256" s="1"/>
      <c r="B1256" s="4" t="s">
        <v>2940</v>
      </c>
      <c r="D1256" s="9"/>
      <c r="E1256" s="17" t="s">
        <v>14</v>
      </c>
      <c r="F1256" s="18" t="str">
        <f>HYPERLINK("https://www.youtube.com/watch?v=zSJ75viE0CM",'Players&gt;List'!$B18)</f>
        <v>[HGB]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>
      <c r="A1257" s="1"/>
      <c r="B1257" s="25" t="s">
        <v>157</v>
      </c>
      <c r="E1257" s="26" t="s">
        <v>110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>
      <c r="A1258" s="1"/>
      <c r="B1258" s="25" t="s">
        <v>149</v>
      </c>
      <c r="E1258" s="26" t="s">
        <v>147</v>
      </c>
      <c r="F1258" s="18" t="str">
        <f>HYPERLINK("https://www.youtube.com/watch?v=zSJ75viE0CM",'Players&gt;List'!$B18)</f>
        <v>[HGB]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>
      <c r="A1259" s="1"/>
      <c r="B1259" s="24" t="s">
        <v>2945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"/>
    </row>
    <row r="1260">
      <c r="A1260" s="1"/>
      <c r="B1260" s="4" t="s">
        <v>2947</v>
      </c>
      <c r="D1260" s="9"/>
      <c r="E1260" s="17" t="s">
        <v>14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>
      <c r="A1261" s="1"/>
      <c r="B1261" s="25" t="s">
        <v>131</v>
      </c>
      <c r="E1261" s="26" t="s">
        <v>110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>
      <c r="A1262" s="1"/>
      <c r="B1262" s="25" t="s">
        <v>149</v>
      </c>
      <c r="E1262" s="26" t="s">
        <v>147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>
      <c r="A1263" s="1"/>
      <c r="B1263" s="24" t="s">
        <v>2949</v>
      </c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"/>
    </row>
    <row r="1264">
      <c r="A1264" s="1"/>
      <c r="B1264" s="4" t="s">
        <v>2950</v>
      </c>
      <c r="D1264" s="9"/>
      <c r="E1264" s="17" t="s">
        <v>14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>
      <c r="A1265" s="1"/>
      <c r="B1265" s="25" t="s">
        <v>1147</v>
      </c>
      <c r="E1265" s="26" t="s">
        <v>110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>
      <c r="A1266" s="1"/>
      <c r="B1266" s="24" t="s">
        <v>2952</v>
      </c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"/>
    </row>
    <row r="1267">
      <c r="A1267" s="1"/>
      <c r="B1267" s="4" t="s">
        <v>2955</v>
      </c>
      <c r="D1267" s="9"/>
      <c r="E1267" s="17" t="s">
        <v>14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>
      <c r="A1268" s="1"/>
      <c r="B1268" s="25" t="s">
        <v>117</v>
      </c>
      <c r="E1268" s="26" t="s">
        <v>110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>
      <c r="A1269" s="1"/>
      <c r="B1269" s="24" t="s">
        <v>2957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"/>
    </row>
    <row r="1270">
      <c r="A1270" s="1"/>
      <c r="B1270" s="4" t="s">
        <v>2959</v>
      </c>
      <c r="D1270" s="9"/>
      <c r="E1270" s="17" t="s">
        <v>14</v>
      </c>
      <c r="F1270" s="18" t="str">
        <f>HYPERLINK("https://www.youtube.com/watch?v=L83iyOPMFFE",'Players&gt;List'!$B23)</f>
        <v>[MOL]</v>
      </c>
      <c r="G1270" s="18" t="str">
        <f>HYPERLINK("https://www.youtube.com/watch?v=FFFnSYJloCc",'Players&gt;List'!$B28)</f>
        <v>[SUN]</v>
      </c>
      <c r="H1270" s="1"/>
      <c r="I1270" s="1"/>
      <c r="J1270" s="1"/>
      <c r="K1270" s="1"/>
      <c r="L1270" s="1"/>
      <c r="M1270" s="1"/>
      <c r="N1270" s="1"/>
      <c r="O1270" s="1"/>
      <c r="P1270" s="1"/>
    </row>
    <row r="1271">
      <c r="A1271" s="1"/>
      <c r="B1271" s="25" t="s">
        <v>88</v>
      </c>
      <c r="E1271" s="26" t="s">
        <v>90</v>
      </c>
      <c r="F1271" s="18" t="str">
        <f>HYPERLINK("https://www.youtube.com/watch?v=jtAfixPcFB8",'Players&gt;List'!$B18)</f>
        <v>[HGB]</v>
      </c>
      <c r="G1271" s="18" t="str">
        <f>HYPERLINK("https://www.youtube.com/watch?v=wiX-fMgLGIY",'Players&gt;List'!$B28)</f>
        <v>[SUN]</v>
      </c>
      <c r="H1271" s="1"/>
      <c r="I1271" s="1"/>
      <c r="J1271" s="1"/>
      <c r="K1271" s="1"/>
      <c r="L1271" s="1"/>
      <c r="M1271" s="1"/>
      <c r="N1271" s="1"/>
      <c r="O1271" s="1"/>
      <c r="P1271" s="1"/>
    </row>
    <row r="1272">
      <c r="A1272" s="1"/>
      <c r="B1272" s="24" t="s">
        <v>2965</v>
      </c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"/>
    </row>
    <row r="1273">
      <c r="A1273" s="1"/>
      <c r="B1273" s="4" t="s">
        <v>2967</v>
      </c>
      <c r="D1273" s="9"/>
      <c r="E1273" s="17" t="s">
        <v>14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>
      <c r="A1274" s="1"/>
      <c r="B1274" s="25" t="s">
        <v>108</v>
      </c>
      <c r="E1274" s="26" t="s">
        <v>110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>
      <c r="A1275" s="1"/>
      <c r="B1275" s="25" t="s">
        <v>149</v>
      </c>
      <c r="E1275" s="26" t="s">
        <v>147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>
      <c r="A1276" s="1"/>
      <c r="B1276" s="24" t="s">
        <v>2969</v>
      </c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"/>
    </row>
    <row r="1277">
      <c r="A1277" s="1"/>
      <c r="B1277" s="4" t="s">
        <v>2971</v>
      </c>
      <c r="D1277" s="9"/>
      <c r="E1277" s="17" t="s">
        <v>14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>
      <c r="A1278" s="1"/>
      <c r="B1278" s="25" t="s">
        <v>335</v>
      </c>
      <c r="E1278" s="26" t="s">
        <v>90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>
      <c r="A1279" s="1"/>
      <c r="B1279" s="25" t="s">
        <v>117</v>
      </c>
      <c r="E1279" s="26" t="s">
        <v>132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>
      <c r="A1280" s="1"/>
      <c r="B1280" s="25" t="s">
        <v>157</v>
      </c>
      <c r="E1280" s="26" t="s">
        <v>132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>
      <c r="A1281" s="1"/>
      <c r="B1281" s="24" t="s">
        <v>2973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"/>
    </row>
    <row r="1282">
      <c r="A1282" s="1"/>
      <c r="B1282" s="4" t="s">
        <v>2976</v>
      </c>
      <c r="D1282" s="9"/>
      <c r="E1282" s="17" t="s">
        <v>14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>
      <c r="A1283" s="1"/>
      <c r="B1283" s="25" t="s">
        <v>88</v>
      </c>
      <c r="E1283" s="26" t="s">
        <v>90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>
      <c r="A1284" s="1"/>
      <c r="B1284" s="24" t="s">
        <v>2978</v>
      </c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"/>
    </row>
    <row r="1285">
      <c r="A1285" s="1"/>
      <c r="B1285" s="4" t="s">
        <v>2980</v>
      </c>
      <c r="D1285" s="9"/>
      <c r="E1285" s="17" t="s">
        <v>14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>
      <c r="A1286" s="1"/>
      <c r="B1286" s="25" t="s">
        <v>117</v>
      </c>
      <c r="E1286" s="26" t="s">
        <v>110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>
      <c r="A1287" s="1"/>
      <c r="B1287" s="24" t="s">
        <v>2981</v>
      </c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"/>
    </row>
    <row r="1288">
      <c r="A1288" s="1"/>
      <c r="B1288" s="4" t="s">
        <v>2982</v>
      </c>
      <c r="D1288" s="9"/>
      <c r="E1288" s="17" t="s">
        <v>14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>
      <c r="A1289" s="1"/>
      <c r="B1289" s="25" t="s">
        <v>88</v>
      </c>
      <c r="E1289" s="26" t="s">
        <v>90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>
      <c r="A1290" s="1"/>
      <c r="B1290" s="24" t="s">
        <v>2984</v>
      </c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"/>
    </row>
    <row r="1291">
      <c r="A1291" s="1"/>
      <c r="B1291" s="4" t="s">
        <v>2985</v>
      </c>
      <c r="D1291" s="9"/>
      <c r="E1291" s="17" t="s">
        <v>14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>
      <c r="A1292" s="1"/>
      <c r="B1292" s="25" t="s">
        <v>117</v>
      </c>
      <c r="E1292" s="26" t="s">
        <v>110</v>
      </c>
      <c r="F1292" s="18" t="str">
        <f>HYPERLINK("https://www.youtube.com/watch?v=9cFG3uw1FcM",'Players&gt;List'!$B28)</f>
        <v>[SUN]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>
      <c r="A1293" s="1"/>
      <c r="B1293" s="24" t="s">
        <v>2986</v>
      </c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"/>
    </row>
    <row r="1294">
      <c r="A1294" s="1"/>
      <c r="B1294" s="4" t="s">
        <v>2989</v>
      </c>
      <c r="D1294" s="9"/>
      <c r="E1294" s="17" t="s">
        <v>14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>
      <c r="A1295" s="1"/>
      <c r="B1295" s="25" t="s">
        <v>88</v>
      </c>
      <c r="E1295" s="26" t="s">
        <v>90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>
      <c r="A1296" s="1"/>
      <c r="B1296" s="24" t="s">
        <v>2991</v>
      </c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"/>
    </row>
    <row r="1297">
      <c r="A1297" s="1"/>
      <c r="B1297" s="4" t="s">
        <v>2993</v>
      </c>
      <c r="D1297" s="9"/>
      <c r="E1297" s="17" t="s">
        <v>14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>
      <c r="A1298" s="1"/>
      <c r="B1298" s="25" t="s">
        <v>117</v>
      </c>
      <c r="E1298" s="26" t="s">
        <v>110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>
      <c r="A1299" s="1"/>
      <c r="B1299" s="25" t="s">
        <v>108</v>
      </c>
      <c r="E1299" s="26" t="s">
        <v>132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>
      <c r="A1300" s="1"/>
      <c r="B1300" s="24" t="s">
        <v>2994</v>
      </c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"/>
    </row>
    <row r="1301">
      <c r="A1301" s="1"/>
      <c r="B1301" s="4" t="s">
        <v>2995</v>
      </c>
      <c r="D1301" s="9"/>
      <c r="E1301" s="17" t="s">
        <v>14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>
      <c r="A1302" s="1"/>
      <c r="B1302" s="25" t="s">
        <v>117</v>
      </c>
      <c r="E1302" s="26" t="s">
        <v>110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>
      <c r="A1303" s="1"/>
      <c r="B1303" s="24" t="s">
        <v>2996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"/>
    </row>
    <row r="1304">
      <c r="A1304" s="1"/>
      <c r="B1304" s="4" t="s">
        <v>2999</v>
      </c>
      <c r="D1304" s="9"/>
      <c r="E1304" s="17" t="s">
        <v>14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>
      <c r="A1305" s="1"/>
      <c r="B1305" s="25" t="s">
        <v>108</v>
      </c>
      <c r="E1305" s="26" t="s">
        <v>110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>
      <c r="A1306" s="1"/>
      <c r="B1306" s="24" t="s">
        <v>3003</v>
      </c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"/>
    </row>
    <row r="1307">
      <c r="A1307" s="1"/>
      <c r="B1307" s="4" t="s">
        <v>3004</v>
      </c>
      <c r="D1307" s="9"/>
      <c r="E1307" s="17" t="s">
        <v>14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>
      <c r="A1308" s="1"/>
      <c r="B1308" s="25" t="s">
        <v>117</v>
      </c>
      <c r="E1308" s="26" t="s">
        <v>110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>
      <c r="A1309" s="1"/>
      <c r="B1309" s="24" t="s">
        <v>3005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"/>
    </row>
    <row r="1310">
      <c r="A1310" s="1"/>
      <c r="B1310" s="4" t="s">
        <v>3007</v>
      </c>
      <c r="D1310" s="9"/>
      <c r="E1310" s="17" t="s">
        <v>14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>
      <c r="A1311" s="1"/>
      <c r="B1311" s="25" t="s">
        <v>88</v>
      </c>
      <c r="E1311" s="26" t="s">
        <v>90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>
      <c r="A1312" s="1"/>
      <c r="B1312" s="24" t="s">
        <v>3008</v>
      </c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"/>
    </row>
    <row r="1313">
      <c r="A1313" s="1"/>
      <c r="B1313" s="4" t="s">
        <v>3010</v>
      </c>
      <c r="D1313" s="9"/>
      <c r="E1313" s="17" t="s">
        <v>14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>
      <c r="A1314" s="1"/>
      <c r="B1314" s="25" t="s">
        <v>2687</v>
      </c>
      <c r="E1314" s="26" t="s">
        <v>110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>
      <c r="A1315" s="1"/>
      <c r="B1315" s="25" t="s">
        <v>149</v>
      </c>
      <c r="E1315" s="26" t="s">
        <v>147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>
      <c r="A1316" s="1"/>
      <c r="B1316" s="24" t="s">
        <v>3011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"/>
    </row>
    <row r="1317">
      <c r="A1317" s="1"/>
      <c r="B1317" s="4" t="s">
        <v>3013</v>
      </c>
      <c r="D1317" s="9"/>
      <c r="E1317" s="17" t="s">
        <v>14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>
      <c r="A1318" s="1"/>
      <c r="B1318" s="25" t="s">
        <v>149</v>
      </c>
      <c r="E1318" s="26" t="s">
        <v>90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>
      <c r="A1319" s="1"/>
      <c r="B1319" s="24" t="s">
        <v>3015</v>
      </c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"/>
    </row>
    <row r="1320">
      <c r="A1320" s="1"/>
      <c r="B1320" s="4" t="s">
        <v>3016</v>
      </c>
      <c r="D1320" s="9"/>
      <c r="E1320" s="17" t="s">
        <v>14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>
      <c r="A1321" s="1"/>
      <c r="B1321" s="25" t="s">
        <v>88</v>
      </c>
      <c r="E1321" s="26" t="s">
        <v>90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>
      <c r="A1322" s="1"/>
      <c r="B1322" s="24" t="s">
        <v>3018</v>
      </c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"/>
    </row>
    <row r="1323">
      <c r="A1323" s="1"/>
      <c r="B1323" s="4" t="s">
        <v>3019</v>
      </c>
      <c r="D1323" s="9"/>
      <c r="E1323" s="17" t="s">
        <v>14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>
      <c r="A1324" s="1"/>
      <c r="B1324" s="25" t="s">
        <v>149</v>
      </c>
      <c r="E1324" s="26" t="s">
        <v>90</v>
      </c>
      <c r="F1324" s="18" t="str">
        <f>HYPERLINK("https://www.youtube.com/watch?v=z3MrSoeIQQQ",'Players&gt;List'!$B18)</f>
        <v>[HGB]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>
      <c r="A1325" s="1"/>
      <c r="B1325" s="25" t="s">
        <v>157</v>
      </c>
      <c r="E1325" s="26" t="s">
        <v>132</v>
      </c>
      <c r="F1325" s="18" t="str">
        <f>HYPERLINK("https://www.youtube.com/watch?v=xQts2uqQzD4",'Players&gt;List'!$B18)</f>
        <v>[HGB]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>
      <c r="A1326" s="1"/>
      <c r="B1326" s="25" t="s">
        <v>108</v>
      </c>
      <c r="E1326" s="26" t="s">
        <v>132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>
      <c r="A1327" s="1"/>
      <c r="B1327" s="24" t="s">
        <v>3023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"/>
    </row>
    <row r="1328">
      <c r="A1328" s="1"/>
      <c r="B1328" s="4" t="s">
        <v>3024</v>
      </c>
      <c r="D1328" s="9"/>
      <c r="E1328" s="17" t="s">
        <v>14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>
      <c r="A1329" s="1"/>
      <c r="B1329" s="25" t="s">
        <v>117</v>
      </c>
      <c r="E1329" s="26" t="s">
        <v>110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>
      <c r="A1330" s="1"/>
      <c r="B1330" s="25" t="s">
        <v>88</v>
      </c>
      <c r="E1330" s="26" t="s">
        <v>147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>
      <c r="A1331" s="1"/>
      <c r="B1331" s="25" t="s">
        <v>149</v>
      </c>
      <c r="E1331" s="26" t="s">
        <v>147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>
      <c r="A1332" s="1"/>
      <c r="B1332" s="24" t="s">
        <v>3025</v>
      </c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"/>
    </row>
    <row r="1333">
      <c r="A1333" s="1"/>
      <c r="B1333" s="4" t="s">
        <v>3026</v>
      </c>
      <c r="D1333" s="9"/>
      <c r="E1333" s="17" t="s">
        <v>14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>
      <c r="A1334" s="1"/>
      <c r="B1334" s="25" t="s">
        <v>131</v>
      </c>
      <c r="E1334" s="26" t="s">
        <v>110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>
      <c r="A1335" s="1"/>
      <c r="B1335" s="24" t="s">
        <v>3028</v>
      </c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"/>
    </row>
    <row r="1336">
      <c r="A1336" s="1"/>
      <c r="B1336" s="4" t="s">
        <v>3029</v>
      </c>
      <c r="D1336" s="9"/>
      <c r="E1336" s="17" t="s">
        <v>14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>
      <c r="A1337" s="1"/>
      <c r="B1337" s="25" t="s">
        <v>108</v>
      </c>
      <c r="E1337" s="26" t="s">
        <v>110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>
      <c r="A1338" s="1"/>
      <c r="B1338" s="24" t="s">
        <v>3032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"/>
    </row>
    <row r="1339">
      <c r="A1339" s="1"/>
      <c r="B1339" s="4" t="s">
        <v>3033</v>
      </c>
      <c r="D1339" s="9"/>
      <c r="E1339" s="17" t="s">
        <v>14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>
      <c r="A1340" s="1"/>
      <c r="B1340" s="25" t="s">
        <v>108</v>
      </c>
      <c r="E1340" s="26" t="s">
        <v>110</v>
      </c>
      <c r="F1340" s="18" t="str">
        <f>HYPERLINK("https://www.youtube.com/watch?v=dCxoQ8iSqiI",'Players&gt;List'!$B18)</f>
        <v>[HGB]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>
      <c r="A1341" s="1"/>
      <c r="B1341" s="25" t="s">
        <v>117</v>
      </c>
      <c r="E1341" s="26" t="s">
        <v>132</v>
      </c>
      <c r="F1341" s="18" t="str">
        <f>HYPERLINK("https://youtu.be/KyOg6OI3KZs",'Players&gt;List'!$B23)</f>
        <v>[MOL]</v>
      </c>
      <c r="G1341" s="18" t="str">
        <f>HYPERLINK("https://www.youtube.com/watch?v=TUInskabaeo",'Players&gt;List'!$B19)</f>
        <v>[HIT]</v>
      </c>
      <c r="H1341" s="18" t="str">
        <f>HYPERLINK("https://www.twitch.tv/videos/254479352",'Players&gt;List'!$B17)</f>
        <v>[GOL]</v>
      </c>
      <c r="I1341" s="18" t="str">
        <f>HYPERLINK("https://www.twitch.tv/videos/311494985",'Players&gt;List'!$B9)</f>
        <v>[AWE]</v>
      </c>
      <c r="J1341" s="18" t="str">
        <f>HYPERLINK("https://www.twitch.tv/videos/336414071",'Players&gt;List'!$B24)</f>
        <v>[NIM]</v>
      </c>
      <c r="K1341" s="1"/>
      <c r="L1341" s="1"/>
      <c r="M1341" s="1"/>
      <c r="N1341" s="1"/>
      <c r="O1341" s="1"/>
      <c r="P1341" s="1"/>
    </row>
    <row r="1342">
      <c r="A1342" s="1"/>
      <c r="B1342" s="25" t="s">
        <v>131</v>
      </c>
      <c r="E1342" s="26" t="s">
        <v>132</v>
      </c>
      <c r="F1342" s="18" t="str">
        <f>HYPERLINK("https://www.youtube.com/watch?v=W9AWC0ut_PQ",'Players&gt;List'!$B18)</f>
        <v>[HGB]</v>
      </c>
      <c r="G1342" s="18" t="str">
        <f>HYPERLINK("https://www.twitch.tv/videos/336694987",'Players&gt;List'!$B24)</f>
        <v>[NIM]</v>
      </c>
      <c r="H1342" s="1"/>
      <c r="I1342" s="1"/>
      <c r="J1342" s="1"/>
      <c r="K1342" s="1"/>
      <c r="L1342" s="1"/>
      <c r="M1342" s="1"/>
      <c r="N1342" s="1"/>
      <c r="O1342" s="1"/>
      <c r="P1342" s="1"/>
    </row>
    <row r="1343">
      <c r="A1343" s="1"/>
      <c r="B1343" s="25" t="s">
        <v>157</v>
      </c>
      <c r="E1343" s="26" t="s">
        <v>132</v>
      </c>
      <c r="F1343" s="18" t="str">
        <f>HYPERLINK("https://www.twitch.tv/videos/336694989",'Players&gt;List'!$B24)</f>
        <v>[NIM]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>
      <c r="A1344" s="1"/>
      <c r="B1344" s="25" t="s">
        <v>197</v>
      </c>
      <c r="E1344" s="26" t="s">
        <v>147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>
      <c r="A1345" s="1"/>
      <c r="B1345" s="25" t="s">
        <v>88</v>
      </c>
      <c r="E1345" s="26" t="s">
        <v>147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>
      <c r="A1346" s="1"/>
      <c r="B1346" s="24" t="s">
        <v>3043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"/>
    </row>
    <row r="1347">
      <c r="A1347" s="1"/>
      <c r="B1347" s="4" t="s">
        <v>3045</v>
      </c>
      <c r="D1347" s="9"/>
      <c r="E1347" s="17" t="s">
        <v>14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>
      <c r="A1348" s="1"/>
      <c r="B1348" s="25" t="s">
        <v>117</v>
      </c>
      <c r="E1348" s="26" t="s">
        <v>110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>
      <c r="A1349" s="1"/>
      <c r="B1349" s="25" t="s">
        <v>88</v>
      </c>
      <c r="E1349" s="26" t="s">
        <v>147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>
      <c r="A1350" s="1"/>
      <c r="B1350" s="25" t="s">
        <v>149</v>
      </c>
      <c r="E1350" s="26" t="s">
        <v>147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>
      <c r="A1351" s="1"/>
      <c r="B1351" s="24" t="s">
        <v>3046</v>
      </c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"/>
    </row>
    <row r="1352">
      <c r="A1352" s="1"/>
      <c r="B1352" s="4" t="s">
        <v>3047</v>
      </c>
      <c r="D1352" s="9"/>
      <c r="E1352" s="17" t="s">
        <v>14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>
      <c r="A1353" s="1"/>
      <c r="B1353" s="25" t="s">
        <v>2296</v>
      </c>
      <c r="E1353" s="26" t="s">
        <v>234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>
      <c r="A1354" s="1"/>
      <c r="B1354" s="24" t="s">
        <v>3050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"/>
    </row>
    <row r="1355">
      <c r="A1355" s="1"/>
      <c r="B1355" s="4" t="s">
        <v>3051</v>
      </c>
      <c r="D1355" s="9"/>
      <c r="E1355" s="17" t="s">
        <v>14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>
      <c r="A1356" s="1"/>
      <c r="B1356" s="25" t="s">
        <v>88</v>
      </c>
      <c r="E1356" s="26" t="s">
        <v>90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>
      <c r="A1357" s="1"/>
      <c r="B1357" s="24" t="s">
        <v>3052</v>
      </c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"/>
    </row>
    <row r="1358">
      <c r="A1358" s="1"/>
      <c r="B1358" s="4" t="s">
        <v>3053</v>
      </c>
      <c r="D1358" s="9"/>
      <c r="E1358" s="17" t="s">
        <v>14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>
      <c r="A1359" s="1"/>
      <c r="B1359" s="25" t="s">
        <v>88</v>
      </c>
      <c r="E1359" s="26" t="s">
        <v>90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>
      <c r="A1360" s="1"/>
      <c r="B1360" s="25" t="s">
        <v>149</v>
      </c>
      <c r="E1360" s="26" t="s">
        <v>147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>
      <c r="A1361" s="1"/>
      <c r="B1361" s="24" t="s">
        <v>3055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"/>
    </row>
    <row r="1362">
      <c r="A1362" s="1"/>
      <c r="B1362" s="4" t="s">
        <v>3057</v>
      </c>
      <c r="D1362" s="9"/>
      <c r="E1362" s="17" t="s">
        <v>14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>
      <c r="A1363" s="1"/>
      <c r="B1363" s="25" t="s">
        <v>117</v>
      </c>
      <c r="E1363" s="26" t="s">
        <v>110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>
      <c r="A1364" s="1"/>
      <c r="B1364" s="24" t="s">
        <v>3058</v>
      </c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"/>
    </row>
    <row r="1365">
      <c r="A1365" s="1"/>
      <c r="B1365" s="4" t="s">
        <v>3059</v>
      </c>
      <c r="D1365" s="9"/>
      <c r="E1365" s="17" t="s">
        <v>14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>
      <c r="A1366" s="1"/>
      <c r="B1366" s="25" t="s">
        <v>88</v>
      </c>
      <c r="E1366" s="26" t="s">
        <v>90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>
      <c r="A1367" s="1"/>
      <c r="B1367" s="24" t="s">
        <v>3061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"/>
    </row>
    <row r="1368">
      <c r="A1368" s="1"/>
      <c r="B1368" s="4" t="s">
        <v>3064</v>
      </c>
      <c r="D1368" s="9"/>
      <c r="E1368" s="17" t="s">
        <v>14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>
      <c r="A1369" s="1"/>
      <c r="B1369" s="25" t="s">
        <v>157</v>
      </c>
      <c r="E1369" s="26" t="s">
        <v>110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>
      <c r="A1370" s="1"/>
      <c r="B1370" s="25" t="s">
        <v>149</v>
      </c>
      <c r="E1370" s="26" t="s">
        <v>147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>
      <c r="A1371" s="1"/>
      <c r="B1371" s="24" t="s">
        <v>3066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"/>
    </row>
    <row r="1372">
      <c r="A1372" s="1"/>
      <c r="B1372" s="4" t="s">
        <v>3068</v>
      </c>
      <c r="D1372" s="9"/>
      <c r="E1372" s="17" t="s">
        <v>14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>
      <c r="A1373" s="1"/>
      <c r="B1373" s="25" t="s">
        <v>88</v>
      </c>
      <c r="E1373" s="26" t="s">
        <v>90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>
      <c r="A1374" s="1"/>
      <c r="B1374" s="24" t="s">
        <v>3070</v>
      </c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"/>
    </row>
    <row r="1375">
      <c r="A1375" s="1"/>
      <c r="B1375" s="4" t="s">
        <v>3072</v>
      </c>
      <c r="D1375" s="9"/>
      <c r="E1375" s="17" t="s">
        <v>14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>
      <c r="A1376" s="1"/>
      <c r="B1376" s="25" t="s">
        <v>149</v>
      </c>
      <c r="E1376" s="26" t="s">
        <v>90</v>
      </c>
      <c r="F1376" s="18" t="str">
        <f>HYPERLINK("https://www.youtube.com/watch?v=4Rjc5prqi7g",'Players&gt;List'!$B18)</f>
        <v>[HGB]</v>
      </c>
      <c r="G1376" s="18" t="str">
        <f>HYPERLINK("https://www.twitch.tv/videos/331258217",'Players&gt;List'!$B24)</f>
        <v>[NIM]</v>
      </c>
      <c r="H1376" s="1"/>
      <c r="I1376" s="1"/>
      <c r="J1376" s="1"/>
      <c r="K1376" s="1"/>
      <c r="L1376" s="1"/>
      <c r="M1376" s="1"/>
      <c r="N1376" s="1"/>
      <c r="O1376" s="1"/>
      <c r="P1376" s="1"/>
    </row>
    <row r="1377">
      <c r="A1377" s="1"/>
      <c r="B1377" s="25" t="s">
        <v>157</v>
      </c>
      <c r="E1377" s="26" t="s">
        <v>132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>
      <c r="A1378" s="1"/>
      <c r="B1378" s="24" t="s">
        <v>3075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"/>
    </row>
    <row r="1379">
      <c r="A1379" s="1"/>
      <c r="B1379" s="4" t="s">
        <v>3078</v>
      </c>
      <c r="D1379" s="9"/>
      <c r="E1379" s="17" t="s">
        <v>14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>
      <c r="A1380" s="1"/>
      <c r="B1380" s="25" t="s">
        <v>117</v>
      </c>
      <c r="E1380" s="26" t="s">
        <v>110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>
      <c r="A1381" s="1"/>
      <c r="B1381" s="24" t="s">
        <v>3080</v>
      </c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"/>
    </row>
    <row r="1382">
      <c r="A1382" s="1"/>
      <c r="B1382" s="4" t="s">
        <v>3082</v>
      </c>
      <c r="D1382" s="9"/>
      <c r="E1382" s="17" t="s">
        <v>14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>
      <c r="A1383" s="1"/>
      <c r="B1383" s="25" t="s">
        <v>149</v>
      </c>
      <c r="E1383" s="26" t="s">
        <v>90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>
      <c r="A1384" s="1"/>
      <c r="B1384" s="24" t="s">
        <v>3084</v>
      </c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"/>
    </row>
    <row r="1385">
      <c r="A1385" s="1"/>
      <c r="B1385" s="4" t="s">
        <v>3085</v>
      </c>
      <c r="D1385" s="9"/>
      <c r="E1385" s="17" t="s">
        <v>14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>
      <c r="A1386" s="1"/>
      <c r="B1386" s="25" t="s">
        <v>88</v>
      </c>
      <c r="E1386" s="26" t="s">
        <v>90</v>
      </c>
      <c r="F1386" s="18" t="str">
        <f>HYPERLINK("https://www.youtube.com/watch?v=F80H-q8CIb4",'Players&gt;List'!$B28)</f>
        <v>[SUN]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>
      <c r="A1387" s="1"/>
      <c r="B1387" s="24" t="s">
        <v>3088</v>
      </c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"/>
    </row>
    <row r="1388">
      <c r="A1388" s="1"/>
      <c r="B1388" s="4" t="s">
        <v>3089</v>
      </c>
      <c r="D1388" s="9"/>
      <c r="E1388" s="17" t="s">
        <v>14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>
      <c r="A1389" s="1"/>
      <c r="B1389" s="25" t="s">
        <v>88</v>
      </c>
      <c r="E1389" s="26" t="s">
        <v>90</v>
      </c>
      <c r="F1389" s="18" t="str">
        <f>HYPERLINK("https://www.youtube.com/watch?v=EWUwGW6euAo",'Players&gt;List'!$B28)</f>
        <v>[SUN]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>
      <c r="A1390" s="1"/>
      <c r="B1390" s="24" t="s">
        <v>3091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"/>
    </row>
    <row r="1391">
      <c r="A1391" s="1"/>
      <c r="B1391" s="4" t="s">
        <v>3095</v>
      </c>
      <c r="D1391" s="9"/>
      <c r="E1391" s="17" t="s">
        <v>14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>
      <c r="A1392" s="1"/>
      <c r="B1392" s="25" t="s">
        <v>117</v>
      </c>
      <c r="E1392" s="26" t="s">
        <v>110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>
      <c r="A1393" s="1"/>
      <c r="B1393" s="24" t="s">
        <v>3097</v>
      </c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"/>
    </row>
    <row r="1394">
      <c r="A1394" s="1"/>
      <c r="B1394" s="4" t="s">
        <v>3098</v>
      </c>
      <c r="D1394" s="9"/>
      <c r="E1394" s="17" t="s">
        <v>14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>
      <c r="A1395" s="1"/>
      <c r="B1395" s="25" t="s">
        <v>88</v>
      </c>
      <c r="E1395" s="26" t="s">
        <v>90</v>
      </c>
      <c r="F1395" s="18" t="str">
        <f>HYPERLINK("https://www.youtube.com/watch?v=M9TcJnOXMGs",'Players&gt;List'!$B28)</f>
        <v>[SUN]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>
      <c r="A1396" s="1"/>
      <c r="B1396" s="24" t="s">
        <v>3100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"/>
    </row>
    <row r="1397">
      <c r="A1397" s="1"/>
      <c r="B1397" s="4" t="s">
        <v>3103</v>
      </c>
      <c r="D1397" s="9"/>
      <c r="E1397" s="17" t="s">
        <v>14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>
      <c r="A1398" s="1"/>
      <c r="B1398" s="25" t="s">
        <v>131</v>
      </c>
      <c r="E1398" s="26" t="s">
        <v>110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>
      <c r="A1399" s="1"/>
      <c r="B1399" s="24" t="s">
        <v>3105</v>
      </c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"/>
    </row>
    <row r="1400">
      <c r="A1400" s="1"/>
      <c r="B1400" s="4" t="s">
        <v>3106</v>
      </c>
      <c r="D1400" s="9"/>
      <c r="E1400" s="17" t="s">
        <v>14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>
      <c r="A1401" s="1"/>
      <c r="B1401" s="25" t="s">
        <v>2226</v>
      </c>
      <c r="E1401" s="26" t="s">
        <v>234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>
      <c r="A1402" s="1"/>
      <c r="B1402" s="25" t="s">
        <v>439</v>
      </c>
      <c r="E1402" s="26" t="s">
        <v>132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>
      <c r="A1403" s="1"/>
      <c r="B1403" s="24" t="s">
        <v>3109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"/>
    </row>
    <row r="1404">
      <c r="A1404" s="1"/>
      <c r="B1404" s="4" t="s">
        <v>3110</v>
      </c>
      <c r="D1404" s="9"/>
      <c r="E1404" s="17" t="s">
        <v>14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>
      <c r="A1405" s="1"/>
      <c r="B1405" s="25" t="s">
        <v>117</v>
      </c>
      <c r="E1405" s="26" t="s">
        <v>110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>
      <c r="A1406" s="1"/>
      <c r="B1406" s="25" t="s">
        <v>88</v>
      </c>
      <c r="E1406" s="26" t="s">
        <v>147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>
      <c r="A1407" s="1"/>
      <c r="B1407" s="25" t="s">
        <v>149</v>
      </c>
      <c r="E1407" s="26" t="s">
        <v>147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>
      <c r="A1408" s="1"/>
      <c r="B1408" s="24" t="s">
        <v>3112</v>
      </c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"/>
    </row>
    <row r="1409">
      <c r="A1409" s="1"/>
      <c r="B1409" s="4" t="s">
        <v>3114</v>
      </c>
      <c r="D1409" s="9"/>
      <c r="E1409" s="17" t="s">
        <v>14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>
      <c r="A1410" s="1"/>
      <c r="B1410" s="25" t="s">
        <v>117</v>
      </c>
      <c r="E1410" s="26" t="s">
        <v>110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>
      <c r="A1411" s="1"/>
      <c r="B1411" s="24" t="s">
        <v>3116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"/>
    </row>
    <row r="1412">
      <c r="A1412" s="1"/>
      <c r="B1412" s="4" t="s">
        <v>3118</v>
      </c>
      <c r="D1412" s="9"/>
      <c r="E1412" s="17" t="s">
        <v>14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>
      <c r="A1413" s="1"/>
      <c r="B1413" s="25" t="s">
        <v>157</v>
      </c>
      <c r="E1413" s="26" t="s">
        <v>110</v>
      </c>
      <c r="F1413" s="18" t="str">
        <f>HYPERLINK("https://www.youtube.com/watch?v=-9OYw8GtSBE",'Players&gt;List'!$B19)</f>
        <v>[HIT]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>
      <c r="A1414" s="1"/>
      <c r="B1414" s="24" t="s">
        <v>3119</v>
      </c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"/>
    </row>
    <row r="1415">
      <c r="A1415" s="1"/>
      <c r="B1415" s="4" t="s">
        <v>3121</v>
      </c>
      <c r="D1415" s="9"/>
      <c r="E1415" s="17" t="s">
        <v>14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>
      <c r="A1416" s="1"/>
      <c r="B1416" s="25" t="s">
        <v>117</v>
      </c>
      <c r="E1416" s="26" t="s">
        <v>110</v>
      </c>
      <c r="F1416" s="18" t="str">
        <f>HYPERLINK("https://www.youtube.com/watch?v=6tar5NrSH5M",'Players&gt;List'!$B18)</f>
        <v>[HGB]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>
      <c r="A1417" s="1"/>
      <c r="B1417" s="25" t="s">
        <v>149</v>
      </c>
      <c r="E1417" s="26" t="s">
        <v>147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>
      <c r="A1418" s="1"/>
      <c r="B1418" s="24" t="s">
        <v>3125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"/>
    </row>
    <row r="1419">
      <c r="A1419" s="1"/>
      <c r="B1419" s="4" t="s">
        <v>3126</v>
      </c>
      <c r="D1419" s="9"/>
      <c r="E1419" s="17" t="s">
        <v>14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>
      <c r="A1420" s="1"/>
      <c r="B1420" s="25" t="s">
        <v>88</v>
      </c>
      <c r="E1420" s="26" t="s">
        <v>90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>
      <c r="A1421" s="1"/>
      <c r="B1421" s="24" t="s">
        <v>3128</v>
      </c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"/>
    </row>
    <row r="1422">
      <c r="A1422" s="1"/>
      <c r="B1422" s="4" t="s">
        <v>3130</v>
      </c>
      <c r="D1422" s="9"/>
      <c r="E1422" s="17" t="s">
        <v>14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>
      <c r="A1423" s="1"/>
      <c r="B1423" s="25" t="s">
        <v>149</v>
      </c>
      <c r="E1423" s="26" t="s">
        <v>90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>
      <c r="A1424" s="1"/>
      <c r="B1424" s="24" t="s">
        <v>3131</v>
      </c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"/>
    </row>
    <row r="1425">
      <c r="A1425" s="1"/>
      <c r="B1425" s="4" t="s">
        <v>3132</v>
      </c>
      <c r="D1425" s="9"/>
      <c r="E1425" s="17" t="s">
        <v>14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>
      <c r="A1426" s="1"/>
      <c r="B1426" s="25" t="s">
        <v>88</v>
      </c>
      <c r="E1426" s="26" t="s">
        <v>90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>
      <c r="A1427" s="1"/>
      <c r="B1427" s="25" t="s">
        <v>131</v>
      </c>
      <c r="E1427" s="26" t="s">
        <v>132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>
      <c r="A1428" s="1"/>
      <c r="B1428" s="24" t="s">
        <v>3136</v>
      </c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"/>
    </row>
    <row r="1429">
      <c r="A1429" s="1"/>
      <c r="B1429" s="4" t="s">
        <v>3138</v>
      </c>
      <c r="D1429" s="9"/>
      <c r="E1429" s="17" t="s">
        <v>14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>
      <c r="A1430" s="1"/>
      <c r="B1430" s="25" t="s">
        <v>197</v>
      </c>
      <c r="E1430" s="26" t="s">
        <v>90</v>
      </c>
      <c r="F1430" s="18" t="str">
        <f>HYPERLINK("https://www.youtube.com/watch?v=CvcrmolLkhs",'Players&gt;List'!$B18)</f>
        <v>[HGB]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>
      <c r="A1431" s="1"/>
      <c r="B1431" s="25" t="s">
        <v>149</v>
      </c>
      <c r="E1431" s="26" t="s">
        <v>147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>
      <c r="A1432" s="1"/>
      <c r="B1432" s="24" t="s">
        <v>3139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"/>
    </row>
    <row r="1433">
      <c r="A1433" s="1"/>
      <c r="B1433" s="4" t="s">
        <v>3140</v>
      </c>
      <c r="D1433" s="9"/>
      <c r="E1433" s="17" t="s">
        <v>14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>
      <c r="A1434" s="1"/>
      <c r="B1434" s="25" t="s">
        <v>149</v>
      </c>
      <c r="E1434" s="26" t="s">
        <v>90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>
      <c r="A1435" s="1"/>
      <c r="B1435" s="25" t="s">
        <v>88</v>
      </c>
      <c r="E1435" s="26" t="s">
        <v>147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>
      <c r="A1436" s="1"/>
      <c r="B1436" s="25" t="s">
        <v>157</v>
      </c>
      <c r="E1436" s="26" t="s">
        <v>132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>
      <c r="A1437" s="1"/>
      <c r="B1437" s="24" t="s">
        <v>3142</v>
      </c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"/>
    </row>
    <row r="1438">
      <c r="A1438" s="1"/>
      <c r="B1438" s="4" t="s">
        <v>3143</v>
      </c>
      <c r="D1438" s="9"/>
      <c r="E1438" s="17" t="s">
        <v>14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>
      <c r="A1439" s="1"/>
      <c r="B1439" s="25" t="s">
        <v>117</v>
      </c>
      <c r="E1439" s="26" t="s">
        <v>110</v>
      </c>
      <c r="F1439" s="18" t="str">
        <f>HYPERLINK("https://www.youtube.com/watch?v=wvgo3c2KI2I",'Players&gt;List'!$B18)</f>
        <v>[HGB]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>
      <c r="A1440" s="1"/>
      <c r="B1440" s="25" t="s">
        <v>88</v>
      </c>
      <c r="E1440" s="26" t="s">
        <v>147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>
      <c r="A1441" s="1"/>
      <c r="B1441" s="24" t="s">
        <v>3146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"/>
    </row>
    <row r="1442">
      <c r="A1442" s="1"/>
      <c r="B1442" s="4" t="s">
        <v>3147</v>
      </c>
      <c r="D1442" s="9"/>
      <c r="E1442" s="17" t="s">
        <v>14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>
      <c r="A1443" s="1"/>
      <c r="B1443" s="25" t="s">
        <v>149</v>
      </c>
      <c r="E1443" s="26" t="s">
        <v>90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>
      <c r="A1444" s="1"/>
      <c r="B1444" s="25" t="s">
        <v>108</v>
      </c>
      <c r="E1444" s="26" t="s">
        <v>132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>
      <c r="A1445" s="1"/>
      <c r="B1445" s="24" t="s">
        <v>3149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"/>
    </row>
    <row r="1446">
      <c r="A1446" s="1"/>
      <c r="B1446" s="4" t="s">
        <v>3151</v>
      </c>
      <c r="D1446" s="9"/>
      <c r="E1446" s="17" t="s">
        <v>14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>
      <c r="A1447" s="1"/>
      <c r="B1447" s="25" t="s">
        <v>149</v>
      </c>
      <c r="E1447" s="26" t="s">
        <v>90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>
      <c r="A1448" s="1"/>
      <c r="B1448" s="25" t="s">
        <v>197</v>
      </c>
      <c r="E1448" s="26" t="s">
        <v>147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>
      <c r="A1449" s="1"/>
      <c r="B1449" s="24" t="s">
        <v>3153</v>
      </c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"/>
    </row>
    <row r="1450">
      <c r="A1450" s="1"/>
      <c r="B1450" s="4" t="s">
        <v>3155</v>
      </c>
      <c r="D1450" s="9"/>
      <c r="E1450" s="17" t="s">
        <v>14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>
      <c r="A1451" s="1"/>
      <c r="B1451" s="25" t="s">
        <v>88</v>
      </c>
      <c r="E1451" s="26" t="s">
        <v>90</v>
      </c>
      <c r="F1451" s="18" t="str">
        <f>HYPERLINK("https://www.youtube.com/watch?v=TjurYLyzOPc",'Players&gt;List'!$B18)</f>
        <v>[HGB]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>
      <c r="A1452" s="1"/>
      <c r="B1452" s="24" t="s">
        <v>3160</v>
      </c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"/>
    </row>
    <row r="1453">
      <c r="A1453" s="1"/>
      <c r="B1453" s="4" t="s">
        <v>3161</v>
      </c>
      <c r="D1453" s="9"/>
      <c r="E1453" s="17" t="s">
        <v>14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>
      <c r="A1454" s="1"/>
      <c r="B1454" s="25" t="s">
        <v>117</v>
      </c>
      <c r="E1454" s="26" t="s">
        <v>110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>
      <c r="A1455" s="1"/>
      <c r="B1455" s="24" t="s">
        <v>3163</v>
      </c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"/>
    </row>
    <row r="1456">
      <c r="A1456" s="1"/>
      <c r="B1456" s="4" t="s">
        <v>3166</v>
      </c>
      <c r="D1456" s="9"/>
      <c r="E1456" s="17" t="s">
        <v>14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>
      <c r="A1457" s="1"/>
      <c r="B1457" s="25" t="s">
        <v>88</v>
      </c>
      <c r="E1457" s="26" t="s">
        <v>90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>
      <c r="A1458" s="1"/>
      <c r="B1458" s="24" t="s">
        <v>3168</v>
      </c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"/>
    </row>
    <row r="1459">
      <c r="A1459" s="1"/>
      <c r="B1459" s="4" t="s">
        <v>3169</v>
      </c>
      <c r="D1459" s="9"/>
      <c r="E1459" s="17" t="s">
        <v>14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>
      <c r="A1460" s="1"/>
      <c r="B1460" s="25" t="s">
        <v>117</v>
      </c>
      <c r="E1460" s="26" t="s">
        <v>110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>
      <c r="A1461" s="1"/>
      <c r="B1461" s="24" t="s">
        <v>3170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"/>
    </row>
    <row r="1462">
      <c r="A1462" s="1"/>
      <c r="B1462" s="4" t="s">
        <v>3171</v>
      </c>
      <c r="D1462" s="9"/>
      <c r="E1462" s="17" t="s">
        <v>14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>
      <c r="A1463" s="1"/>
      <c r="B1463" s="25" t="s">
        <v>88</v>
      </c>
      <c r="E1463" s="26" t="s">
        <v>90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>
      <c r="A1464" s="1"/>
      <c r="B1464" s="24" t="s">
        <v>3172</v>
      </c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"/>
    </row>
    <row r="1465">
      <c r="A1465" s="1"/>
      <c r="B1465" s="4" t="s">
        <v>3176</v>
      </c>
      <c r="D1465" s="9"/>
      <c r="E1465" s="17" t="s">
        <v>14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>
      <c r="A1466" s="1"/>
      <c r="B1466" s="25" t="s">
        <v>88</v>
      </c>
      <c r="E1466" s="26" t="s">
        <v>90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>
      <c r="A1467" s="1"/>
      <c r="B1467" s="24" t="s">
        <v>3178</v>
      </c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"/>
    </row>
    <row r="1468">
      <c r="A1468" s="1"/>
      <c r="B1468" s="4" t="s">
        <v>3180</v>
      </c>
      <c r="D1468" s="9"/>
      <c r="E1468" s="17" t="s">
        <v>14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>
      <c r="A1469" s="1"/>
      <c r="B1469" s="25" t="s">
        <v>117</v>
      </c>
      <c r="E1469" s="26" t="s">
        <v>110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>
      <c r="A1470" s="1"/>
      <c r="B1470" s="24" t="s">
        <v>3182</v>
      </c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"/>
    </row>
    <row r="1471">
      <c r="A1471" s="1"/>
      <c r="B1471" s="4" t="s">
        <v>3183</v>
      </c>
      <c r="D1471" s="9"/>
      <c r="E1471" s="17" t="s">
        <v>14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>
      <c r="A1472" s="1"/>
      <c r="B1472" s="25" t="s">
        <v>88</v>
      </c>
      <c r="E1472" s="26" t="s">
        <v>90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>
      <c r="A1473" s="1"/>
      <c r="B1473" s="24" t="s">
        <v>3185</v>
      </c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"/>
    </row>
    <row r="1474">
      <c r="A1474" s="1"/>
      <c r="B1474" s="4" t="s">
        <v>3187</v>
      </c>
      <c r="D1474" s="9"/>
      <c r="E1474" s="17" t="s">
        <v>14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>
      <c r="A1475" s="1"/>
      <c r="B1475" s="25" t="s">
        <v>117</v>
      </c>
      <c r="E1475" s="26" t="s">
        <v>110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>
      <c r="A1476" s="1"/>
      <c r="B1476" s="25" t="s">
        <v>157</v>
      </c>
      <c r="E1476" s="26" t="s">
        <v>132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>
      <c r="A1477" s="1"/>
      <c r="B1477" s="25" t="s">
        <v>149</v>
      </c>
      <c r="E1477" s="26" t="s">
        <v>147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>
      <c r="A1478" s="1"/>
      <c r="B1478" s="25" t="s">
        <v>88</v>
      </c>
      <c r="E1478" s="26" t="s">
        <v>147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>
      <c r="A1479" s="1"/>
      <c r="B1479" s="24" t="s">
        <v>3190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"/>
    </row>
    <row r="1480">
      <c r="A1480" s="1"/>
      <c r="B1480" s="4" t="s">
        <v>3192</v>
      </c>
      <c r="D1480" s="9"/>
      <c r="E1480" s="17" t="s">
        <v>14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>
      <c r="A1481" s="1"/>
      <c r="B1481" s="25" t="s">
        <v>108</v>
      </c>
      <c r="E1481" s="26" t="s">
        <v>110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>
      <c r="A1482" s="1"/>
      <c r="B1482" s="25" t="s">
        <v>149</v>
      </c>
      <c r="E1482" s="26" t="s">
        <v>147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>
      <c r="A1483" s="1"/>
      <c r="B1483" s="24" t="s">
        <v>3194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"/>
    </row>
    <row r="1484">
      <c r="A1484" s="1"/>
      <c r="B1484" s="4" t="s">
        <v>3197</v>
      </c>
      <c r="D1484" s="9"/>
      <c r="E1484" s="17" t="s">
        <v>14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>
      <c r="A1485" s="1"/>
      <c r="B1485" s="25" t="s">
        <v>117</v>
      </c>
      <c r="E1485" s="26" t="s">
        <v>110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>
      <c r="A1486" s="1"/>
      <c r="B1486" s="24" t="s">
        <v>3199</v>
      </c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"/>
    </row>
    <row r="1487">
      <c r="A1487" s="1"/>
      <c r="B1487" s="4" t="s">
        <v>3201</v>
      </c>
      <c r="D1487" s="9"/>
      <c r="E1487" s="17" t="s">
        <v>14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>
      <c r="A1488" s="1"/>
      <c r="B1488" s="25" t="s">
        <v>117</v>
      </c>
      <c r="E1488" s="26" t="s">
        <v>110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>
      <c r="A1489" s="1"/>
      <c r="B1489" s="24" t="s">
        <v>3203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"/>
    </row>
    <row r="1490">
      <c r="A1490" s="1"/>
      <c r="B1490" s="4" t="s">
        <v>3204</v>
      </c>
      <c r="D1490" s="9"/>
      <c r="E1490" s="17" t="s">
        <v>14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>
      <c r="A1491" s="1"/>
      <c r="B1491" s="25" t="s">
        <v>88</v>
      </c>
      <c r="E1491" s="26" t="s">
        <v>90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>
      <c r="A1492" s="1"/>
      <c r="B1492" s="24" t="s">
        <v>3207</v>
      </c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"/>
    </row>
    <row r="1493">
      <c r="A1493" s="1"/>
      <c r="B1493" s="4" t="s">
        <v>3209</v>
      </c>
      <c r="D1493" s="9"/>
      <c r="E1493" s="17" t="s">
        <v>14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>
      <c r="A1494" s="1"/>
      <c r="B1494" s="25" t="s">
        <v>2296</v>
      </c>
      <c r="E1494" s="26" t="s">
        <v>234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>
      <c r="A1495" s="1"/>
      <c r="B1495" s="25" t="s">
        <v>88</v>
      </c>
      <c r="E1495" s="26" t="s">
        <v>147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>
      <c r="A1496" s="1"/>
      <c r="B1496" s="24" t="s">
        <v>3212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"/>
    </row>
    <row r="1497">
      <c r="A1497" s="1"/>
      <c r="B1497" s="4" t="s">
        <v>3213</v>
      </c>
      <c r="D1497" s="9"/>
      <c r="E1497" s="17" t="s">
        <v>14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>
      <c r="A1498" s="1"/>
      <c r="B1498" s="25" t="s">
        <v>88</v>
      </c>
      <c r="E1498" s="26" t="s">
        <v>90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>
      <c r="A1499" s="1"/>
      <c r="B1499" s="24" t="s">
        <v>3215</v>
      </c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"/>
    </row>
    <row r="1500">
      <c r="A1500" s="1"/>
      <c r="B1500" s="4" t="s">
        <v>3217</v>
      </c>
      <c r="D1500" s="9"/>
      <c r="E1500" s="17" t="s">
        <v>14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>
      <c r="A1501" s="1"/>
      <c r="B1501" s="25" t="s">
        <v>108</v>
      </c>
      <c r="E1501" s="26" t="s">
        <v>110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>
      <c r="A1502" s="1"/>
      <c r="B1502" s="25" t="s">
        <v>149</v>
      </c>
      <c r="E1502" s="26" t="s">
        <v>147</v>
      </c>
      <c r="F1502" s="18" t="str">
        <f>HYPERLINK("https://www.youtube.com/watch?v=wqAHLOpE-WI",'Players&gt;List'!$B18)</f>
        <v>[HGB]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>
      <c r="A1503" s="1"/>
      <c r="B1503" s="24" t="s">
        <v>3221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"/>
    </row>
    <row r="1504">
      <c r="A1504" s="1"/>
      <c r="B1504" s="4" t="s">
        <v>3224</v>
      </c>
      <c r="D1504" s="9"/>
      <c r="E1504" s="17" t="s">
        <v>14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>
      <c r="A1505" s="1"/>
      <c r="B1505" s="25" t="s">
        <v>88</v>
      </c>
      <c r="E1505" s="26" t="s">
        <v>90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>
      <c r="A1506" s="1"/>
      <c r="B1506" s="25" t="s">
        <v>149</v>
      </c>
      <c r="E1506" s="26" t="s">
        <v>147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>
      <c r="A1507" s="1"/>
      <c r="B1507" s="25" t="s">
        <v>117</v>
      </c>
      <c r="E1507" s="26" t="s">
        <v>132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>
      <c r="A1508" s="1"/>
      <c r="B1508" s="24" t="s">
        <v>3226</v>
      </c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"/>
    </row>
    <row r="1509">
      <c r="A1509" s="1"/>
      <c r="B1509" s="4" t="s">
        <v>3228</v>
      </c>
      <c r="D1509" s="9"/>
      <c r="E1509" s="17" t="s">
        <v>14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>
      <c r="A1510" s="1"/>
      <c r="B1510" s="25" t="s">
        <v>108</v>
      </c>
      <c r="E1510" s="26" t="s">
        <v>110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>
      <c r="A1511" s="1"/>
      <c r="B1511" s="25" t="s">
        <v>131</v>
      </c>
      <c r="E1511" s="26" t="s">
        <v>132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>
      <c r="A1512" s="1"/>
      <c r="B1512" s="24" t="s">
        <v>3229</v>
      </c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"/>
    </row>
    <row r="1513">
      <c r="A1513" s="1"/>
      <c r="B1513" s="4" t="s">
        <v>3230</v>
      </c>
      <c r="D1513" s="9"/>
      <c r="E1513" s="17" t="s">
        <v>14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>
      <c r="A1514" s="1"/>
      <c r="B1514" s="25" t="s">
        <v>88</v>
      </c>
      <c r="E1514" s="26" t="s">
        <v>90</v>
      </c>
      <c r="F1514" s="18" t="str">
        <f>HYPERLINK("https://www.youtube.com/watch?v=QI1jHygPsHI",'Players&gt;List'!$B18)</f>
        <v>[HGB]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>
      <c r="A1515" s="1"/>
      <c r="B1515" s="25" t="s">
        <v>149</v>
      </c>
      <c r="E1515" s="26" t="s">
        <v>147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>
      <c r="A1516" s="1"/>
      <c r="B1516" s="24" t="s">
        <v>3235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"/>
    </row>
    <row r="1517">
      <c r="A1517" s="1"/>
      <c r="B1517" s="4" t="s">
        <v>3237</v>
      </c>
      <c r="D1517" s="9"/>
      <c r="E1517" s="17" t="s">
        <v>14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>
      <c r="A1518" s="1"/>
      <c r="B1518" s="25" t="s">
        <v>117</v>
      </c>
      <c r="E1518" s="26" t="s">
        <v>110</v>
      </c>
      <c r="F1518" s="18" t="str">
        <f>HYPERLINK("https://www.twitch.tv/videos/392170409?collection=oQVne6T1iRWqEw",'Players&gt;List'!$B30)</f>
        <v>[TST]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>
      <c r="A1519" s="1"/>
      <c r="B1519" s="25" t="s">
        <v>197</v>
      </c>
      <c r="E1519" s="26" t="s">
        <v>147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>
      <c r="A1520" s="1"/>
      <c r="B1520" s="24" t="s">
        <v>3241</v>
      </c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"/>
    </row>
    <row r="1521">
      <c r="A1521" s="1"/>
      <c r="B1521" s="4" t="s">
        <v>3243</v>
      </c>
      <c r="D1521" s="9"/>
      <c r="E1521" s="17" t="s">
        <v>14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>
      <c r="A1522" s="1"/>
      <c r="B1522" s="25" t="s">
        <v>117</v>
      </c>
      <c r="E1522" s="26" t="s">
        <v>110</v>
      </c>
      <c r="F1522" s="18" t="str">
        <f>HYPERLINK("https://www.youtube.com/watch?v=CCuNSzyNAZc",'Players&gt;List'!$B18)</f>
        <v>[HGB]</v>
      </c>
      <c r="G1522" s="18" t="str">
        <f>HYPERLINK("https://www.youtube.com/watch?v=gY_l9_EKW7s",'Players&gt;List'!$B23)</f>
        <v>[MOL]</v>
      </c>
      <c r="H1522" s="18" t="str">
        <f>HYPERLINK("https://www.youtube.com/watch?v=j_nvLHEh0EE",'Players&gt;List'!$B19)</f>
        <v>[HIT]</v>
      </c>
      <c r="I1522" s="18" t="str">
        <f>HYPERLINK("https://youtu.be/oO31erc_uOQ",'Players&gt;List'!$B32)</f>
        <v>[XEL]</v>
      </c>
      <c r="J1522" s="18" t="str">
        <f>HYPERLINK("https://www.twitch.tv/videos/312738145",'Players&gt;List'!$B9)</f>
        <v>[AWE]</v>
      </c>
      <c r="K1522" s="18" t="str">
        <f>HYPERLINK("https://www.twitch.tv/videos/341102633",'Players&gt;List'!$B24)</f>
        <v>[NIM]</v>
      </c>
      <c r="L1522" s="1"/>
      <c r="M1522" s="1"/>
      <c r="N1522" s="1"/>
      <c r="O1522" s="1"/>
      <c r="P1522" s="1"/>
    </row>
    <row r="1523">
      <c r="A1523" s="1"/>
      <c r="B1523" s="25" t="s">
        <v>149</v>
      </c>
      <c r="E1523" s="26" t="s">
        <v>147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>
      <c r="A1524" s="1"/>
      <c r="B1524" s="25" t="s">
        <v>88</v>
      </c>
      <c r="E1524" s="26" t="s">
        <v>147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>
      <c r="A1525" s="1"/>
      <c r="B1525" s="24" t="s">
        <v>3251</v>
      </c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"/>
    </row>
    <row r="1526">
      <c r="A1526" s="1"/>
      <c r="B1526" s="4" t="s">
        <v>3252</v>
      </c>
      <c r="D1526" s="9"/>
      <c r="E1526" s="17" t="s">
        <v>14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>
      <c r="A1527" s="1"/>
      <c r="B1527" s="25" t="s">
        <v>88</v>
      </c>
      <c r="E1527" s="26" t="s">
        <v>90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>
      <c r="A1528" s="1"/>
      <c r="B1528" s="24" t="s">
        <v>3254</v>
      </c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"/>
    </row>
    <row r="1529">
      <c r="A1529" s="1"/>
      <c r="B1529" s="4" t="s">
        <v>3257</v>
      </c>
      <c r="D1529" s="9"/>
      <c r="E1529" s="17" t="s">
        <v>14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>
      <c r="A1530" s="1"/>
      <c r="B1530" s="25" t="s">
        <v>108</v>
      </c>
      <c r="E1530" s="26" t="s">
        <v>110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>
      <c r="A1531" s="1"/>
      <c r="B1531" s="25" t="s">
        <v>131</v>
      </c>
      <c r="E1531" s="26" t="s">
        <v>132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>
      <c r="A1532" s="1"/>
      <c r="B1532" s="24" t="s">
        <v>3260</v>
      </c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"/>
    </row>
    <row r="1533">
      <c r="A1533" s="1"/>
      <c r="B1533" s="4" t="s">
        <v>3262</v>
      </c>
      <c r="D1533" s="9"/>
      <c r="E1533" s="17" t="s">
        <v>14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>
      <c r="A1534" s="1"/>
      <c r="B1534" s="25" t="s">
        <v>117</v>
      </c>
      <c r="E1534" s="26" t="s">
        <v>110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>
      <c r="A1535" s="1"/>
      <c r="B1535" s="25" t="s">
        <v>335</v>
      </c>
      <c r="E1535" s="26" t="s">
        <v>147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>
      <c r="A1536" s="1"/>
      <c r="B1536" s="24" t="s">
        <v>3264</v>
      </c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"/>
    </row>
    <row r="1537">
      <c r="A1537" s="1"/>
      <c r="B1537" s="4" t="s">
        <v>3266</v>
      </c>
      <c r="D1537" s="9"/>
      <c r="E1537" s="17" t="s">
        <v>14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>
      <c r="A1538" s="1"/>
      <c r="B1538" s="25" t="s">
        <v>157</v>
      </c>
      <c r="E1538" s="26" t="s">
        <v>110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>
      <c r="A1539" s="1"/>
      <c r="B1539" s="24" t="s">
        <v>3269</v>
      </c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"/>
    </row>
    <row r="1540">
      <c r="A1540" s="1"/>
      <c r="B1540" s="4" t="s">
        <v>3271</v>
      </c>
      <c r="D1540" s="9"/>
      <c r="E1540" s="17" t="s">
        <v>14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>
      <c r="A1541" s="1"/>
      <c r="B1541" s="25" t="s">
        <v>197</v>
      </c>
      <c r="E1541" s="26" t="s">
        <v>90</v>
      </c>
      <c r="F1541" s="18" t="str">
        <f>HYPERLINK("https://www.youtube.com/watch?v=FEHqRI1oBkA",'Players&gt;List'!$B18)</f>
        <v>[HGB]</v>
      </c>
      <c r="G1541" s="18" t="str">
        <f>HYPERLINK("https://www.twitch.tv/videos/325778503",'Players&gt;List'!$B24)</f>
        <v>[NIM]</v>
      </c>
      <c r="H1541" s="18" t="str">
        <f>HYPERLINK("https://www.twitch.tv/videos/392173491?collection=oQVne6T1iRWqEw",'Players&gt;List'!$B30)</f>
        <v>[TST]</v>
      </c>
      <c r="I1541" s="1"/>
      <c r="J1541" s="1"/>
      <c r="K1541" s="1"/>
      <c r="L1541" s="1"/>
      <c r="M1541" s="1"/>
      <c r="N1541" s="1"/>
      <c r="O1541" s="1"/>
      <c r="P1541" s="1"/>
    </row>
    <row r="1542">
      <c r="A1542" s="1"/>
      <c r="B1542" s="25" t="s">
        <v>88</v>
      </c>
      <c r="E1542" s="26" t="s">
        <v>147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>
      <c r="A1543" s="1"/>
      <c r="B1543" s="25" t="s">
        <v>117</v>
      </c>
      <c r="E1543" s="26" t="s">
        <v>132</v>
      </c>
      <c r="F1543" s="18" t="str">
        <f>HYPERLINK("https://www.youtube.com/watch?v=-ByprGULcuY",'Players&gt;List'!$B18)</f>
        <v>[HGB]</v>
      </c>
      <c r="G1543" s="18" t="str">
        <f>HYPERLINK("https://www.youtube.com/watch?v=rbE2nK00B54",'Players&gt;List'!$B23)</f>
        <v>[MOL]</v>
      </c>
      <c r="H1543" s="18" t="str">
        <f>HYPERLINK("https://www.youtube.com/watch?v=L2CUsrxDl6I",'Players&gt;List'!$B19)</f>
        <v>[HIT]</v>
      </c>
      <c r="I1543" s="18" t="str">
        <f>HYPERLINK("https://www.twitch.tv/videos/312738146",'Players&gt;List'!$B9)</f>
        <v>[AWE]</v>
      </c>
      <c r="J1543" s="18" t="str">
        <f>HYPERLINK("https://www.twitch.tv/videos/325778502",'Players&gt;List'!$B24)</f>
        <v>[NIM]</v>
      </c>
      <c r="K1543" s="18" t="str">
        <f>HYPERLINK("https://www.twitch.tv/videos/392173099?collection=oQVne6T1iRWqEw",'Players&gt;List'!$B30)</f>
        <v>[TST]</v>
      </c>
      <c r="L1543" s="18" t="str">
        <f>HYPERLINK("https://www.youtube.com/watch?v=gMoVSuBeknk",'Players&gt;List'!$B25)</f>
        <v>[PBR]</v>
      </c>
      <c r="M1543" s="1"/>
      <c r="N1543" s="1"/>
      <c r="O1543" s="1"/>
      <c r="P1543" s="1"/>
    </row>
    <row r="1544">
      <c r="A1544" s="1"/>
      <c r="B1544" s="24" t="s">
        <v>3278</v>
      </c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"/>
    </row>
    <row r="1545">
      <c r="A1545" s="1"/>
      <c r="B1545" s="4" t="s">
        <v>3281</v>
      </c>
      <c r="D1545" s="9"/>
      <c r="E1545" s="17" t="s">
        <v>14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>
      <c r="A1546" s="1"/>
      <c r="B1546" s="25" t="s">
        <v>108</v>
      </c>
      <c r="E1546" s="26" t="s">
        <v>110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>
      <c r="A1547" s="1"/>
      <c r="B1547" s="25" t="s">
        <v>149</v>
      </c>
      <c r="E1547" s="26" t="s">
        <v>147</v>
      </c>
      <c r="F1547" s="18" t="str">
        <f>HYPERLINK("https://www.youtube.com/watch?v=oXKmDaZ1ucg",'Players&gt;List'!$B28)</f>
        <v>[SUN]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>
      <c r="A1548" s="1"/>
      <c r="B1548" s="24" t="s">
        <v>3285</v>
      </c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"/>
    </row>
    <row r="1549">
      <c r="A1549" s="1"/>
      <c r="B1549" s="4" t="s">
        <v>3286</v>
      </c>
      <c r="D1549" s="9"/>
      <c r="E1549" s="17" t="s">
        <v>14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>
      <c r="A1550" s="1"/>
      <c r="B1550" s="25" t="s">
        <v>88</v>
      </c>
      <c r="E1550" s="26" t="s">
        <v>90</v>
      </c>
      <c r="F1550" s="18" t="str">
        <f>HYPERLINK("https://www.youtube.com/watch?v=MNxKEbgtir8",'Players&gt;List'!$B28)</f>
        <v>[SUN]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>
      <c r="A1551" s="1"/>
      <c r="B1551" s="24" t="s">
        <v>3287</v>
      </c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"/>
    </row>
    <row r="1552">
      <c r="A1552" s="1"/>
      <c r="B1552" s="4" t="s">
        <v>3288</v>
      </c>
      <c r="D1552" s="9"/>
      <c r="E1552" s="17" t="s">
        <v>14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>
      <c r="A1553" s="1"/>
      <c r="B1553" s="25" t="s">
        <v>2207</v>
      </c>
      <c r="E1553" s="26" t="s">
        <v>380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>
      <c r="A1554" s="1"/>
      <c r="B1554" s="24" t="s">
        <v>3290</v>
      </c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"/>
    </row>
    <row r="1555">
      <c r="A1555" s="1"/>
      <c r="B1555" s="4" t="s">
        <v>3292</v>
      </c>
      <c r="D1555" s="9"/>
      <c r="E1555" s="17" t="s">
        <v>14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>
      <c r="A1556" s="1"/>
      <c r="B1556" s="25" t="s">
        <v>88</v>
      </c>
      <c r="E1556" s="26" t="s">
        <v>90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>
      <c r="A1557" s="1"/>
      <c r="B1557" s="24" t="s">
        <v>3293</v>
      </c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"/>
    </row>
    <row r="1558">
      <c r="A1558" s="1"/>
      <c r="B1558" s="4" t="s">
        <v>3294</v>
      </c>
      <c r="D1558" s="9"/>
      <c r="E1558" s="17" t="s">
        <v>14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>
      <c r="A1559" s="1"/>
      <c r="B1559" s="25" t="s">
        <v>117</v>
      </c>
      <c r="E1559" s="26" t="s">
        <v>110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>
      <c r="A1560" s="1"/>
      <c r="B1560" s="25" t="s">
        <v>149</v>
      </c>
      <c r="E1560" s="26" t="s">
        <v>147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>
      <c r="A1561" s="1"/>
      <c r="B1561" s="24" t="s">
        <v>3296</v>
      </c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"/>
    </row>
    <row r="1562">
      <c r="A1562" s="1"/>
      <c r="B1562" s="4" t="s">
        <v>3299</v>
      </c>
      <c r="D1562" s="9"/>
      <c r="E1562" s="17" t="s">
        <v>14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>
      <c r="A1563" s="1"/>
      <c r="B1563" s="25" t="s">
        <v>88</v>
      </c>
      <c r="E1563" s="26" t="s">
        <v>90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>
      <c r="A1564" s="1"/>
      <c r="B1564" s="24" t="s">
        <v>3301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"/>
    </row>
    <row r="1565">
      <c r="A1565" s="1"/>
      <c r="B1565" s="4" t="s">
        <v>3302</v>
      </c>
      <c r="D1565" s="9"/>
      <c r="E1565" s="17" t="s">
        <v>14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>
      <c r="A1566" s="1"/>
      <c r="B1566" s="25" t="s">
        <v>108</v>
      </c>
      <c r="E1566" s="26" t="s">
        <v>110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>
      <c r="A1567" s="1"/>
      <c r="B1567" s="25" t="s">
        <v>149</v>
      </c>
      <c r="E1567" s="26" t="s">
        <v>147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>
      <c r="A1568" s="1"/>
      <c r="B1568" s="24" t="s">
        <v>3303</v>
      </c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"/>
    </row>
    <row r="1569">
      <c r="A1569" s="1"/>
      <c r="B1569" s="4" t="s">
        <v>3304</v>
      </c>
      <c r="D1569" s="9"/>
      <c r="E1569" s="17" t="s">
        <v>14</v>
      </c>
      <c r="F1569" s="18" t="str">
        <f>HYPERLINK("https://www.youtube.com/watch?v=Lu9rtD_oUk0",'Players&gt;List'!$B18)</f>
        <v>[HGB]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>
      <c r="A1570" s="1"/>
      <c r="B1570" s="25" t="s">
        <v>668</v>
      </c>
      <c r="E1570" s="26" t="s">
        <v>234</v>
      </c>
      <c r="F1570" s="18" t="str">
        <f>HYPERLINK("https://www.youtube.com/watch?v=P8cV5Od_nrk",'Players&gt;List'!$B18)</f>
        <v>[HGB]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>
      <c r="A1571" s="1"/>
      <c r="B1571" s="25" t="s">
        <v>88</v>
      </c>
      <c r="E1571" s="26" t="s">
        <v>147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>
      <c r="A1572" s="1"/>
      <c r="B1572" s="25" t="s">
        <v>149</v>
      </c>
      <c r="E1572" s="26" t="s">
        <v>147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>
      <c r="A1573" s="1"/>
      <c r="B1573" s="25" t="s">
        <v>2213</v>
      </c>
      <c r="E1573" s="26" t="s">
        <v>147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>
      <c r="A1574" s="1"/>
      <c r="B1574" s="24" t="s">
        <v>3309</v>
      </c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"/>
    </row>
    <row r="1575">
      <c r="A1575" s="1"/>
      <c r="B1575" s="4" t="s">
        <v>3310</v>
      </c>
      <c r="D1575" s="9"/>
      <c r="E1575" s="17" t="s">
        <v>14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>
      <c r="A1576" s="1"/>
      <c r="B1576" s="25" t="s">
        <v>108</v>
      </c>
      <c r="E1576" s="26" t="s">
        <v>110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>
      <c r="A1577" s="1"/>
      <c r="B1577" s="24" t="s">
        <v>3311</v>
      </c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"/>
    </row>
    <row r="1578">
      <c r="A1578" s="1"/>
      <c r="B1578" s="4" t="s">
        <v>3312</v>
      </c>
      <c r="D1578" s="9"/>
      <c r="E1578" s="17" t="s">
        <v>14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>
      <c r="A1579" s="1"/>
      <c r="B1579" s="25" t="s">
        <v>117</v>
      </c>
      <c r="E1579" s="26" t="s">
        <v>110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>
      <c r="A1580" s="1"/>
      <c r="B1580" s="25" t="s">
        <v>108</v>
      </c>
      <c r="E1580" s="26" t="s">
        <v>132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>
      <c r="A1581" s="1"/>
      <c r="B1581" s="25" t="s">
        <v>149</v>
      </c>
      <c r="E1581" s="26" t="s">
        <v>147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>
      <c r="A1582" s="1"/>
      <c r="B1582" s="25" t="s">
        <v>88</v>
      </c>
      <c r="E1582" s="26" t="s">
        <v>147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>
      <c r="A1583" s="1"/>
      <c r="B1583" s="24" t="s">
        <v>3313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"/>
    </row>
    <row r="1584">
      <c r="A1584" s="1"/>
      <c r="B1584" s="4" t="s">
        <v>3316</v>
      </c>
      <c r="D1584" s="9"/>
      <c r="E1584" s="17" t="s">
        <v>14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>
      <c r="A1585" s="1"/>
      <c r="B1585" s="25" t="s">
        <v>117</v>
      </c>
      <c r="E1585" s="26" t="s">
        <v>110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>
      <c r="A1586" s="1"/>
      <c r="B1586" s="24" t="s">
        <v>3317</v>
      </c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"/>
    </row>
    <row r="1587">
      <c r="A1587" s="1"/>
      <c r="B1587" s="4" t="s">
        <v>3318</v>
      </c>
      <c r="D1587" s="9"/>
      <c r="E1587" s="17" t="s">
        <v>14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>
      <c r="A1588" s="1"/>
      <c r="B1588" s="25" t="s">
        <v>108</v>
      </c>
      <c r="E1588" s="26" t="s">
        <v>110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>
      <c r="A1589" s="1"/>
      <c r="B1589" s="25" t="s">
        <v>131</v>
      </c>
      <c r="E1589" s="26" t="s">
        <v>132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>
      <c r="A1590" s="1"/>
      <c r="B1590" s="24" t="s">
        <v>3320</v>
      </c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"/>
    </row>
    <row r="1591">
      <c r="A1591" s="1"/>
      <c r="B1591" s="4" t="s">
        <v>3322</v>
      </c>
      <c r="D1591" s="9"/>
      <c r="E1591" s="17" t="s">
        <v>14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>
      <c r="A1592" s="1"/>
      <c r="B1592" s="25" t="s">
        <v>108</v>
      </c>
      <c r="E1592" s="26" t="s">
        <v>110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>
      <c r="A1593" s="1"/>
      <c r="B1593" s="25" t="s">
        <v>131</v>
      </c>
      <c r="E1593" s="26" t="s">
        <v>132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>
      <c r="A1594" s="1"/>
      <c r="B1594" s="24" t="s">
        <v>3324</v>
      </c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"/>
    </row>
    <row r="1595">
      <c r="A1595" s="1"/>
      <c r="B1595" s="4" t="s">
        <v>3326</v>
      </c>
      <c r="D1595" s="9"/>
      <c r="E1595" s="17" t="s">
        <v>14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>
      <c r="A1596" s="1"/>
      <c r="B1596" s="25" t="s">
        <v>3328</v>
      </c>
      <c r="E1596" s="26" t="s">
        <v>110</v>
      </c>
      <c r="F1596" s="18" t="str">
        <f>HYPERLINK("https://www.youtube.com/watch?v=HOVF8kyIWDM",'Players&gt;List'!$B18)</f>
        <v>[HGB]</v>
      </c>
      <c r="G1596" s="18" t="str">
        <f>HYPERLINK("https://www.youtube.com/watch?v=mFZVyGSgb0g",'Players&gt;List'!$B23)</f>
        <v>[MOL]</v>
      </c>
      <c r="H1596" s="18" t="str">
        <f>HYPERLINK("https://www.youtube.com/watch?v=bg1awTlol_Q",'Players&gt;List'!$B8)</f>
        <v>[ABA]</v>
      </c>
      <c r="I1596" s="18" t="str">
        <f>HYPERLINK("https://www.youtube.com/watch?v=s2SZMV3iS7I",'Players&gt;List'!$B19)</f>
        <v>[HIT]</v>
      </c>
      <c r="J1596" s="18" t="str">
        <f>HYPERLINK("https://www.twitch.tv/videos/314277473",'Players&gt;List'!$B9)</f>
        <v>[AWE]</v>
      </c>
      <c r="K1596" s="18" t="str">
        <f>HYPERLINK("https://www.youtube.com/watch?v=0V7e6aHGx6Y",'Players&gt;List'!$B14)</f>
        <v>[ESP]</v>
      </c>
      <c r="L1596" s="18" t="str">
        <f>HYPERLINK("https://www.youtube.com/watch?v=1Xm0HZmR6BY",'Players&gt;List'!$B25)</f>
        <v>[PBR]</v>
      </c>
      <c r="M1596" s="1"/>
      <c r="N1596" s="1"/>
      <c r="O1596" s="1"/>
      <c r="P1596" s="1"/>
    </row>
    <row r="1597">
      <c r="A1597" s="1"/>
      <c r="B1597" s="25" t="s">
        <v>149</v>
      </c>
      <c r="E1597" s="26" t="s">
        <v>147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>
      <c r="A1598" s="1"/>
      <c r="B1598" s="25" t="s">
        <v>157</v>
      </c>
      <c r="E1598" s="26" t="s">
        <v>132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>
      <c r="A1599" s="1"/>
      <c r="B1599" s="24" t="s">
        <v>3337</v>
      </c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"/>
    </row>
    <row r="1600">
      <c r="A1600" s="1"/>
      <c r="B1600" s="4" t="s">
        <v>3339</v>
      </c>
      <c r="D1600" s="9"/>
      <c r="E1600" s="17" t="s">
        <v>14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>
      <c r="A1601" s="1"/>
      <c r="B1601" s="25" t="s">
        <v>117</v>
      </c>
      <c r="E1601" s="26" t="s">
        <v>110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>
      <c r="A1602" s="1"/>
      <c r="B1602" s="25" t="s">
        <v>108</v>
      </c>
      <c r="E1602" s="26" t="s">
        <v>132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>
      <c r="A1603" s="1"/>
      <c r="B1603" s="24" t="s">
        <v>3341</v>
      </c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"/>
    </row>
    <row r="1604">
      <c r="A1604" s="1"/>
      <c r="B1604" s="4" t="s">
        <v>3342</v>
      </c>
      <c r="D1604" s="9"/>
      <c r="E1604" s="17" t="s">
        <v>14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>
      <c r="A1605" s="1"/>
      <c r="B1605" s="25" t="s">
        <v>117</v>
      </c>
      <c r="E1605" s="26" t="s">
        <v>110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>
      <c r="A1606" s="1"/>
      <c r="B1606" s="25" t="s">
        <v>88</v>
      </c>
      <c r="E1606" s="26" t="s">
        <v>147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>
      <c r="A1607" s="1"/>
      <c r="B1607" s="25" t="s">
        <v>149</v>
      </c>
      <c r="E1607" s="26" t="s">
        <v>147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>
      <c r="A1608" s="1"/>
      <c r="B1608" s="24" t="s">
        <v>3343</v>
      </c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"/>
    </row>
    <row r="1609">
      <c r="A1609" s="1"/>
      <c r="B1609" s="4" t="s">
        <v>3345</v>
      </c>
      <c r="D1609" s="9"/>
      <c r="E1609" s="17" t="s">
        <v>14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>
      <c r="A1610" s="1"/>
      <c r="B1610" s="25" t="s">
        <v>157</v>
      </c>
      <c r="E1610" s="26" t="s">
        <v>110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>
      <c r="A1611" s="1"/>
      <c r="B1611" s="25" t="s">
        <v>117</v>
      </c>
      <c r="E1611" s="26" t="s">
        <v>132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>
      <c r="A1612" s="1"/>
      <c r="B1612" s="24" t="s">
        <v>3347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"/>
    </row>
    <row r="1613">
      <c r="A1613" s="1"/>
      <c r="B1613" s="4" t="s">
        <v>3348</v>
      </c>
      <c r="D1613" s="9"/>
      <c r="E1613" s="17" t="s">
        <v>14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>
      <c r="A1614" s="1"/>
      <c r="B1614" s="25" t="s">
        <v>131</v>
      </c>
      <c r="E1614" s="26" t="s">
        <v>110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>
      <c r="A1615" s="1"/>
      <c r="B1615" s="24" t="s">
        <v>3351</v>
      </c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"/>
    </row>
    <row r="1616">
      <c r="A1616" s="1"/>
      <c r="B1616" s="4" t="s">
        <v>3352</v>
      </c>
      <c r="D1616" s="9"/>
      <c r="E1616" s="17" t="s">
        <v>14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>
      <c r="A1617" s="1"/>
      <c r="B1617" s="25" t="s">
        <v>1715</v>
      </c>
      <c r="E1617" s="26" t="s">
        <v>234</v>
      </c>
      <c r="F1617" s="18" t="str">
        <f>HYPERLINK("https://www.twitch.tv/videos/336783016",'Players&gt;List'!$B24)</f>
        <v>[NIM]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>
      <c r="A1618" s="1"/>
      <c r="B1618" s="25" t="s">
        <v>2213</v>
      </c>
      <c r="E1618" s="26" t="s">
        <v>147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>
      <c r="A1619" s="1"/>
      <c r="B1619" s="25" t="s">
        <v>117</v>
      </c>
      <c r="E1619" s="26" t="s">
        <v>132</v>
      </c>
      <c r="F1619" s="18" t="str">
        <f>HYPERLINK("https://www.twitch.tv/videos/336819487",'Players&gt;List'!$B24)</f>
        <v>[NIM]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>
      <c r="A1620" s="1"/>
      <c r="B1620" s="24" t="s">
        <v>3357</v>
      </c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"/>
    </row>
    <row r="1621">
      <c r="A1621" s="1"/>
      <c r="B1621" s="4" t="s">
        <v>3358</v>
      </c>
      <c r="D1621" s="9"/>
      <c r="E1621" s="17" t="s">
        <v>14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>
      <c r="A1622" s="1"/>
      <c r="B1622" s="25" t="s">
        <v>131</v>
      </c>
      <c r="E1622" s="26" t="s">
        <v>110</v>
      </c>
      <c r="F1622" s="18" t="str">
        <f>HYPERLINK("https://www.twitch.tv/videos/336819488",'Players&gt;List'!$B24)</f>
        <v>[NIM]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>
      <c r="A1623" s="1"/>
      <c r="B1623" s="25" t="s">
        <v>149</v>
      </c>
      <c r="E1623" s="26" t="s">
        <v>147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>
      <c r="A1624" s="1"/>
      <c r="B1624" s="24" t="s">
        <v>3361</v>
      </c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"/>
    </row>
    <row r="1625">
      <c r="A1625" s="1"/>
      <c r="B1625" s="4" t="s">
        <v>3362</v>
      </c>
      <c r="D1625" s="9"/>
      <c r="E1625" s="17" t="s">
        <v>14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>
      <c r="A1626" s="1"/>
      <c r="B1626" s="25" t="s">
        <v>108</v>
      </c>
      <c r="E1626" s="26" t="s">
        <v>110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>
      <c r="A1627" s="1"/>
      <c r="B1627" s="25" t="s">
        <v>149</v>
      </c>
      <c r="E1627" s="26" t="s">
        <v>147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>
      <c r="A1628" s="1"/>
      <c r="B1628" s="24" t="s">
        <v>3367</v>
      </c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"/>
    </row>
    <row r="1629">
      <c r="A1629" s="1"/>
      <c r="B1629" s="4" t="s">
        <v>3368</v>
      </c>
      <c r="D1629" s="9"/>
      <c r="E1629" s="17" t="s">
        <v>14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>
      <c r="A1630" s="1"/>
      <c r="B1630" s="25" t="s">
        <v>131</v>
      </c>
      <c r="E1630" s="26" t="s">
        <v>110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>
      <c r="A1631" s="1"/>
      <c r="B1631" s="25" t="s">
        <v>157</v>
      </c>
      <c r="E1631" s="26" t="s">
        <v>132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>
      <c r="A1632" s="1"/>
      <c r="B1632" s="24" t="s">
        <v>3369</v>
      </c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"/>
    </row>
    <row r="1633">
      <c r="A1633" s="1"/>
      <c r="B1633" s="4" t="s">
        <v>3371</v>
      </c>
      <c r="D1633" s="9"/>
      <c r="E1633" s="17" t="s">
        <v>14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>
      <c r="A1634" s="1"/>
      <c r="B1634" s="25" t="s">
        <v>117</v>
      </c>
      <c r="E1634" s="26" t="s">
        <v>110</v>
      </c>
      <c r="F1634" s="18" t="str">
        <f>HYPERLINK("https://www.youtube.com/watch?v=ZbmaLWDeZiA",'Players&gt;List'!$B18)</f>
        <v>[HGB]</v>
      </c>
      <c r="G1634" s="18" t="str">
        <f>HYPERLINK("https://www.twitch.tv/videos/339804134",'Players&gt;List'!$B24)</f>
        <v>[NIM]</v>
      </c>
      <c r="H1634" s="1"/>
      <c r="I1634" s="1"/>
      <c r="J1634" s="1"/>
      <c r="K1634" s="1"/>
      <c r="L1634" s="1"/>
      <c r="M1634" s="1"/>
      <c r="N1634" s="1"/>
      <c r="O1634" s="1"/>
      <c r="P1634" s="1"/>
    </row>
    <row r="1635">
      <c r="A1635" s="1"/>
      <c r="B1635" s="25" t="s">
        <v>88</v>
      </c>
      <c r="E1635" s="26" t="s">
        <v>147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>
      <c r="A1636" s="1"/>
      <c r="B1636" s="25" t="s">
        <v>149</v>
      </c>
      <c r="E1636" s="26" t="s">
        <v>147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>
      <c r="A1637" s="1"/>
      <c r="B1637" s="24" t="s">
        <v>3378</v>
      </c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"/>
    </row>
    <row r="1638">
      <c r="A1638" s="1"/>
      <c r="B1638" s="4" t="s">
        <v>3379</v>
      </c>
      <c r="D1638" s="9"/>
      <c r="E1638" s="17" t="s">
        <v>14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>
      <c r="A1639" s="1"/>
      <c r="B1639" s="25" t="s">
        <v>108</v>
      </c>
      <c r="E1639" s="26" t="s">
        <v>110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>
      <c r="A1640" s="1"/>
      <c r="B1640" s="25" t="s">
        <v>131</v>
      </c>
      <c r="E1640" s="26" t="s">
        <v>132</v>
      </c>
      <c r="F1640" s="18" t="str">
        <f>HYPERLINK("https://www.youtube.com/watch?v=tNCbfkRxvTU",'Players&gt;List'!$B18)</f>
        <v>[HGB]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>
      <c r="A1641" s="1"/>
      <c r="B1641" s="24" t="s">
        <v>3382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"/>
    </row>
    <row r="1642">
      <c r="A1642" s="1"/>
      <c r="B1642" s="4" t="s">
        <v>3385</v>
      </c>
      <c r="D1642" s="9"/>
      <c r="E1642" s="17" t="s">
        <v>14</v>
      </c>
      <c r="F1642" s="18" t="str">
        <f>HYPERLINK("https://www.youtube.com/watch?v=7XfDs2qi5mQ",'Players&gt;List'!$B18)</f>
        <v>[HGB]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>
      <c r="A1643" s="1"/>
      <c r="B1643" s="25" t="s">
        <v>117</v>
      </c>
      <c r="E1643" s="26" t="s">
        <v>110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>
      <c r="A1644" s="1"/>
      <c r="B1644" s="25" t="s">
        <v>149</v>
      </c>
      <c r="E1644" s="26" t="s">
        <v>147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>
      <c r="A1645" s="1"/>
      <c r="B1645" s="24" t="s">
        <v>3390</v>
      </c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"/>
    </row>
    <row r="1646">
      <c r="A1646" s="1"/>
      <c r="B1646" s="4" t="s">
        <v>3391</v>
      </c>
      <c r="D1646" s="9"/>
      <c r="E1646" s="17" t="s">
        <v>14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>
      <c r="A1647" s="1"/>
      <c r="B1647" s="25" t="s">
        <v>117</v>
      </c>
      <c r="E1647" s="26" t="s">
        <v>110</v>
      </c>
      <c r="F1647" s="18" t="str">
        <f>HYPERLINK("https://www.youtube.com/watch?v=gL5QdRYHI9U",'Players&gt;List'!$B18)</f>
        <v>[HGB]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>
      <c r="A1648" s="1"/>
      <c r="B1648" s="25" t="s">
        <v>157</v>
      </c>
      <c r="E1648" s="26" t="s">
        <v>132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>
      <c r="A1649" s="1"/>
      <c r="B1649" s="24" t="s">
        <v>3395</v>
      </c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"/>
    </row>
    <row r="1650">
      <c r="A1650" s="1"/>
      <c r="B1650" s="4" t="s">
        <v>3397</v>
      </c>
      <c r="D1650" s="9"/>
      <c r="E1650" s="17" t="s">
        <v>14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>
      <c r="A1651" s="1"/>
      <c r="B1651" s="25" t="s">
        <v>157</v>
      </c>
      <c r="E1651" s="26" t="s">
        <v>110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>
      <c r="A1652" s="1"/>
      <c r="B1652" s="24" t="s">
        <v>3399</v>
      </c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"/>
    </row>
    <row r="1653">
      <c r="A1653" s="1"/>
      <c r="B1653" s="4" t="s">
        <v>3401</v>
      </c>
      <c r="D1653" s="9"/>
      <c r="E1653" s="17" t="s">
        <v>14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>
      <c r="A1654" s="1"/>
      <c r="B1654" s="25" t="s">
        <v>117</v>
      </c>
      <c r="E1654" s="26" t="s">
        <v>110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>
      <c r="A1655" s="1"/>
      <c r="B1655" s="24" t="s">
        <v>3402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"/>
    </row>
    <row r="1656">
      <c r="A1656" s="1"/>
      <c r="B1656" s="4" t="s">
        <v>3403</v>
      </c>
      <c r="D1656" s="9"/>
      <c r="E1656" s="17" t="s">
        <v>14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>
      <c r="A1657" s="1"/>
      <c r="B1657" s="25" t="s">
        <v>88</v>
      </c>
      <c r="E1657" s="26" t="s">
        <v>90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>
      <c r="A1658" s="1"/>
      <c r="B1658" s="24" t="s">
        <v>3405</v>
      </c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"/>
    </row>
    <row r="1659">
      <c r="A1659" s="1"/>
      <c r="B1659" s="4" t="s">
        <v>3407</v>
      </c>
      <c r="D1659" s="9"/>
      <c r="E1659" s="17" t="s">
        <v>14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>
      <c r="A1660" s="1"/>
      <c r="B1660" s="25" t="s">
        <v>379</v>
      </c>
      <c r="E1660" s="26" t="s">
        <v>380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>
      <c r="A1661" s="1"/>
      <c r="B1661" s="24" t="s">
        <v>3408</v>
      </c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"/>
    </row>
    <row r="1662">
      <c r="A1662" s="1"/>
      <c r="B1662" s="4" t="s">
        <v>3410</v>
      </c>
      <c r="D1662" s="9"/>
      <c r="E1662" s="17" t="s">
        <v>14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>
      <c r="A1663" s="1"/>
      <c r="B1663" s="25" t="s">
        <v>117</v>
      </c>
      <c r="E1663" s="26" t="s">
        <v>110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>
      <c r="A1664" s="1"/>
      <c r="B1664" s="25" t="s">
        <v>157</v>
      </c>
      <c r="E1664" s="26" t="s">
        <v>132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>
      <c r="A1665" s="1"/>
      <c r="B1665" s="24" t="s">
        <v>3412</v>
      </c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"/>
    </row>
    <row r="1666">
      <c r="A1666" s="1"/>
      <c r="B1666" s="4" t="s">
        <v>3414</v>
      </c>
      <c r="D1666" s="9"/>
      <c r="E1666" s="17" t="s">
        <v>14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>
      <c r="A1667" s="1"/>
      <c r="B1667" s="25" t="s">
        <v>117</v>
      </c>
      <c r="E1667" s="26" t="s">
        <v>110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>
      <c r="A1668" s="1"/>
      <c r="B1668" s="25" t="s">
        <v>149</v>
      </c>
      <c r="E1668" s="26" t="s">
        <v>147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>
      <c r="A1669" s="1"/>
      <c r="B1669" s="25" t="s">
        <v>157</v>
      </c>
      <c r="E1669" s="26" t="s">
        <v>132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>
      <c r="A1670" s="1"/>
      <c r="B1670" s="24" t="s">
        <v>3417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"/>
    </row>
    <row r="1671">
      <c r="A1671" s="1"/>
      <c r="B1671" s="4" t="s">
        <v>3419</v>
      </c>
      <c r="D1671" s="9"/>
      <c r="E1671" s="17" t="s">
        <v>14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>
      <c r="A1672" s="1"/>
      <c r="B1672" s="25" t="s">
        <v>117</v>
      </c>
      <c r="E1672" s="26" t="s">
        <v>110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>
      <c r="A1673" s="1"/>
      <c r="B1673" s="25" t="s">
        <v>157</v>
      </c>
      <c r="E1673" s="26" t="s">
        <v>132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>
      <c r="A1674" s="1"/>
      <c r="B1674" s="24" t="s">
        <v>3421</v>
      </c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"/>
    </row>
    <row r="1675">
      <c r="A1675" s="1"/>
      <c r="B1675" s="4" t="s">
        <v>3423</v>
      </c>
      <c r="D1675" s="9"/>
      <c r="E1675" s="17" t="s">
        <v>14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>
      <c r="A1676" s="1"/>
      <c r="B1676" s="25" t="s">
        <v>117</v>
      </c>
      <c r="E1676" s="26" t="s">
        <v>110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>
      <c r="A1677" s="1"/>
      <c r="B1677" s="24" t="s">
        <v>3425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"/>
    </row>
    <row r="1678">
      <c r="A1678" s="1"/>
      <c r="B1678" s="4" t="s">
        <v>3428</v>
      </c>
      <c r="D1678" s="9"/>
      <c r="E1678" s="17" t="s">
        <v>14</v>
      </c>
      <c r="F1678" s="18" t="str">
        <f>HYPERLINK("https://www.youtube.com/watch?v=wfUgOZnRVQE",'Players&gt;List'!$B30)</f>
        <v>[TST]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>
      <c r="A1679" s="1"/>
      <c r="B1679" s="25" t="s">
        <v>3430</v>
      </c>
      <c r="E1679" s="26" t="s">
        <v>380</v>
      </c>
      <c r="F1679" s="18" t="str">
        <f>HYPERLINK("https://www.youtube.com/watch?v=aBYSJtaLNe8",'Players&gt;List'!$B18)</f>
        <v>[HGB]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>
      <c r="A1680" s="1"/>
      <c r="B1680" s="25" t="s">
        <v>675</v>
      </c>
      <c r="E1680" s="26" t="s">
        <v>358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>
      <c r="A1681" s="1"/>
      <c r="B1681" s="25" t="s">
        <v>1147</v>
      </c>
      <c r="E1681" s="26" t="s">
        <v>132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>
      <c r="A1682" s="1"/>
      <c r="B1682" s="25" t="s">
        <v>2303</v>
      </c>
      <c r="E1682" s="26" t="s">
        <v>132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>
      <c r="A1683" s="1"/>
      <c r="B1683" s="24" t="s">
        <v>3435</v>
      </c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"/>
    </row>
    <row r="1684">
      <c r="A1684" s="1"/>
      <c r="B1684" s="4" t="s">
        <v>3436</v>
      </c>
      <c r="D1684" s="9"/>
      <c r="E1684" s="17" t="s">
        <v>14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>
      <c r="A1685" s="1"/>
      <c r="B1685" s="25" t="s">
        <v>131</v>
      </c>
      <c r="E1685" s="26" t="s">
        <v>110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>
      <c r="A1686" s="1"/>
      <c r="B1686" s="25" t="s">
        <v>149</v>
      </c>
      <c r="E1686" s="26" t="s">
        <v>147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>
      <c r="A1687" s="1"/>
      <c r="B1687" s="24" t="s">
        <v>3439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"/>
    </row>
    <row r="1688">
      <c r="A1688" s="1"/>
      <c r="B1688" s="4" t="s">
        <v>3440</v>
      </c>
      <c r="D1688" s="9"/>
      <c r="E1688" s="17" t="s">
        <v>14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>
      <c r="A1689" s="1"/>
      <c r="B1689" s="25" t="s">
        <v>131</v>
      </c>
      <c r="E1689" s="26" t="s">
        <v>110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>
      <c r="A1690" s="1"/>
      <c r="B1690" s="25" t="s">
        <v>157</v>
      </c>
      <c r="E1690" s="26" t="s">
        <v>132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>
      <c r="A1691" s="1"/>
      <c r="B1691" s="24" t="s">
        <v>3442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"/>
    </row>
    <row r="1692">
      <c r="A1692" s="1"/>
      <c r="B1692" s="4" t="s">
        <v>3444</v>
      </c>
      <c r="D1692" s="9"/>
      <c r="E1692" s="17" t="s">
        <v>14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>
      <c r="A1693" s="1"/>
      <c r="B1693" s="25" t="s">
        <v>2251</v>
      </c>
      <c r="E1693" s="26" t="s">
        <v>234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>
      <c r="A1694" s="1"/>
      <c r="B1694" s="24" t="s">
        <v>3446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"/>
    </row>
    <row r="1695">
      <c r="A1695" s="1"/>
      <c r="B1695" s="4" t="s">
        <v>3454</v>
      </c>
      <c r="D1695" s="9"/>
      <c r="E1695" s="17" t="s">
        <v>14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>
      <c r="A1696" s="1"/>
      <c r="B1696" s="25" t="s">
        <v>2296</v>
      </c>
      <c r="E1696" s="26" t="s">
        <v>234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>
      <c r="A1697" s="1"/>
      <c r="B1697" s="25" t="s">
        <v>2213</v>
      </c>
      <c r="E1697" s="26" t="s">
        <v>147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>
      <c r="A1698" s="1"/>
      <c r="B1698" s="24" t="s">
        <v>3457</v>
      </c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"/>
    </row>
    <row r="1699">
      <c r="A1699" s="1"/>
      <c r="B1699" s="4" t="s">
        <v>3458</v>
      </c>
      <c r="D1699" s="9"/>
      <c r="E1699" s="17" t="s">
        <v>14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>
      <c r="A1700" s="1"/>
      <c r="B1700" s="25" t="s">
        <v>149</v>
      </c>
      <c r="E1700" s="26" t="s">
        <v>90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>
      <c r="A1701" s="1"/>
      <c r="B1701" s="24" t="s">
        <v>3459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"/>
    </row>
    <row r="1702">
      <c r="A1702" s="1"/>
      <c r="B1702" s="4" t="s">
        <v>3460</v>
      </c>
      <c r="D1702" s="9"/>
      <c r="E1702" s="17" t="s">
        <v>14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>
      <c r="A1703" s="1"/>
      <c r="B1703" s="25" t="s">
        <v>108</v>
      </c>
      <c r="E1703" s="26" t="s">
        <v>110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>
      <c r="A1704" s="1"/>
      <c r="B1704" s="25" t="s">
        <v>117</v>
      </c>
      <c r="E1704" s="26" t="s">
        <v>132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>
      <c r="A1705" s="1"/>
      <c r="B1705" s="24" t="s">
        <v>3462</v>
      </c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"/>
    </row>
    <row r="1706">
      <c r="A1706" s="1"/>
      <c r="B1706" s="4" t="s">
        <v>3464</v>
      </c>
      <c r="D1706" s="9"/>
      <c r="E1706" s="17" t="s">
        <v>14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>
      <c r="A1707" s="1"/>
      <c r="B1707" s="25" t="s">
        <v>149</v>
      </c>
      <c r="E1707" s="26" t="s">
        <v>90</v>
      </c>
      <c r="F1707" s="18" t="str">
        <f>HYPERLINK("https://www.twitch.tv/videos/337307862",'Players&gt;List'!$B24)</f>
        <v>[NIM]</v>
      </c>
      <c r="G1707" s="18" t="str">
        <f>HYPERLINK("https://www.twitch.tv/videos/392171207?collection=oQVne6T1iRWqEw",'Players&gt;List'!$B30)</f>
        <v>[TST]</v>
      </c>
      <c r="H1707" s="1"/>
      <c r="I1707" s="1"/>
      <c r="J1707" s="1"/>
      <c r="K1707" s="1"/>
      <c r="L1707" s="1"/>
      <c r="M1707" s="1"/>
      <c r="N1707" s="1"/>
      <c r="O1707" s="1"/>
      <c r="P1707" s="1"/>
    </row>
    <row r="1708">
      <c r="A1708" s="1"/>
      <c r="B1708" s="25" t="s">
        <v>88</v>
      </c>
      <c r="E1708" s="26" t="s">
        <v>147</v>
      </c>
      <c r="F1708" s="18" t="str">
        <f>HYPERLINK("https://www.twitch.tv/videos/392171659?collection=oQVne6T1iRWqEw&amp;filter=collections&amp;sort=time",'Players&gt;List'!$B30)</f>
        <v>[TST]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>
      <c r="A1709" s="1"/>
      <c r="B1709" s="24" t="s">
        <v>3467</v>
      </c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"/>
    </row>
    <row r="1710">
      <c r="A1710" s="1"/>
      <c r="B1710" s="4" t="s">
        <v>3470</v>
      </c>
      <c r="D1710" s="9"/>
      <c r="E1710" s="17" t="s">
        <v>14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>
      <c r="A1711" s="1"/>
      <c r="B1711" s="25" t="s">
        <v>356</v>
      </c>
      <c r="E1711" s="26" t="s">
        <v>234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>
      <c r="A1712" s="1"/>
      <c r="B1712" s="24" t="s">
        <v>3473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"/>
    </row>
    <row r="1713">
      <c r="A1713" s="1"/>
      <c r="B1713" s="4" t="s">
        <v>3474</v>
      </c>
      <c r="D1713" s="9"/>
      <c r="E1713" s="17" t="s">
        <v>14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>
      <c r="A1714" s="1"/>
      <c r="B1714" s="25" t="s">
        <v>117</v>
      </c>
      <c r="E1714" s="26" t="s">
        <v>110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>
      <c r="A1715" s="1"/>
      <c r="B1715" s="25" t="s">
        <v>88</v>
      </c>
      <c r="E1715" s="26" t="s">
        <v>147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>
      <c r="A1716" s="1"/>
      <c r="B1716" s="25" t="s">
        <v>149</v>
      </c>
      <c r="E1716" s="26" t="s">
        <v>147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>
      <c r="A1717" s="1"/>
      <c r="B1717" s="24" t="s">
        <v>3478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"/>
    </row>
    <row r="1718">
      <c r="A1718" s="1"/>
      <c r="B1718" s="4" t="s">
        <v>3479</v>
      </c>
      <c r="D1718" s="9"/>
      <c r="E1718" s="17" t="s">
        <v>14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>
      <c r="A1719" s="1"/>
      <c r="B1719" s="25" t="s">
        <v>1147</v>
      </c>
      <c r="E1719" s="26" t="s">
        <v>110</v>
      </c>
      <c r="F1719" s="18" t="str">
        <f>HYPERLINK("https://www.youtube.com/watch?v=HuhD2Ie5X1s",'Players&gt;List'!$B18)</f>
        <v>[HGB]</v>
      </c>
      <c r="G1719" s="18" t="str">
        <f>HYPERLINK("https://www.twitch.tv/videos/87784945",'Players&gt;List'!$B32)</f>
        <v>[XEL]</v>
      </c>
      <c r="H1719" s="18" t="str">
        <f>HYPERLINK("https://www.youtube.com/watch?v=4Wp1aOLzAgc",'Players&gt;List'!$B19)</f>
        <v>[HIT]</v>
      </c>
      <c r="I1719" s="18" t="str">
        <f>HYPERLINK("https://www.twitch.tv/videos/338629196",'Players&gt;List'!$B24)</f>
        <v>[NIM]</v>
      </c>
      <c r="J1719" s="1"/>
      <c r="K1719" s="1"/>
      <c r="L1719" s="1"/>
      <c r="M1719" s="1"/>
      <c r="N1719" s="1"/>
      <c r="O1719" s="1"/>
      <c r="P1719" s="1"/>
    </row>
    <row r="1720">
      <c r="A1720" s="1"/>
      <c r="B1720" s="25" t="s">
        <v>2299</v>
      </c>
      <c r="E1720" s="26" t="s">
        <v>132</v>
      </c>
      <c r="F1720" s="18" t="str">
        <f>HYPERLINK("https://www.youtube.com/watch?v=Wg8pWrPlPc0",'Players&gt;List'!$B19)</f>
        <v>[HIT]</v>
      </c>
      <c r="G1720" s="18" t="str">
        <f>HYPERLINK("https://www.twitch.tv/videos/338853703",'Players&gt;List'!$B24)</f>
        <v>[NIM]</v>
      </c>
      <c r="H1720" s="1"/>
      <c r="I1720" s="1"/>
      <c r="J1720" s="1"/>
      <c r="K1720" s="1"/>
      <c r="L1720" s="1"/>
      <c r="M1720" s="1"/>
      <c r="N1720" s="1"/>
      <c r="O1720" s="1"/>
      <c r="P1720" s="1"/>
    </row>
    <row r="1721">
      <c r="A1721" s="1"/>
      <c r="B1721" s="25" t="s">
        <v>88</v>
      </c>
      <c r="E1721" s="26" t="s">
        <v>147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>
      <c r="A1722" s="1"/>
      <c r="B1722" s="25" t="s">
        <v>3145</v>
      </c>
      <c r="E1722" s="26" t="s">
        <v>147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>
      <c r="A1723" s="1"/>
      <c r="B1723" s="25" t="s">
        <v>149</v>
      </c>
      <c r="E1723" s="26" t="s">
        <v>147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>
      <c r="A1724" s="1"/>
      <c r="B1724" s="25" t="s">
        <v>2296</v>
      </c>
      <c r="E1724" s="26" t="s">
        <v>358</v>
      </c>
      <c r="F1724" s="18" t="str">
        <f>HYPERLINK("https://www.twitch.tv/videos/338947373",'Players&gt;List'!$B24)</f>
        <v>[NIM]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>
      <c r="A1725" s="1"/>
      <c r="B1725" s="24" t="s">
        <v>3488</v>
      </c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"/>
    </row>
    <row r="1726">
      <c r="A1726" s="1"/>
      <c r="B1726" s="4" t="s">
        <v>3490</v>
      </c>
      <c r="D1726" s="9"/>
      <c r="E1726" s="17" t="s">
        <v>14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>
      <c r="A1727" s="1"/>
      <c r="B1727" s="25" t="s">
        <v>117</v>
      </c>
      <c r="E1727" s="26" t="s">
        <v>110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>
      <c r="A1728" s="1"/>
      <c r="B1728" s="25" t="s">
        <v>149</v>
      </c>
      <c r="E1728" s="26" t="s">
        <v>147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>
      <c r="A1729" s="1"/>
      <c r="B1729" s="24" t="s">
        <v>3492</v>
      </c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"/>
    </row>
    <row r="1730">
      <c r="A1730" s="1"/>
      <c r="B1730" s="4" t="s">
        <v>3495</v>
      </c>
      <c r="D1730" s="9"/>
      <c r="E1730" s="17" t="s">
        <v>14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>
      <c r="A1731" s="1"/>
      <c r="B1731" s="25" t="s">
        <v>117</v>
      </c>
      <c r="E1731" s="26" t="s">
        <v>110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>
      <c r="A1732" s="1"/>
      <c r="B1732" s="24" t="s">
        <v>3497</v>
      </c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"/>
    </row>
    <row r="1733">
      <c r="A1733" s="1"/>
      <c r="B1733" s="4" t="s">
        <v>3498</v>
      </c>
      <c r="D1733" s="9"/>
      <c r="E1733" s="17" t="s">
        <v>14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>
      <c r="A1734" s="1"/>
      <c r="B1734" s="25" t="s">
        <v>117</v>
      </c>
      <c r="E1734" s="26" t="s">
        <v>110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>
      <c r="A1735" s="1"/>
      <c r="B1735" s="24" t="s">
        <v>3499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"/>
    </row>
    <row r="1736">
      <c r="A1736" s="1"/>
      <c r="B1736" s="4" t="s">
        <v>3501</v>
      </c>
      <c r="D1736" s="9"/>
      <c r="E1736" s="17" t="s">
        <v>14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>
      <c r="A1737" s="1"/>
      <c r="B1737" s="25" t="s">
        <v>2296</v>
      </c>
      <c r="E1737" s="26" t="s">
        <v>234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>
      <c r="A1738" s="1"/>
      <c r="B1738" s="24" t="s">
        <v>3503</v>
      </c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"/>
    </row>
    <row r="1739">
      <c r="A1739" s="1"/>
      <c r="B1739" s="4" t="s">
        <v>3504</v>
      </c>
      <c r="D1739" s="9"/>
      <c r="E1739" s="17" t="s">
        <v>14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>
      <c r="A1740" s="1"/>
      <c r="B1740" s="25" t="s">
        <v>108</v>
      </c>
      <c r="E1740" s="26" t="s">
        <v>110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>
      <c r="A1741" s="30"/>
      <c r="B1741" s="14" t="s">
        <v>3507</v>
      </c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30"/>
    </row>
    <row r="1742">
      <c r="A1742" s="1"/>
      <c r="B1742" s="4" t="s">
        <v>3509</v>
      </c>
      <c r="D1742" s="9"/>
      <c r="E1742" s="17" t="s">
        <v>14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>
      <c r="A1743" s="1"/>
      <c r="B1743" s="25" t="s">
        <v>88</v>
      </c>
      <c r="E1743" s="26" t="s">
        <v>90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>
      <c r="A1744" s="30"/>
      <c r="B1744" s="14" t="s">
        <v>3513</v>
      </c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30"/>
    </row>
    <row r="1745">
      <c r="A1745" s="1"/>
      <c r="B1745" s="4" t="s">
        <v>3515</v>
      </c>
      <c r="D1745" s="9"/>
      <c r="E1745" s="17" t="s">
        <v>14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>
      <c r="A1746" s="1"/>
      <c r="B1746" s="25" t="s">
        <v>117</v>
      </c>
      <c r="E1746" s="26" t="s">
        <v>110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>
      <c r="A1747" s="1"/>
      <c r="B1747" s="25" t="s">
        <v>157</v>
      </c>
      <c r="E1747" s="26" t="s">
        <v>132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>
      <c r="A1748" s="30"/>
      <c r="B1748" s="14" t="s">
        <v>3516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30"/>
    </row>
    <row r="1749">
      <c r="A1749" s="1"/>
      <c r="B1749" s="4" t="s">
        <v>3517</v>
      </c>
      <c r="D1749" s="9"/>
      <c r="E1749" s="17" t="s">
        <v>14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>
      <c r="A1750" s="1"/>
      <c r="B1750" s="25" t="s">
        <v>88</v>
      </c>
      <c r="E1750" s="26" t="s">
        <v>90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>
      <c r="A1751" s="30"/>
      <c r="B1751" s="14" t="s">
        <v>3519</v>
      </c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30"/>
    </row>
    <row r="1752">
      <c r="A1752" s="1"/>
      <c r="B1752" s="4" t="s">
        <v>3522</v>
      </c>
      <c r="D1752" s="9"/>
      <c r="E1752" s="17" t="s">
        <v>14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>
      <c r="A1753" s="1"/>
      <c r="B1753" s="25" t="s">
        <v>149</v>
      </c>
      <c r="E1753" s="26" t="s">
        <v>90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>
      <c r="A1754" s="30"/>
      <c r="B1754" s="14" t="s">
        <v>3524</v>
      </c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30"/>
    </row>
    <row r="1755">
      <c r="A1755" s="1"/>
      <c r="B1755" s="4" t="s">
        <v>3525</v>
      </c>
      <c r="D1755" s="9"/>
      <c r="E1755" s="17" t="s">
        <v>14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>
      <c r="A1756" s="1"/>
      <c r="B1756" s="25" t="s">
        <v>131</v>
      </c>
      <c r="E1756" s="26" t="s">
        <v>110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>
      <c r="A1757" s="30"/>
      <c r="B1757" s="14" t="s">
        <v>3526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30"/>
    </row>
    <row r="1758">
      <c r="A1758" s="1"/>
      <c r="B1758" s="4" t="s">
        <v>3528</v>
      </c>
      <c r="D1758" s="9"/>
      <c r="E1758" s="17" t="s">
        <v>14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>
      <c r="A1759" s="1"/>
      <c r="B1759" s="25" t="s">
        <v>2296</v>
      </c>
      <c r="E1759" s="26" t="s">
        <v>234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>
      <c r="A1760" s="30"/>
      <c r="B1760" s="14" t="s">
        <v>3530</v>
      </c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30"/>
    </row>
    <row r="1761">
      <c r="A1761" s="1"/>
      <c r="B1761" s="4" t="s">
        <v>3531</v>
      </c>
      <c r="D1761" s="9"/>
      <c r="E1761" s="17" t="s">
        <v>14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>
      <c r="A1762" s="1"/>
      <c r="B1762" s="25" t="s">
        <v>108</v>
      </c>
      <c r="E1762" s="26" t="s">
        <v>110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>
      <c r="A1763" s="1"/>
      <c r="B1763" s="25" t="s">
        <v>131</v>
      </c>
      <c r="E1763" s="26" t="s">
        <v>132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>
      <c r="A1764" s="30"/>
      <c r="B1764" s="14" t="s">
        <v>3532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30"/>
    </row>
    <row r="1765">
      <c r="A1765" s="1"/>
      <c r="B1765" s="4" t="s">
        <v>3533</v>
      </c>
      <c r="D1765" s="9"/>
      <c r="E1765" s="17" t="s">
        <v>14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>
      <c r="A1766" s="1"/>
      <c r="B1766" s="25" t="s">
        <v>131</v>
      </c>
      <c r="E1766" s="26" t="s">
        <v>110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>
      <c r="A1767" s="30"/>
      <c r="B1767" s="14" t="s">
        <v>3534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30"/>
    </row>
    <row r="1768">
      <c r="A1768" s="1"/>
      <c r="B1768" s="4" t="s">
        <v>3535</v>
      </c>
      <c r="D1768" s="9"/>
      <c r="E1768" s="17" t="s">
        <v>14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>
      <c r="A1769" s="1"/>
      <c r="B1769" s="25" t="s">
        <v>88</v>
      </c>
      <c r="E1769" s="26" t="s">
        <v>90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>
      <c r="A1770" s="30"/>
      <c r="B1770" s="14" t="s">
        <v>3536</v>
      </c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30"/>
    </row>
    <row r="1771">
      <c r="A1771" s="1"/>
      <c r="B1771" s="4" t="s">
        <v>3537</v>
      </c>
      <c r="D1771" s="9"/>
      <c r="E1771" s="17" t="s">
        <v>14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>
      <c r="A1772" s="1"/>
      <c r="B1772" s="25" t="s">
        <v>108</v>
      </c>
      <c r="E1772" s="26" t="s">
        <v>110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>
      <c r="A1773" s="1"/>
      <c r="B1773" s="25" t="s">
        <v>88</v>
      </c>
      <c r="E1773" s="26" t="s">
        <v>147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>
      <c r="A1774" s="1"/>
      <c r="B1774" s="25" t="s">
        <v>149</v>
      </c>
      <c r="E1774" s="26" t="s">
        <v>147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>
      <c r="A1775" s="1"/>
      <c r="B1775" s="25" t="s">
        <v>117</v>
      </c>
      <c r="E1775" s="26" t="s">
        <v>132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>
      <c r="A1776" s="30"/>
      <c r="B1776" s="14" t="s">
        <v>3540</v>
      </c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30"/>
    </row>
    <row r="1777">
      <c r="A1777" s="1"/>
      <c r="B1777" s="4" t="s">
        <v>3541</v>
      </c>
      <c r="D1777" s="9"/>
      <c r="E1777" s="17" t="s">
        <v>14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>
      <c r="A1778" s="1"/>
      <c r="B1778" s="25" t="s">
        <v>157</v>
      </c>
      <c r="E1778" s="26" t="s">
        <v>110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>
      <c r="A1779" s="30"/>
      <c r="B1779" s="14" t="s">
        <v>3543</v>
      </c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30"/>
    </row>
    <row r="1780">
      <c r="A1780" s="1"/>
      <c r="B1780" s="4" t="s">
        <v>3545</v>
      </c>
      <c r="D1780" s="9"/>
      <c r="E1780" s="17" t="s">
        <v>14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>
      <c r="A1781" s="1"/>
      <c r="B1781" s="25" t="s">
        <v>117</v>
      </c>
      <c r="E1781" s="26" t="s">
        <v>110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>
      <c r="A1782" s="1"/>
      <c r="B1782" s="25" t="s">
        <v>88</v>
      </c>
      <c r="E1782" s="26" t="s">
        <v>147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>
      <c r="A1783" s="30"/>
      <c r="B1783" s="14" t="s">
        <v>3546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30"/>
    </row>
    <row r="1784">
      <c r="A1784" s="1"/>
      <c r="B1784" s="4" t="s">
        <v>3548</v>
      </c>
      <c r="D1784" s="9"/>
      <c r="E1784" s="17" t="s">
        <v>14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>
      <c r="A1785" s="1"/>
      <c r="B1785" s="25" t="s">
        <v>149</v>
      </c>
      <c r="E1785" s="26" t="s">
        <v>90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>
      <c r="A1786" s="30"/>
      <c r="B1786" s="14" t="s">
        <v>3550</v>
      </c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30"/>
    </row>
    <row r="1787">
      <c r="A1787" s="1"/>
      <c r="B1787" s="4" t="s">
        <v>3552</v>
      </c>
      <c r="D1787" s="9"/>
      <c r="E1787" s="17" t="s">
        <v>14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>
      <c r="A1788" s="1"/>
      <c r="B1788" s="25" t="s">
        <v>131</v>
      </c>
      <c r="E1788" s="26" t="s">
        <v>110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>
      <c r="A1789" s="30"/>
      <c r="B1789" s="14" t="s">
        <v>3554</v>
      </c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30"/>
    </row>
    <row r="1790">
      <c r="A1790" s="1"/>
      <c r="B1790" s="4" t="s">
        <v>3555</v>
      </c>
      <c r="D1790" s="9"/>
      <c r="E1790" s="17" t="s">
        <v>14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>
      <c r="A1791" s="1"/>
      <c r="B1791" s="25" t="s">
        <v>117</v>
      </c>
      <c r="E1791" s="26" t="s">
        <v>110</v>
      </c>
      <c r="F1791" s="18" t="str">
        <f>HYPERLINK("https://www.youtube.com/watch?v=YplV8Qmqi3c",'Players&gt;List'!$B18)</f>
        <v>[HGB]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>
      <c r="A1792" s="30"/>
      <c r="B1792" s="14" t="s">
        <v>3556</v>
      </c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30"/>
    </row>
    <row r="1793">
      <c r="A1793" s="1"/>
      <c r="B1793" s="4" t="s">
        <v>3557</v>
      </c>
      <c r="D1793" s="9"/>
      <c r="E1793" s="17" t="s">
        <v>14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>
      <c r="A1794" s="1"/>
      <c r="B1794" s="25" t="s">
        <v>3558</v>
      </c>
      <c r="E1794" s="26" t="s">
        <v>915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>
      <c r="A1795" s="1"/>
      <c r="B1795" s="25" t="s">
        <v>3559</v>
      </c>
      <c r="E1795" s="26" t="s">
        <v>132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>
      <c r="A1796" s="30"/>
      <c r="B1796" s="14" t="s">
        <v>3560</v>
      </c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30"/>
    </row>
    <row r="1797">
      <c r="A1797" s="1"/>
      <c r="B1797" s="4" t="s">
        <v>3562</v>
      </c>
      <c r="D1797" s="9"/>
      <c r="E1797" s="17" t="s">
        <v>14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>
      <c r="A1798" s="1"/>
      <c r="B1798" s="25" t="s">
        <v>88</v>
      </c>
      <c r="E1798" s="26" t="s">
        <v>90</v>
      </c>
      <c r="F1798" s="18" t="str">
        <f>HYPERLINK("https://www.youtube.com/watch?v=HRq1vqO0RwY",'Players&gt;List'!$B18)</f>
        <v>[HGB]</v>
      </c>
      <c r="G1798" s="18" t="str">
        <f>HYPERLINK("https://www.youtube.com/watch?v=C_oenTfzEf8",'Players&gt;List'!$B16)</f>
        <v>[GEA]</v>
      </c>
      <c r="H1798" s="1"/>
      <c r="I1798" s="1"/>
      <c r="J1798" s="1"/>
      <c r="K1798" s="1"/>
      <c r="L1798" s="1"/>
      <c r="M1798" s="1"/>
      <c r="N1798" s="1"/>
      <c r="O1798" s="1"/>
      <c r="P1798" s="1"/>
    </row>
    <row r="1799">
      <c r="A1799" s="30"/>
      <c r="B1799" s="14" t="s">
        <v>3565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30"/>
    </row>
    <row r="1800">
      <c r="A1800" s="1"/>
      <c r="B1800" s="4" t="s">
        <v>3567</v>
      </c>
      <c r="D1800" s="9"/>
      <c r="E1800" s="17" t="s">
        <v>14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>
      <c r="A1801" s="1"/>
      <c r="B1801" s="25" t="s">
        <v>457</v>
      </c>
      <c r="E1801" s="26" t="s">
        <v>110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>
      <c r="A1802" s="30"/>
      <c r="B1802" s="14" t="s">
        <v>3568</v>
      </c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30"/>
    </row>
    <row r="1803">
      <c r="A1803" s="1"/>
      <c r="B1803" s="4" t="s">
        <v>3569</v>
      </c>
      <c r="D1803" s="9"/>
      <c r="E1803" s="17" t="s">
        <v>14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>
      <c r="A1804" s="1"/>
      <c r="B1804" s="25" t="s">
        <v>108</v>
      </c>
      <c r="E1804" s="26" t="s">
        <v>110</v>
      </c>
      <c r="F1804" s="18" t="str">
        <f>HYPERLINK("https://www.youtube.com/watch?v=qzIHtPquKvA",'Players&gt;List'!$B18)</f>
        <v>[HGB]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>
      <c r="A1805" s="1"/>
      <c r="B1805" s="25" t="s">
        <v>131</v>
      </c>
      <c r="E1805" s="26" t="s">
        <v>132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>
      <c r="A1806" s="30"/>
      <c r="B1806" s="14" t="s">
        <v>3572</v>
      </c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30"/>
    </row>
    <row r="1807">
      <c r="A1807" s="1"/>
      <c r="B1807" s="4" t="s">
        <v>3574</v>
      </c>
      <c r="D1807" s="9"/>
      <c r="E1807" s="17" t="s">
        <v>14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>
      <c r="A1808" s="1"/>
      <c r="B1808" s="25" t="s">
        <v>2183</v>
      </c>
      <c r="E1808" s="26" t="s">
        <v>380</v>
      </c>
      <c r="F1808" s="18" t="str">
        <f>HYPERLINK("https://www.youtube.com/watch?v=RIRomKYgmJ4",'Players&gt;List'!$B18)</f>
        <v>[HGB]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>
      <c r="A1809" s="1"/>
      <c r="B1809" s="25" t="s">
        <v>131</v>
      </c>
      <c r="E1809" s="26" t="s">
        <v>132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>
      <c r="A1810" s="1"/>
      <c r="B1810" s="25" t="s">
        <v>2303</v>
      </c>
      <c r="E1810" s="26" t="s">
        <v>132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>
      <c r="A1811" s="1"/>
      <c r="B1811" s="25" t="s">
        <v>88</v>
      </c>
      <c r="E1811" s="26" t="s">
        <v>147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>
      <c r="A1812" s="1"/>
      <c r="B1812" s="25" t="s">
        <v>197</v>
      </c>
      <c r="E1812" s="26" t="s">
        <v>147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>
      <c r="A1813" s="1"/>
      <c r="B1813" s="25" t="s">
        <v>2171</v>
      </c>
      <c r="E1813" s="26" t="s">
        <v>1418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>
      <c r="A1814" s="30"/>
      <c r="B1814" s="14" t="s">
        <v>3578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30"/>
    </row>
    <row r="1815">
      <c r="A1815" s="1"/>
      <c r="B1815" s="4" t="s">
        <v>3579</v>
      </c>
      <c r="D1815" s="9"/>
      <c r="E1815" s="17" t="s">
        <v>14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>
      <c r="A1816" s="1"/>
      <c r="B1816" s="25" t="s">
        <v>149</v>
      </c>
      <c r="E1816" s="26" t="s">
        <v>90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>
      <c r="A1817" s="30"/>
      <c r="B1817" s="14" t="s">
        <v>3580</v>
      </c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30"/>
    </row>
    <row r="1818">
      <c r="A1818" s="1"/>
      <c r="B1818" s="4" t="s">
        <v>3581</v>
      </c>
      <c r="D1818" s="9"/>
      <c r="E1818" s="17" t="s">
        <v>14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>
      <c r="A1819" s="1"/>
      <c r="B1819" s="25" t="s">
        <v>2493</v>
      </c>
      <c r="E1819" s="26" t="s">
        <v>380</v>
      </c>
      <c r="F1819" s="18" t="str">
        <f>HYPERLINK("https://www.youtube.com/watch?v=WvQEXqjmOD0",'Players&gt;List'!$B18)</f>
        <v>[HGB]</v>
      </c>
      <c r="G1819" s="18" t="str">
        <f>HYPERLINK("https://www.twitch.tv/videos/337307863",'Players&gt;List'!$B24)</f>
        <v>[NIM]</v>
      </c>
      <c r="H1819" s="1"/>
      <c r="I1819" s="1"/>
      <c r="J1819" s="1"/>
      <c r="K1819" s="1"/>
      <c r="L1819" s="1"/>
      <c r="M1819" s="1"/>
      <c r="N1819" s="1"/>
      <c r="O1819" s="1"/>
      <c r="P1819" s="1"/>
    </row>
    <row r="1820">
      <c r="A1820" s="1"/>
      <c r="B1820" s="25" t="s">
        <v>88</v>
      </c>
      <c r="E1820" s="26" t="s">
        <v>147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>
      <c r="A1821" s="1"/>
      <c r="B1821" s="25" t="s">
        <v>108</v>
      </c>
      <c r="E1821" s="26" t="s">
        <v>132</v>
      </c>
      <c r="F1821" s="18" t="str">
        <f>HYPERLINK("https://www.twitch.tv/videos/337307864",'Players&gt;List'!$B24)</f>
        <v>[NIM]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>
      <c r="A1822" s="1"/>
      <c r="B1822" s="25" t="s">
        <v>335</v>
      </c>
      <c r="E1822" s="26" t="s">
        <v>147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>
      <c r="A1823" s="1"/>
      <c r="B1823" s="14" t="s">
        <v>3586</v>
      </c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"/>
    </row>
    <row r="1824">
      <c r="A1824" s="1"/>
      <c r="B1824" s="4" t="s">
        <v>3587</v>
      </c>
      <c r="D1824" s="9"/>
      <c r="E1824" s="17" t="s">
        <v>14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>
      <c r="A1825" s="1"/>
      <c r="B1825" s="25" t="s">
        <v>117</v>
      </c>
      <c r="E1825" s="26" t="s">
        <v>110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>
      <c r="A1826" s="1"/>
      <c r="B1826" s="25" t="s">
        <v>88</v>
      </c>
      <c r="E1826" s="26" t="s">
        <v>147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>
      <c r="A1827" s="1"/>
      <c r="B1827" s="14" t="s">
        <v>3589</v>
      </c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"/>
    </row>
    <row r="1828">
      <c r="A1828" s="1"/>
      <c r="B1828" s="4" t="s">
        <v>3591</v>
      </c>
      <c r="D1828" s="9"/>
      <c r="E1828" s="17" t="s">
        <v>14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>
      <c r="A1829" s="1"/>
      <c r="B1829" s="25" t="s">
        <v>117</v>
      </c>
      <c r="E1829" s="26" t="s">
        <v>110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>
      <c r="A1830" s="1"/>
      <c r="B1830" s="25" t="s">
        <v>157</v>
      </c>
      <c r="E1830" s="26" t="s">
        <v>132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>
      <c r="A1831" s="1"/>
      <c r="B1831" s="14" t="s">
        <v>3592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"/>
    </row>
    <row r="1832">
      <c r="A1832" s="1"/>
      <c r="B1832" s="4" t="s">
        <v>3593</v>
      </c>
      <c r="D1832" s="9"/>
      <c r="E1832" s="17" t="s">
        <v>14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>
      <c r="A1833" s="1"/>
      <c r="B1833" s="25" t="s">
        <v>149</v>
      </c>
      <c r="E1833" s="26" t="s">
        <v>90</v>
      </c>
      <c r="F1833" s="18" t="str">
        <f>HYPERLINK("https://www.youtube.com/watch?v=ujU4WEkoxng",'Players&gt;List'!$B18)</f>
        <v>[HGB]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>
      <c r="A1834" s="1"/>
      <c r="B1834" s="25" t="s">
        <v>88</v>
      </c>
      <c r="E1834" s="26" t="s">
        <v>147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>
      <c r="A1835" s="1"/>
      <c r="B1835" s="25" t="s">
        <v>2213</v>
      </c>
      <c r="E1835" s="26" t="s">
        <v>147</v>
      </c>
      <c r="F1835" s="18" t="str">
        <f>HYPERLINK("https://www.youtube.com/watch?v=ujU4WEkoxng",'Players&gt;List'!$B18)</f>
        <v>[HGB]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>
      <c r="A1836" s="1"/>
      <c r="B1836" s="24" t="s">
        <v>3597</v>
      </c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"/>
    </row>
    <row r="1837">
      <c r="A1837" s="1"/>
      <c r="B1837" s="4" t="s">
        <v>3599</v>
      </c>
      <c r="D1837" s="9"/>
      <c r="E1837" s="17" t="s">
        <v>14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>
      <c r="A1838" s="1"/>
      <c r="B1838" s="25" t="s">
        <v>131</v>
      </c>
      <c r="E1838" s="26" t="s">
        <v>110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>
      <c r="A1839" s="1"/>
      <c r="B1839" s="24" t="s">
        <v>3601</v>
      </c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"/>
    </row>
    <row r="1840">
      <c r="A1840" s="1"/>
      <c r="B1840" s="4" t="s">
        <v>3603</v>
      </c>
      <c r="D1840" s="9"/>
      <c r="E1840" s="17" t="s">
        <v>14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>
      <c r="A1841" s="1"/>
      <c r="B1841" s="25" t="s">
        <v>88</v>
      </c>
      <c r="E1841" s="26" t="s">
        <v>90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>
      <c r="A1842" s="1"/>
      <c r="B1842" s="24" t="s">
        <v>3604</v>
      </c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"/>
    </row>
    <row r="1843">
      <c r="A1843" s="1"/>
      <c r="B1843" s="4" t="s">
        <v>3605</v>
      </c>
      <c r="D1843" s="9"/>
      <c r="E1843" s="17" t="s">
        <v>14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>
      <c r="A1844" s="1"/>
      <c r="B1844" s="25" t="s">
        <v>488</v>
      </c>
      <c r="E1844" s="26" t="s">
        <v>234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>
      <c r="A1845" s="1"/>
      <c r="B1845" s="25" t="s">
        <v>88</v>
      </c>
      <c r="E1845" s="26" t="s">
        <v>147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>
      <c r="A1846" s="1"/>
      <c r="B1846" s="25" t="s">
        <v>131</v>
      </c>
      <c r="E1846" s="26" t="s">
        <v>132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>
      <c r="A1847" s="1"/>
      <c r="B1847" s="24" t="s">
        <v>3607</v>
      </c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"/>
    </row>
    <row r="1848">
      <c r="A1848" s="1"/>
      <c r="B1848" s="4" t="s">
        <v>3610</v>
      </c>
      <c r="D1848" s="9"/>
      <c r="E1848" s="17" t="s">
        <v>14</v>
      </c>
      <c r="F1848" s="18" t="str">
        <f>HYPERLINK("https://www.youtube.com/watch?v=hRHveejgPqU",'Players&gt;List'!$B28)</f>
        <v>[SUN]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>
      <c r="A1849" s="1"/>
      <c r="B1849" s="25" t="s">
        <v>149</v>
      </c>
      <c r="E1849" s="26" t="s">
        <v>90</v>
      </c>
      <c r="F1849" s="18" t="str">
        <f>HYPERLINK("https://www.youtube.com/watch?v=RxyDGRanIT0",'Players&gt;List'!$B9)</f>
        <v>[AWE]</v>
      </c>
      <c r="G1849" s="18" t="str">
        <f>HYPERLINK("https://www.youtube.com/watch?v=PYZhCBy0eZA",'Players&gt;List'!$B18)</f>
        <v>[HGB]</v>
      </c>
      <c r="H1849" s="18" t="str">
        <f>HYPERLINK("https://www.youtube.com/watch?v=hRHveejgPqU",'Players&gt;List'!$B28)</f>
        <v>[SUN]</v>
      </c>
      <c r="I1849" s="18" t="str">
        <f>HYPERLINK("https://www.twitch.tv/videos/273558934",'Players&gt;List'!$B24)</f>
        <v>[NIM]</v>
      </c>
      <c r="J1849" s="1"/>
      <c r="K1849" s="1"/>
      <c r="L1849" s="1"/>
      <c r="M1849" s="1"/>
      <c r="N1849" s="1"/>
      <c r="O1849" s="1"/>
      <c r="P1849" s="1"/>
    </row>
    <row r="1850">
      <c r="A1850" s="1"/>
      <c r="B1850" s="25" t="s">
        <v>197</v>
      </c>
      <c r="E1850" s="26" t="s">
        <v>147</v>
      </c>
      <c r="F1850" s="18" t="str">
        <f>HYPERLINK("https://www.youtube.com/watch?v=dVY3SM-9igg",'Players&gt;List'!$B23)</f>
        <v>[MOL]</v>
      </c>
      <c r="G1850" s="18" t="str">
        <f>HYPERLINK("https://www.twitch.tv/videos/87785399",'Players&gt;List'!$B32)</f>
        <v>[XEL]</v>
      </c>
      <c r="H1850" s="18" t="str">
        <f>HYPERLINK("https://www.youtube.com/watch?v=0vovZ6hCTIA",'Players&gt;List'!$B8)</f>
        <v>[ABA]</v>
      </c>
      <c r="I1850" s="18" t="str">
        <f>HYPERLINK("https://www.youtube.com/watch?v=H3FewDKCqFU",'Players&gt;List'!$B14)</f>
        <v>[ESP]</v>
      </c>
      <c r="J1850" s="18" t="str">
        <f>HYPERLINK("https://www.youtube.com/watch?v=YEl30KofAcE",'Players&gt;List'!$B19)</f>
        <v>[HIT]</v>
      </c>
      <c r="K1850" s="18" t="str">
        <f>HYPERLINK("https://www.youtube.com/watch?v=9144MYExkAM",'Players&gt;List'!$B16)</f>
        <v>[GEA]</v>
      </c>
      <c r="L1850" s="18" t="str">
        <f>HYPERLINK("https://www.twitch.tv/videos/318096364",'Players&gt;List'!$B9)</f>
        <v>[AWE]</v>
      </c>
      <c r="M1850" s="18" t="str">
        <f>HYPERLINK("https://www.twitch.tv/videos/337644958",'Players&gt;List'!$B24)</f>
        <v>[NIM]</v>
      </c>
      <c r="N1850" s="18" t="str">
        <f>HYPERLINK("https://www.youtube.com/watch?v=lk1u_8h5sZY",'Players&gt;List'!$B27)</f>
        <v>[SKY]</v>
      </c>
      <c r="O1850" s="18" t="str">
        <f>HYPERLINK("https://www.youtube.com/watch?v=bV03cgHKKPU",'Players&gt;List'!$B30)</f>
        <v>[TST]</v>
      </c>
      <c r="P1850" s="1"/>
    </row>
    <row r="1851">
      <c r="A1851" s="1"/>
      <c r="B1851" s="24" t="s">
        <v>3625</v>
      </c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"/>
    </row>
    <row r="1852">
      <c r="A1852" s="1"/>
      <c r="B1852" s="4" t="s">
        <v>3627</v>
      </c>
      <c r="D1852" s="9"/>
      <c r="E1852" s="17" t="s">
        <v>14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>
      <c r="A1853" s="1"/>
      <c r="B1853" s="25" t="s">
        <v>3629</v>
      </c>
      <c r="E1853" s="26" t="s">
        <v>234</v>
      </c>
      <c r="F1853" s="18" t="str">
        <f>HYPERLINK("https://www.twitch.tv/videos/337692899",'Players&gt;List'!$B24)</f>
        <v>[NIM]</v>
      </c>
      <c r="G1853" s="18" t="str">
        <f>HYPERLINK("https://www.youtube.com/watch?v=UU36pjf0D1I",'Players&gt;List'!$B21)</f>
        <v>[MAE]</v>
      </c>
      <c r="H1853" s="18" t="str">
        <f>HYPERLINK("https://www.youtube.com/watch?v=QiHJQaHM4fo",'Players&gt;List'!$B27)</f>
        <v>[SKY]</v>
      </c>
      <c r="I1853" s="1"/>
      <c r="J1853" s="1"/>
      <c r="K1853" s="1"/>
      <c r="L1853" s="1"/>
      <c r="M1853" s="1"/>
      <c r="N1853" s="1"/>
      <c r="O1853" s="1"/>
      <c r="P1853" s="1"/>
    </row>
    <row r="1854">
      <c r="A1854" s="1"/>
      <c r="B1854" s="24" t="s">
        <v>3634</v>
      </c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"/>
    </row>
    <row r="1855">
      <c r="A1855" s="1"/>
      <c r="B1855" s="4" t="s">
        <v>3635</v>
      </c>
      <c r="D1855" s="9"/>
      <c r="E1855" s="17" t="s">
        <v>14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>
      <c r="A1856" s="1"/>
      <c r="B1856" s="25" t="s">
        <v>2493</v>
      </c>
      <c r="E1856" s="26" t="s">
        <v>380</v>
      </c>
      <c r="F1856" s="18" t="str">
        <f>HYPERLINK("https://www.youtube.com/watch?v=V3Lb4aCQ8hc",'Players&gt;List'!$B18)</f>
        <v>[HGB]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>
      <c r="A1857" s="1"/>
      <c r="B1857" s="24" t="s">
        <v>3637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"/>
    </row>
    <row r="1858">
      <c r="A1858" s="1"/>
      <c r="B1858" s="4" t="s">
        <v>3639</v>
      </c>
      <c r="D1858" s="9"/>
      <c r="E1858" s="17" t="s">
        <v>14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>
      <c r="A1859" s="1"/>
      <c r="B1859" s="25" t="s">
        <v>108</v>
      </c>
      <c r="E1859" s="26" t="s">
        <v>110</v>
      </c>
      <c r="F1859" s="18" t="str">
        <f>HYPERLINK("https://www.youtube.com/watch?v=hr8a0yf7068",'Players&gt;List'!$B28)</f>
        <v>[SUN]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>
      <c r="A1860" s="1"/>
      <c r="B1860" s="24" t="s">
        <v>3642</v>
      </c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"/>
    </row>
    <row r="1861">
      <c r="A1861" s="1"/>
      <c r="B1861" s="4" t="s">
        <v>3643</v>
      </c>
      <c r="D1861" s="9"/>
      <c r="E1861" s="17" t="s">
        <v>14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>
      <c r="A1862" s="1"/>
      <c r="B1862" s="25" t="s">
        <v>117</v>
      </c>
      <c r="E1862" s="26" t="s">
        <v>110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>
      <c r="A1863" s="1"/>
      <c r="B1863" s="24" t="s">
        <v>3644</v>
      </c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"/>
    </row>
    <row r="1864">
      <c r="A1864" s="1"/>
      <c r="B1864" s="4" t="s">
        <v>3645</v>
      </c>
      <c r="D1864" s="9"/>
      <c r="E1864" s="17" t="s">
        <v>14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>
      <c r="A1865" s="1"/>
      <c r="B1865" s="25" t="s">
        <v>149</v>
      </c>
      <c r="E1865" s="26" t="s">
        <v>90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>
      <c r="A1866" s="1"/>
      <c r="B1866" s="25" t="s">
        <v>108</v>
      </c>
      <c r="E1866" s="26" t="s">
        <v>132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>
      <c r="A1867" s="1"/>
      <c r="B1867" s="24" t="s">
        <v>3650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"/>
    </row>
    <row r="1868">
      <c r="A1868" s="1"/>
      <c r="B1868" s="4" t="s">
        <v>3651</v>
      </c>
      <c r="D1868" s="9"/>
      <c r="E1868" s="17" t="s">
        <v>14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>
      <c r="A1869" s="1"/>
      <c r="B1869" s="25" t="s">
        <v>117</v>
      </c>
      <c r="E1869" s="26" t="s">
        <v>110</v>
      </c>
      <c r="F1869" s="18" t="str">
        <f>HYPERLINK("https://www.youtube.com/watch?v=jI2JUuWymgo",'Players&gt;List'!$B18)</f>
        <v>[HGB]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>
      <c r="A1870" s="1"/>
      <c r="B1870" s="24" t="s">
        <v>3652</v>
      </c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"/>
    </row>
    <row r="1871">
      <c r="A1871" s="1"/>
      <c r="B1871" s="4" t="s">
        <v>3653</v>
      </c>
      <c r="D1871" s="9"/>
      <c r="E1871" s="17" t="s">
        <v>14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>
      <c r="A1872" s="1"/>
      <c r="B1872" s="25" t="s">
        <v>117</v>
      </c>
      <c r="E1872" s="26" t="s">
        <v>110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>
      <c r="A1873" s="1"/>
      <c r="B1873" s="24" t="s">
        <v>3654</v>
      </c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"/>
    </row>
    <row r="1874">
      <c r="A1874" s="1"/>
      <c r="B1874" s="4" t="s">
        <v>3657</v>
      </c>
      <c r="D1874" s="9"/>
      <c r="E1874" s="17" t="s">
        <v>14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>
      <c r="A1875" s="1"/>
      <c r="B1875" s="25" t="s">
        <v>1715</v>
      </c>
      <c r="E1875" s="26" t="s">
        <v>234</v>
      </c>
      <c r="F1875" s="18" t="str">
        <f>HYPERLINK("https://www.youtube.com/watch?v=QmXzDcyKvLo",'Players&gt;List'!$B18)</f>
        <v>[HGB]</v>
      </c>
      <c r="G1875" s="18" t="str">
        <f>HYPERLINK("https://www.twitch.tv/videos/321234156",'Players&gt;List'!$B24)</f>
        <v>[NIM]</v>
      </c>
      <c r="H1875" s="1"/>
      <c r="I1875" s="1"/>
      <c r="J1875" s="1"/>
      <c r="K1875" s="1"/>
      <c r="L1875" s="1"/>
      <c r="M1875" s="1"/>
      <c r="N1875" s="1"/>
      <c r="O1875" s="1"/>
      <c r="P1875" s="1"/>
    </row>
    <row r="1876">
      <c r="A1876" s="1"/>
      <c r="B1876" s="25" t="s">
        <v>2296</v>
      </c>
      <c r="E1876" s="26" t="s">
        <v>358</v>
      </c>
      <c r="F1876" s="18" t="str">
        <f>HYPERLINK("https://www.twitch.tv/videos/321234160",'Players&gt;List'!$B24)</f>
        <v>[NIM]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>
      <c r="A1877" s="1"/>
      <c r="B1877" s="24" t="s">
        <v>3662</v>
      </c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"/>
    </row>
    <row r="1878">
      <c r="A1878" s="1"/>
      <c r="B1878" s="4" t="s">
        <v>3665</v>
      </c>
      <c r="D1878" s="9"/>
      <c r="E1878" s="17" t="s">
        <v>14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>
      <c r="A1879" s="1"/>
      <c r="B1879" s="25" t="s">
        <v>117</v>
      </c>
      <c r="E1879" s="26" t="s">
        <v>110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>
      <c r="A1880" s="1"/>
      <c r="B1880" s="24" t="s">
        <v>3666</v>
      </c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"/>
    </row>
    <row r="1881">
      <c r="A1881" s="1"/>
      <c r="B1881" s="4" t="s">
        <v>3667</v>
      </c>
      <c r="D1881" s="9"/>
      <c r="E1881" s="17" t="s">
        <v>14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>
      <c r="A1882" s="1"/>
      <c r="B1882" s="25" t="s">
        <v>88</v>
      </c>
      <c r="E1882" s="26" t="s">
        <v>90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>
      <c r="A1883" s="1"/>
      <c r="B1883" s="24" t="s">
        <v>3668</v>
      </c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"/>
    </row>
    <row r="1884">
      <c r="A1884" s="1"/>
      <c r="B1884" s="4" t="s">
        <v>3671</v>
      </c>
      <c r="D1884" s="9"/>
      <c r="E1884" s="17" t="s">
        <v>14</v>
      </c>
      <c r="F1884" s="18" t="str">
        <f>HYPERLINK("https://www.youtube.com/watch?v=nQSTXPJhJ0g",'Players&gt;List'!$B18)</f>
        <v>[HGB]</v>
      </c>
      <c r="G1884" s="18" t="str">
        <f>HYPERLINK("https://www.youtube.com/watch?v=oABU3JUC508",'Players&gt;List'!$B23)</f>
        <v>[MOL]</v>
      </c>
      <c r="H1884" s="18" t="str">
        <f>HYPERLINK("https://www.youtube.com/watch?v=LTv_VsNnWdE",'Players&gt;List'!$B19)</f>
        <v>[HIT]</v>
      </c>
      <c r="I1884" s="18" t="str">
        <f>HYPERLINK("https://www.youtube.com/watch?v=P_FFQfr2Ldc",'Players&gt;List'!$B16)</f>
        <v>[GEA]</v>
      </c>
      <c r="J1884" s="18" t="str">
        <f>HYPERLINK("https://www.twitch.tv/videos/267072566",'Players&gt;List'!$B24)</f>
        <v>[NIM]</v>
      </c>
      <c r="K1884" s="1"/>
      <c r="L1884" s="1"/>
      <c r="M1884" s="1"/>
      <c r="N1884" s="1"/>
      <c r="O1884" s="1"/>
      <c r="P1884" s="1"/>
    </row>
    <row r="1885">
      <c r="A1885" s="1"/>
      <c r="B1885" s="25" t="s">
        <v>117</v>
      </c>
      <c r="E1885" s="26" t="s">
        <v>110</v>
      </c>
      <c r="F1885" s="18" t="str">
        <f>HYPERLINK("https://www.twitch.tv/videos/132454755",'Players&gt;List'!$B32)</f>
        <v>[XEL]</v>
      </c>
      <c r="G1885" s="18" t="str">
        <f>HYPERLINK("https://www.youtube.com/watch?v=FQTydlmK75A",'Players&gt;List'!$B23)</f>
        <v>[MOL]</v>
      </c>
      <c r="H1885" s="18" t="str">
        <f>HYPERLINK("https://youtu.be/ak73zdku440",'Players&gt;List'!$B8)</f>
        <v>[ABA]</v>
      </c>
      <c r="I1885" s="18" t="str">
        <f>HYPERLINK("https://youtu.be/liokhl6LMQg",'Players&gt;List'!$B19)</f>
        <v>[HIT]</v>
      </c>
      <c r="J1885" s="18" t="str">
        <f>HYPERLINK("https://www.twitch.tv/videos/319703251",'Players&gt;List'!$B9)</f>
        <v>[AWE]</v>
      </c>
      <c r="K1885" s="18" t="str">
        <f>HYPERLINK("https://youtu.be/t0lFIwHA3lI",'Players&gt;List'!$B12)</f>
        <v>[EKI]</v>
      </c>
      <c r="L1885" s="18" t="str">
        <f>HYPERLINK("https://youtu.be/ilR8ULedt2g",'Players&gt;List'!$B16)</f>
        <v>[GEA]</v>
      </c>
      <c r="M1885" s="18" t="str">
        <f>HYPERLINK("https://www.youtube.com/watch?v=s8gfxzxVW9c",'Players&gt;List'!$B11)</f>
        <v>[CHB]</v>
      </c>
      <c r="N1885" s="1"/>
      <c r="O1885" s="1"/>
      <c r="P1885" s="1"/>
    </row>
    <row r="1886">
      <c r="A1886" s="1"/>
      <c r="B1886" s="25" t="s">
        <v>149</v>
      </c>
      <c r="E1886" s="26" t="s">
        <v>147</v>
      </c>
      <c r="F1886" s="18" t="str">
        <f>HYPERLINK("https://www.youtube.com/watch?v=MhCHfF5UAlg",'Players&gt;List'!$B18)</f>
        <v>[HGB]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>
      <c r="A1887" s="1"/>
      <c r="B1887" s="25" t="s">
        <v>108</v>
      </c>
      <c r="E1887" s="26" t="s">
        <v>132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>
      <c r="A1888" s="1"/>
      <c r="B1888" s="24" t="s">
        <v>3685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"/>
    </row>
    <row r="1889">
      <c r="A1889" s="1"/>
      <c r="B1889" s="4" t="s">
        <v>3687</v>
      </c>
      <c r="D1889" s="9"/>
      <c r="E1889" s="17" t="s">
        <v>14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>
      <c r="A1890" s="1"/>
      <c r="B1890" s="25" t="s">
        <v>88</v>
      </c>
      <c r="E1890" s="26" t="s">
        <v>90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>
      <c r="A1891" s="1"/>
      <c r="B1891" s="24" t="s">
        <v>3688</v>
      </c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"/>
    </row>
    <row r="1892">
      <c r="A1892" s="1"/>
      <c r="B1892" s="4" t="s">
        <v>3690</v>
      </c>
      <c r="D1892" s="9"/>
      <c r="E1892" s="17" t="s">
        <v>14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>
      <c r="A1893" s="1"/>
      <c r="B1893" s="25" t="s">
        <v>117</v>
      </c>
      <c r="E1893" s="26" t="s">
        <v>110</v>
      </c>
      <c r="F1893" s="18" t="str">
        <f>HYPERLINK("https://www.youtube.com/watch?v=-vFoFJLaZUs",'Players&gt;List'!$B18)</f>
        <v>[HGB]</v>
      </c>
      <c r="G1893" s="18" t="str">
        <f>HYPERLINK("https://www.youtube.com/watch?v=eS75EpYXWTE&amp;t=0s",'Players&gt;List'!$B19)</f>
        <v>[HIT]</v>
      </c>
      <c r="H1893" s="18" t="str">
        <f>HYPERLINK("https://www.twitch.tv/videos/320188841",'Players&gt;List'!$B24)</f>
        <v>[NIM]</v>
      </c>
      <c r="I1893" s="1"/>
      <c r="J1893" s="1"/>
      <c r="K1893" s="1"/>
      <c r="L1893" s="1"/>
      <c r="M1893" s="1"/>
      <c r="N1893" s="1"/>
      <c r="O1893" s="1"/>
      <c r="P1893" s="1"/>
    </row>
    <row r="1894">
      <c r="A1894" s="1"/>
      <c r="B1894" s="25" t="s">
        <v>88</v>
      </c>
      <c r="E1894" s="26" t="s">
        <v>147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>
      <c r="A1895" s="1"/>
      <c r="B1895" s="25" t="s">
        <v>149</v>
      </c>
      <c r="E1895" s="26" t="s">
        <v>147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>
      <c r="A1896" s="1"/>
      <c r="B1896" s="24" t="s">
        <v>3693</v>
      </c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"/>
    </row>
    <row r="1897">
      <c r="A1897" s="1"/>
      <c r="B1897" s="4" t="s">
        <v>3695</v>
      </c>
      <c r="D1897" s="9"/>
      <c r="E1897" s="17" t="s">
        <v>14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>
      <c r="A1898" s="1"/>
      <c r="B1898" s="25" t="s">
        <v>117</v>
      </c>
      <c r="E1898" s="26" t="s">
        <v>110</v>
      </c>
      <c r="F1898" s="18" t="str">
        <f>HYPERLINK("https://www.youtube.com/watch?v=9yUZcafShUU",'Players&gt;List'!$B19)</f>
        <v>[HIT]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>
      <c r="A1899" s="1"/>
      <c r="B1899" s="24" t="s">
        <v>3699</v>
      </c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"/>
    </row>
    <row r="1900">
      <c r="A1900" s="1"/>
      <c r="B1900" s="4" t="s">
        <v>3701</v>
      </c>
      <c r="D1900" s="9"/>
      <c r="E1900" s="17" t="s">
        <v>14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>
      <c r="A1901" s="1"/>
      <c r="B1901" s="25" t="s">
        <v>422</v>
      </c>
      <c r="E1901" s="26" t="s">
        <v>110</v>
      </c>
      <c r="F1901" s="18" t="str">
        <f>HYPERLINK("https://www.youtube.com/watch?v=YJvpL-N5NcA",'Players&gt;List'!$B18)</f>
        <v>[HGB]</v>
      </c>
      <c r="G1901" s="18" t="str">
        <f>HYPERLINK("https://www.youtube.com/watch?v=MU2lEab1bKk",'Players&gt;List'!$B19)</f>
        <v>[HIT]</v>
      </c>
      <c r="H1901" s="18" t="str">
        <f>HYPERLINK("https://www.twitch.tv/videos/320188839",'Players&gt;List'!$B24)</f>
        <v>[NIM]</v>
      </c>
      <c r="I1901" s="1"/>
      <c r="J1901" s="1"/>
      <c r="K1901" s="1"/>
      <c r="L1901" s="1"/>
      <c r="M1901" s="1"/>
      <c r="N1901" s="1"/>
      <c r="O1901" s="1"/>
      <c r="P1901" s="1"/>
    </row>
    <row r="1902">
      <c r="A1902" s="1"/>
      <c r="B1902" s="25" t="s">
        <v>2701</v>
      </c>
      <c r="E1902" s="26" t="s">
        <v>147</v>
      </c>
      <c r="F1902" s="18" t="str">
        <f>HYPERLINK("https://www.twitch.tv/videos/320188840",'Players&gt;List'!$B24)</f>
        <v>[NIM]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>
      <c r="A1903" s="1"/>
      <c r="B1903" s="24" t="s">
        <v>3706</v>
      </c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"/>
    </row>
    <row r="1904">
      <c r="A1904" s="1"/>
      <c r="B1904" s="4" t="s">
        <v>3708</v>
      </c>
      <c r="D1904" s="9"/>
      <c r="E1904" s="17" t="s">
        <v>14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>
      <c r="A1905" s="1"/>
      <c r="B1905" s="25" t="s">
        <v>88</v>
      </c>
      <c r="E1905" s="26" t="s">
        <v>90</v>
      </c>
      <c r="F1905" s="18" t="str">
        <f>HYPERLINK("https://www.youtube.com/watch?v=IuNO2iH9C9A",'Players&gt;List'!$B19)</f>
        <v>[HIT]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>
      <c r="A1906" s="1"/>
      <c r="B1906" s="24" t="s">
        <v>3711</v>
      </c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"/>
    </row>
    <row r="1907">
      <c r="A1907" s="1"/>
      <c r="B1907" s="4" t="s">
        <v>3714</v>
      </c>
      <c r="D1907" s="9"/>
      <c r="E1907" s="17" t="s">
        <v>14</v>
      </c>
      <c r="F1907" s="18" t="str">
        <f>HYPERLINK("https://www.youtube.com/watch?v=oAybrgsLneg",'Players&gt;List'!$B29)</f>
        <v>[SYS]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>
      <c r="A1908" s="1"/>
      <c r="B1908" s="25" t="s">
        <v>117</v>
      </c>
      <c r="E1908" s="26" t="s">
        <v>110</v>
      </c>
      <c r="F1908" s="18" t="str">
        <f>HYPERLINK("https://www.youtube.com/watch?v=NBhbCmWpFAE&amp;t=0s",'Players&gt;List'!$B23)</f>
        <v>[MOL]</v>
      </c>
      <c r="G1908" s="18" t="str">
        <f>HYPERLINK("https://www.youtube.com/watch?v=Of0_zD3bDOc",'Players&gt;List'!$B14)</f>
        <v>[ESP]</v>
      </c>
      <c r="H1908" s="18" t="str">
        <f>HYPERLINK("https://www.youtube.com/watch?v=Z3A81xiKiEU",'Players&gt;List'!$B19)</f>
        <v>[HIT]</v>
      </c>
      <c r="I1908" s="18" t="str">
        <f>HYPERLINK("https://www.twitch.tv/videos/320207467",'Players&gt;List'!$B9)</f>
        <v>[AWE]</v>
      </c>
      <c r="J1908" s="18" t="str">
        <f>HYPERLINK("https://www.twitch.tv/videos/338950206",'Players&gt;List'!$B24)</f>
        <v>[NIM]</v>
      </c>
      <c r="K1908" s="1"/>
      <c r="L1908" s="1"/>
      <c r="M1908" s="1"/>
      <c r="N1908" s="1"/>
      <c r="O1908" s="1"/>
      <c r="P1908" s="1"/>
    </row>
    <row r="1909">
      <c r="A1909" s="1"/>
      <c r="B1909" s="25" t="s">
        <v>88</v>
      </c>
      <c r="E1909" s="26" t="s">
        <v>147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>
      <c r="A1910" s="1"/>
      <c r="B1910" s="25" t="s">
        <v>149</v>
      </c>
      <c r="E1910" s="26" t="s">
        <v>147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>
      <c r="A1911" s="1"/>
      <c r="B1911" s="25" t="s">
        <v>157</v>
      </c>
      <c r="E1911" s="26" t="s">
        <v>132</v>
      </c>
      <c r="F1911" s="18" t="str">
        <f>HYPERLINK("https://www.twitch.tv/videos/338954977",'Players&gt;List'!$B24)</f>
        <v>[NIM]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>
      <c r="A1912" s="1"/>
      <c r="B1912" s="25" t="s">
        <v>131</v>
      </c>
      <c r="E1912" s="26" t="s">
        <v>132</v>
      </c>
      <c r="F1912" s="18" t="str">
        <f>HYPERLINK("https://www.youtube.com/watch?v=GfkYxY_2cgc",'Players&gt;List'!$B18)</f>
        <v>[HGB]</v>
      </c>
      <c r="G1912" s="18" t="str">
        <f>HYPERLINK("https://youtu.be/Of0_zD3bDOc?t=92",'Players&gt;List'!$B14)</f>
        <v>[ESP]</v>
      </c>
      <c r="H1912" s="18" t="str">
        <f>HYPERLINK("https://www.twitch.tv/videos/338954976",'Players&gt;List'!$B24)</f>
        <v>[NIM]</v>
      </c>
      <c r="I1912" s="1"/>
      <c r="J1912" s="1"/>
      <c r="K1912" s="1"/>
      <c r="L1912" s="1"/>
      <c r="M1912" s="1"/>
      <c r="N1912" s="1"/>
      <c r="O1912" s="1"/>
      <c r="P1912" s="1"/>
    </row>
    <row r="1913">
      <c r="A1913" s="1"/>
      <c r="B1913" s="25" t="s">
        <v>108</v>
      </c>
      <c r="E1913" s="26" t="s">
        <v>132</v>
      </c>
      <c r="F1913" s="18" t="str">
        <f>HYPERLINK("https://www.twitch.tv/videos/338954975",'Players&gt;List'!$B24)</f>
        <v>[NIM]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>
      <c r="A1914" s="1"/>
      <c r="B1914" s="24" t="s">
        <v>3726</v>
      </c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"/>
    </row>
    <row r="1915">
      <c r="A1915" s="1"/>
      <c r="B1915" s="4" t="s">
        <v>3728</v>
      </c>
      <c r="D1915" s="9"/>
      <c r="E1915" s="17" t="s">
        <v>14</v>
      </c>
      <c r="F1915" s="18" t="str">
        <f>HYPERLINK("https://youtu.be/oAybrgsLneg?t=1m6s",'Players&gt;List'!$B29)</f>
        <v>[SYS]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>
      <c r="A1916" s="1"/>
      <c r="B1916" s="25" t="s">
        <v>117</v>
      </c>
      <c r="E1916" s="26" t="s">
        <v>110</v>
      </c>
      <c r="F1916" s="18" t="str">
        <f>HYPERLINK("https://www.youtube.com/watch?v=6Twps6hj47I",'Players&gt;List'!$B9)</f>
        <v>[AWE]</v>
      </c>
      <c r="G1916" s="18" t="str">
        <f>HYPERLINK("https://www.youtube.com/watch?v=gayJRQnPSPY",'Players&gt;List'!$B18)</f>
        <v>[HGB]</v>
      </c>
      <c r="H1916" s="18" t="str">
        <f>HYPERLINK("https://www.twitch.tv/videos/321225024",'Players&gt;List'!$B24)</f>
        <v>[NIM]</v>
      </c>
      <c r="I1916" s="1"/>
      <c r="J1916" s="1"/>
      <c r="K1916" s="1"/>
      <c r="L1916" s="1"/>
      <c r="M1916" s="1"/>
      <c r="N1916" s="1"/>
      <c r="O1916" s="1"/>
      <c r="P1916" s="1"/>
    </row>
    <row r="1917">
      <c r="A1917" s="1"/>
      <c r="B1917" s="25" t="s">
        <v>88</v>
      </c>
      <c r="E1917" s="26" t="s">
        <v>147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>
      <c r="A1918" s="1"/>
      <c r="B1918" s="25" t="s">
        <v>149</v>
      </c>
      <c r="E1918" s="26" t="s">
        <v>147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>
      <c r="A1919" s="1"/>
      <c r="B1919" s="24" t="s">
        <v>3735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"/>
    </row>
    <row r="1920">
      <c r="A1920" s="1"/>
      <c r="B1920" s="4" t="s">
        <v>3737</v>
      </c>
      <c r="D1920" s="9"/>
      <c r="E1920" s="17" t="s">
        <v>14</v>
      </c>
      <c r="F1920" s="18" t="str">
        <f>HYPERLINK("https://youtu.be/oAybrgsLneg?t=1m30s",'Players&gt;List'!$B29)</f>
        <v>[SYS]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>
      <c r="A1921" s="1"/>
      <c r="B1921" s="25" t="s">
        <v>2493</v>
      </c>
      <c r="E1921" s="26" t="s">
        <v>380</v>
      </c>
      <c r="F1921" s="18" t="str">
        <f>HYPERLINK("https://www.youtube.com/watch?v=PPHtKxLfdkY",'Players&gt;List'!$B18)</f>
        <v>[HGB]</v>
      </c>
      <c r="G1921" s="18" t="str">
        <f>HYPERLINK("https://www.youtube.com/watch?v=wfB9O76gh-Y",'Players&gt;List'!$B19)</f>
        <v>[HIT]</v>
      </c>
      <c r="H1921" s="1"/>
      <c r="I1921" s="1"/>
      <c r="J1921" s="1"/>
      <c r="K1921" s="1"/>
      <c r="L1921" s="1"/>
      <c r="M1921" s="1"/>
      <c r="N1921" s="1"/>
      <c r="O1921" s="1"/>
      <c r="P1921" s="1"/>
    </row>
    <row r="1922">
      <c r="A1922" s="1"/>
      <c r="B1922" s="25" t="s">
        <v>88</v>
      </c>
      <c r="E1922" s="26" t="s">
        <v>147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>
      <c r="A1923" s="1"/>
      <c r="B1923" s="25" t="s">
        <v>149</v>
      </c>
      <c r="E1923" s="26" t="s">
        <v>147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>
      <c r="A1924" s="1"/>
      <c r="B1924" s="24" t="s">
        <v>3742</v>
      </c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"/>
    </row>
    <row r="1925">
      <c r="A1925" s="1"/>
      <c r="B1925" s="4" t="s">
        <v>3745</v>
      </c>
      <c r="D1925" s="9"/>
      <c r="E1925" s="17" t="s">
        <v>14</v>
      </c>
      <c r="F1925" s="18" t="str">
        <f>HYPERLINK("https://youtu.be/oAybrgsLneg?t=2m56s",'Players&gt;List'!$B29)</f>
        <v>[SYS]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>
      <c r="A1926" s="1"/>
      <c r="B1926" s="25" t="s">
        <v>2162</v>
      </c>
      <c r="E1926" s="26" t="s">
        <v>234</v>
      </c>
      <c r="F1926" s="18" t="str">
        <f>HYPERLINK("https://www.twitch.tv/videos/321234157",'Players&gt;List'!$B24)</f>
        <v>[NIM]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>
      <c r="A1927" s="1"/>
      <c r="B1927" s="25" t="s">
        <v>356</v>
      </c>
      <c r="E1927" s="26" t="s">
        <v>358</v>
      </c>
      <c r="F1927" s="18" t="str">
        <f>HYPERLINK("https://www.twitch.tv/videos/321234158",'Players&gt;List'!$B24)</f>
        <v>[NIM]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>
      <c r="A1928" s="1"/>
      <c r="B1928" s="25" t="s">
        <v>357</v>
      </c>
      <c r="E1928" s="26" t="s">
        <v>358</v>
      </c>
      <c r="F1928" s="18" t="str">
        <f>HYPERLINK("https://www.twitch.tv/videos/321234159",'Players&gt;List'!$B24)</f>
        <v>[NIM]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>
      <c r="A1929" s="1"/>
      <c r="B1929" s="24" t="s">
        <v>3750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"/>
    </row>
    <row r="1930">
      <c r="A1930" s="1"/>
      <c r="B1930" s="4" t="s">
        <v>3754</v>
      </c>
      <c r="D1930" s="9"/>
      <c r="E1930" s="17" t="s">
        <v>14</v>
      </c>
      <c r="F1930" s="18" t="str">
        <f>HYPERLINK("https://www.youtube.com/watch?v=RAADRLg2erI",'Players&gt;List'!$B18)</f>
        <v>[HGB]</v>
      </c>
      <c r="G1930" s="18" t="str">
        <f>HYPERLINK("https://youtu.be/oAybrgsLneg?t=4m20s",'Players&gt;List'!$B29)</f>
        <v>[SYS]</v>
      </c>
      <c r="H1930" s="1"/>
      <c r="I1930" s="1"/>
      <c r="J1930" s="1"/>
      <c r="K1930" s="1"/>
      <c r="L1930" s="1"/>
      <c r="M1930" s="1"/>
      <c r="N1930" s="1"/>
      <c r="O1930" s="1"/>
      <c r="P1930" s="1"/>
    </row>
    <row r="1931">
      <c r="A1931" s="1"/>
      <c r="B1931" s="25" t="s">
        <v>649</v>
      </c>
      <c r="E1931" s="26" t="s">
        <v>90</v>
      </c>
      <c r="F1931" s="18" t="str">
        <f>HYPERLINK("https://www.youtube.com/watch?v=Ykn6XgP8zz0",'Players&gt;List'!$B18)</f>
        <v>[HGB]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>
      <c r="A1932" s="1"/>
      <c r="B1932" s="25" t="s">
        <v>88</v>
      </c>
      <c r="E1932" s="26" t="s">
        <v>147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>
      <c r="A1933" s="1"/>
      <c r="B1933" s="25" t="s">
        <v>149</v>
      </c>
      <c r="E1933" s="26" t="s">
        <v>147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>
      <c r="A1934" s="1"/>
      <c r="B1934" s="25" t="s">
        <v>117</v>
      </c>
      <c r="E1934" s="26" t="s">
        <v>132</v>
      </c>
      <c r="F1934" s="18" t="str">
        <f>HYPERLINK("https://www.youtube.com/watch?v=9_jokPcWUsk",'Players&gt;List'!$B18)</f>
        <v>[HGB]</v>
      </c>
      <c r="G1934" s="18" t="str">
        <f>HYPERLINK("https://www.twitch.tv/videos/339806127",'Players&gt;List'!$B24)</f>
        <v>[NIM]</v>
      </c>
      <c r="H1934" s="1"/>
      <c r="I1934" s="1"/>
      <c r="J1934" s="1"/>
      <c r="K1934" s="1"/>
      <c r="L1934" s="1"/>
      <c r="M1934" s="1"/>
      <c r="N1934" s="1"/>
      <c r="O1934" s="1"/>
      <c r="P1934" s="1"/>
    </row>
    <row r="1935">
      <c r="A1935" s="1"/>
      <c r="B1935" s="25" t="s">
        <v>131</v>
      </c>
      <c r="E1935" s="26" t="s">
        <v>132</v>
      </c>
      <c r="F1935" s="18" t="str">
        <f>HYPERLINK("https://www.twitch.tv/videos/339807623",'Players&gt;List'!$B24)</f>
        <v>[NIM]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>
      <c r="A1936" s="30"/>
      <c r="B1936" s="24" t="s">
        <v>3760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30"/>
    </row>
    <row r="1937">
      <c r="A1937" s="30"/>
      <c r="B1937" s="4" t="s">
        <v>3761</v>
      </c>
      <c r="D1937" s="32"/>
      <c r="E1937" s="27" t="s">
        <v>14</v>
      </c>
      <c r="F1937" s="18" t="str">
        <f>HYPERLINK("https://www.youtube.com/watch?v=5kdIGg5emQc",'Players&gt;List'!$B28)</f>
        <v>[SUN]</v>
      </c>
      <c r="G1937" s="30"/>
      <c r="H1937" s="30"/>
      <c r="I1937" s="30"/>
      <c r="J1937" s="30"/>
      <c r="K1937" s="30"/>
      <c r="L1937" s="30"/>
      <c r="M1937" s="30"/>
      <c r="N1937" s="30"/>
      <c r="O1937" s="30"/>
      <c r="P1937" s="30"/>
    </row>
    <row r="1938">
      <c r="A1938" s="30"/>
      <c r="B1938" s="25" t="s">
        <v>117</v>
      </c>
      <c r="E1938" s="26" t="s">
        <v>110</v>
      </c>
      <c r="F1938" s="30"/>
      <c r="G1938" s="30"/>
      <c r="H1938" s="30"/>
      <c r="I1938" s="30"/>
      <c r="J1938" s="30"/>
      <c r="K1938" s="30"/>
      <c r="L1938" s="30"/>
      <c r="M1938" s="30"/>
      <c r="N1938" s="30"/>
      <c r="O1938" s="30"/>
      <c r="P1938" s="30"/>
    </row>
    <row r="1939">
      <c r="A1939" s="30"/>
      <c r="B1939" s="25" t="s">
        <v>149</v>
      </c>
      <c r="E1939" s="26" t="s">
        <v>147</v>
      </c>
      <c r="F1939" s="30"/>
      <c r="G1939" s="30"/>
      <c r="H1939" s="30"/>
      <c r="I1939" s="30"/>
      <c r="J1939" s="30"/>
      <c r="K1939" s="30"/>
      <c r="L1939" s="30"/>
      <c r="M1939" s="30"/>
      <c r="N1939" s="30"/>
      <c r="O1939" s="30"/>
      <c r="P1939" s="30"/>
    </row>
    <row r="1940">
      <c r="A1940" s="30"/>
      <c r="B1940" s="24" t="s">
        <v>3767</v>
      </c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30"/>
    </row>
    <row r="1941">
      <c r="A1941" s="30"/>
      <c r="B1941" s="4" t="s">
        <v>3768</v>
      </c>
      <c r="D1941" s="32"/>
      <c r="E1941" s="27" t="s">
        <v>14</v>
      </c>
      <c r="F1941" s="18" t="str">
        <f>HYPERLINK("https://www.youtube.com/watch?v=LCzAM3hZ9K0",'Players&gt;List'!$B28)</f>
        <v>[SUN]</v>
      </c>
      <c r="G1941" s="30"/>
      <c r="H1941" s="30"/>
      <c r="I1941" s="30"/>
      <c r="J1941" s="30"/>
      <c r="K1941" s="30"/>
      <c r="L1941" s="30"/>
      <c r="M1941" s="30"/>
      <c r="N1941" s="30"/>
      <c r="O1941" s="30"/>
      <c r="P1941" s="30"/>
    </row>
    <row r="1942">
      <c r="A1942" s="30"/>
      <c r="B1942" s="25" t="s">
        <v>117</v>
      </c>
      <c r="E1942" s="26" t="s">
        <v>110</v>
      </c>
      <c r="F1942" s="30"/>
      <c r="G1942" s="30"/>
      <c r="H1942" s="30"/>
      <c r="I1942" s="30"/>
      <c r="J1942" s="30"/>
      <c r="K1942" s="30"/>
      <c r="L1942" s="30"/>
      <c r="M1942" s="30"/>
      <c r="N1942" s="30"/>
      <c r="O1942" s="30"/>
      <c r="P1942" s="30"/>
    </row>
    <row r="1943">
      <c r="A1943" s="30"/>
      <c r="B1943" s="24" t="s">
        <v>3773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30"/>
    </row>
    <row r="1944">
      <c r="A1944" s="30"/>
      <c r="B1944" s="4" t="s">
        <v>3774</v>
      </c>
      <c r="D1944" s="32"/>
      <c r="E1944" s="27" t="s">
        <v>14</v>
      </c>
      <c r="F1944" s="30"/>
      <c r="G1944" s="30"/>
      <c r="H1944" s="30"/>
      <c r="I1944" s="30"/>
      <c r="J1944" s="30"/>
      <c r="K1944" s="30"/>
      <c r="L1944" s="30"/>
      <c r="M1944" s="30"/>
      <c r="N1944" s="30"/>
      <c r="O1944" s="30"/>
      <c r="P1944" s="30"/>
    </row>
    <row r="1945">
      <c r="A1945" s="30"/>
      <c r="B1945" s="25" t="s">
        <v>502</v>
      </c>
      <c r="E1945" s="26" t="s">
        <v>234</v>
      </c>
      <c r="F1945" s="18" t="str">
        <f>HYPERLINK("https://www.youtube.com/watch?v=4aOGLQF__pE",'Players&gt;List'!$B18)</f>
        <v>[HGB]</v>
      </c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</row>
    <row r="1946">
      <c r="A1946" s="30"/>
      <c r="B1946" s="25" t="s">
        <v>973</v>
      </c>
      <c r="E1946" s="26" t="s">
        <v>358</v>
      </c>
      <c r="F1946" s="30"/>
      <c r="G1946" s="30"/>
      <c r="H1946" s="30"/>
      <c r="I1946" s="30"/>
      <c r="J1946" s="30"/>
      <c r="K1946" s="30"/>
      <c r="L1946" s="30"/>
      <c r="M1946" s="30"/>
      <c r="N1946" s="30"/>
      <c r="O1946" s="30"/>
      <c r="P1946" s="30"/>
    </row>
    <row r="1947">
      <c r="A1947" s="30"/>
      <c r="B1947" s="25" t="s">
        <v>149</v>
      </c>
      <c r="E1947" s="26" t="s">
        <v>147</v>
      </c>
      <c r="F1947" s="30"/>
      <c r="G1947" s="30"/>
      <c r="H1947" s="30"/>
      <c r="I1947" s="30"/>
      <c r="J1947" s="30"/>
      <c r="K1947" s="30"/>
      <c r="L1947" s="30"/>
      <c r="M1947" s="30"/>
      <c r="N1947" s="30"/>
      <c r="O1947" s="30"/>
      <c r="P1947" s="30"/>
    </row>
    <row r="1948">
      <c r="A1948" s="30"/>
      <c r="B1948" s="25" t="s">
        <v>197</v>
      </c>
      <c r="E1948" s="26" t="s">
        <v>147</v>
      </c>
      <c r="F1948" s="30"/>
      <c r="G1948" s="30"/>
      <c r="H1948" s="30"/>
      <c r="I1948" s="30"/>
      <c r="J1948" s="30"/>
      <c r="K1948" s="30"/>
      <c r="L1948" s="30"/>
      <c r="M1948" s="30"/>
      <c r="N1948" s="30"/>
      <c r="O1948" s="30"/>
      <c r="P1948" s="30"/>
    </row>
    <row r="1949">
      <c r="A1949" s="30"/>
      <c r="B1949" s="24" t="s">
        <v>3777</v>
      </c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30"/>
    </row>
    <row r="1950">
      <c r="A1950" s="30"/>
      <c r="B1950" s="4" t="s">
        <v>3779</v>
      </c>
      <c r="D1950" s="32"/>
      <c r="E1950" s="27" t="s">
        <v>14</v>
      </c>
      <c r="F1950" s="30"/>
      <c r="G1950" s="30"/>
      <c r="H1950" s="30"/>
      <c r="I1950" s="30"/>
      <c r="J1950" s="30"/>
      <c r="K1950" s="30"/>
      <c r="L1950" s="30"/>
      <c r="M1950" s="30"/>
      <c r="N1950" s="30"/>
      <c r="O1950" s="30"/>
      <c r="P1950" s="30"/>
    </row>
    <row r="1951">
      <c r="A1951" s="30"/>
      <c r="B1951" s="25" t="s">
        <v>108</v>
      </c>
      <c r="E1951" s="26" t="s">
        <v>110</v>
      </c>
      <c r="F1951" s="30"/>
      <c r="G1951" s="30"/>
      <c r="H1951" s="30"/>
      <c r="I1951" s="30"/>
      <c r="J1951" s="30"/>
      <c r="K1951" s="30"/>
      <c r="L1951" s="30"/>
      <c r="M1951" s="30"/>
      <c r="N1951" s="30"/>
      <c r="O1951" s="30"/>
      <c r="P1951" s="30"/>
    </row>
    <row r="1952">
      <c r="A1952" s="30"/>
      <c r="B1952" s="25" t="s">
        <v>157</v>
      </c>
      <c r="E1952" s="26" t="s">
        <v>132</v>
      </c>
      <c r="F1952" s="30"/>
      <c r="G1952" s="30"/>
      <c r="H1952" s="30"/>
      <c r="I1952" s="30"/>
      <c r="J1952" s="30"/>
      <c r="K1952" s="30"/>
      <c r="L1952" s="30"/>
      <c r="M1952" s="30"/>
      <c r="N1952" s="30"/>
      <c r="O1952" s="30"/>
      <c r="P1952" s="30"/>
    </row>
    <row r="1953">
      <c r="A1953" s="30"/>
      <c r="B1953" s="25" t="s">
        <v>117</v>
      </c>
      <c r="E1953" s="26" t="s">
        <v>132</v>
      </c>
      <c r="F1953" s="30"/>
      <c r="G1953" s="30"/>
      <c r="H1953" s="30"/>
      <c r="I1953" s="30"/>
      <c r="J1953" s="30"/>
      <c r="K1953" s="30"/>
      <c r="L1953" s="30"/>
      <c r="M1953" s="30"/>
      <c r="N1953" s="30"/>
      <c r="O1953" s="30"/>
      <c r="P1953" s="30"/>
    </row>
    <row r="1954">
      <c r="A1954" s="30"/>
      <c r="B1954" s="25" t="s">
        <v>131</v>
      </c>
      <c r="E1954" s="26" t="s">
        <v>132</v>
      </c>
      <c r="F1954" s="30"/>
      <c r="G1954" s="30"/>
      <c r="H1954" s="30"/>
      <c r="I1954" s="30"/>
      <c r="J1954" s="30"/>
      <c r="K1954" s="30"/>
      <c r="L1954" s="30"/>
      <c r="M1954" s="30"/>
      <c r="N1954" s="30"/>
      <c r="O1954" s="30"/>
      <c r="P1954" s="30"/>
    </row>
    <row r="1955">
      <c r="A1955" s="30"/>
      <c r="B1955" s="24" t="s">
        <v>3781</v>
      </c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30"/>
    </row>
    <row r="1956">
      <c r="A1956" s="30"/>
      <c r="B1956" s="4" t="s">
        <v>3782</v>
      </c>
      <c r="D1956" s="32"/>
      <c r="E1956" s="27" t="s">
        <v>14</v>
      </c>
      <c r="F1956" s="30"/>
      <c r="G1956" s="30"/>
      <c r="H1956" s="30"/>
      <c r="I1956" s="30"/>
      <c r="J1956" s="30"/>
      <c r="K1956" s="30"/>
      <c r="L1956" s="30"/>
      <c r="M1956" s="30"/>
      <c r="N1956" s="30"/>
      <c r="O1956" s="30"/>
      <c r="P1956" s="30"/>
    </row>
    <row r="1957">
      <c r="A1957" s="30"/>
      <c r="B1957" s="25" t="s">
        <v>149</v>
      </c>
      <c r="E1957" s="26" t="s">
        <v>90</v>
      </c>
      <c r="F1957" s="18" t="str">
        <f>HYPERLINK("https://www.youtube.com/watch?v=aemx1U8DQfc",'Players&gt;List'!$B18)</f>
        <v>[HGB]</v>
      </c>
      <c r="G1957" s="18" t="str">
        <f>HYPERLINK("https://www.twitch.tv/videos/321496133",'Players&gt;List'!$B9)</f>
        <v>[AWE]</v>
      </c>
      <c r="H1957" s="30"/>
      <c r="I1957" s="30"/>
      <c r="J1957" s="30"/>
      <c r="K1957" s="30"/>
      <c r="L1957" s="30"/>
      <c r="M1957" s="30"/>
      <c r="N1957" s="30"/>
      <c r="O1957" s="30"/>
      <c r="P1957" s="30"/>
    </row>
    <row r="1958">
      <c r="A1958" s="30"/>
      <c r="B1958" s="24" t="s">
        <v>3785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30"/>
    </row>
    <row r="1959">
      <c r="A1959" s="30"/>
      <c r="B1959" s="4" t="s">
        <v>3786</v>
      </c>
      <c r="D1959" s="32"/>
      <c r="E1959" s="27" t="s">
        <v>14</v>
      </c>
      <c r="F1959" s="30"/>
      <c r="G1959" s="30"/>
      <c r="H1959" s="30"/>
      <c r="I1959" s="30"/>
      <c r="J1959" s="30"/>
      <c r="K1959" s="30"/>
      <c r="L1959" s="30"/>
      <c r="M1959" s="30"/>
      <c r="N1959" s="30"/>
      <c r="O1959" s="30"/>
      <c r="P1959" s="30"/>
    </row>
    <row r="1960">
      <c r="A1960" s="30"/>
      <c r="B1960" s="25" t="s">
        <v>131</v>
      </c>
      <c r="E1960" s="26" t="s">
        <v>110</v>
      </c>
      <c r="F1960" s="30"/>
      <c r="G1960" s="30"/>
      <c r="H1960" s="30"/>
      <c r="I1960" s="30"/>
      <c r="J1960" s="30"/>
      <c r="K1960" s="30"/>
      <c r="L1960" s="30"/>
      <c r="M1960" s="30"/>
      <c r="N1960" s="30"/>
      <c r="O1960" s="30"/>
      <c r="P1960" s="30"/>
    </row>
    <row r="1961">
      <c r="A1961" s="30"/>
      <c r="B1961" s="24" t="s">
        <v>3788</v>
      </c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30"/>
    </row>
    <row r="1962">
      <c r="A1962" s="30"/>
      <c r="B1962" s="4" t="s">
        <v>3791</v>
      </c>
      <c r="D1962" s="32"/>
      <c r="E1962" s="27" t="s">
        <v>14</v>
      </c>
      <c r="F1962" s="18" t="str">
        <f>HYPERLINK("https://www.youtube.com/watch?v=rxXiGmzDBS8",'Players&gt;List'!$B19)</f>
        <v>[HIT]</v>
      </c>
      <c r="G1962" s="30"/>
      <c r="H1962" s="30"/>
      <c r="I1962" s="30"/>
      <c r="J1962" s="30"/>
      <c r="K1962" s="30"/>
      <c r="L1962" s="30"/>
      <c r="M1962" s="30"/>
      <c r="N1962" s="30"/>
      <c r="O1962" s="30"/>
      <c r="P1962" s="30"/>
    </row>
    <row r="1963">
      <c r="A1963" s="30"/>
      <c r="B1963" s="25" t="s">
        <v>88</v>
      </c>
      <c r="E1963" s="26" t="s">
        <v>90</v>
      </c>
      <c r="F1963" s="30"/>
      <c r="G1963" s="30"/>
      <c r="H1963" s="30"/>
      <c r="I1963" s="30"/>
      <c r="J1963" s="30"/>
      <c r="K1963" s="30"/>
      <c r="L1963" s="30"/>
      <c r="M1963" s="30"/>
      <c r="N1963" s="30"/>
      <c r="O1963" s="30"/>
      <c r="P1963" s="30"/>
    </row>
    <row r="1964">
      <c r="A1964" s="30"/>
      <c r="B1964" s="24" t="s">
        <v>3794</v>
      </c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30"/>
    </row>
    <row r="1965">
      <c r="A1965" s="30"/>
      <c r="B1965" s="4" t="s">
        <v>3796</v>
      </c>
      <c r="D1965" s="32"/>
      <c r="E1965" s="27" t="s">
        <v>14</v>
      </c>
      <c r="F1965" s="30"/>
      <c r="G1965" s="30"/>
      <c r="H1965" s="30"/>
      <c r="I1965" s="30"/>
      <c r="J1965" s="30"/>
      <c r="K1965" s="30"/>
      <c r="L1965" s="30"/>
      <c r="M1965" s="30"/>
      <c r="N1965" s="30"/>
      <c r="O1965" s="30"/>
      <c r="P1965" s="30"/>
    </row>
    <row r="1966">
      <c r="A1966" s="30"/>
      <c r="B1966" s="25" t="s">
        <v>117</v>
      </c>
      <c r="E1966" s="26" t="s">
        <v>110</v>
      </c>
      <c r="F1966" s="30"/>
      <c r="G1966" s="30"/>
      <c r="H1966" s="30"/>
      <c r="I1966" s="30"/>
      <c r="J1966" s="30"/>
      <c r="K1966" s="30"/>
      <c r="L1966" s="30"/>
      <c r="M1966" s="30"/>
      <c r="N1966" s="30"/>
      <c r="O1966" s="30"/>
      <c r="P1966" s="30"/>
    </row>
    <row r="1967">
      <c r="A1967" s="30"/>
      <c r="B1967" s="24" t="s">
        <v>3797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30"/>
    </row>
    <row r="1968">
      <c r="A1968" s="30"/>
      <c r="B1968" s="4" t="s">
        <v>3798</v>
      </c>
      <c r="D1968" s="32"/>
      <c r="E1968" s="27" t="s">
        <v>14</v>
      </c>
      <c r="F1968" s="30"/>
      <c r="G1968" s="30"/>
      <c r="H1968" s="30"/>
      <c r="I1968" s="30"/>
      <c r="J1968" s="30"/>
      <c r="K1968" s="30"/>
      <c r="L1968" s="30"/>
      <c r="M1968" s="30"/>
      <c r="N1968" s="30"/>
      <c r="O1968" s="30"/>
      <c r="P1968" s="30"/>
    </row>
    <row r="1969">
      <c r="A1969" s="30"/>
      <c r="B1969" s="25" t="s">
        <v>1715</v>
      </c>
      <c r="E1969" s="26" t="s">
        <v>234</v>
      </c>
      <c r="F1969" s="30"/>
      <c r="G1969" s="30"/>
      <c r="H1969" s="30"/>
      <c r="I1969" s="30"/>
      <c r="J1969" s="30"/>
      <c r="K1969" s="30"/>
      <c r="L1969" s="30"/>
      <c r="M1969" s="30"/>
      <c r="N1969" s="30"/>
      <c r="O1969" s="30"/>
      <c r="P1969" s="30"/>
    </row>
    <row r="1970">
      <c r="A1970" s="30"/>
      <c r="B1970" s="25" t="s">
        <v>1797</v>
      </c>
      <c r="E1970" s="26" t="s">
        <v>358</v>
      </c>
      <c r="F1970" s="30"/>
      <c r="G1970" s="30"/>
      <c r="H1970" s="30"/>
      <c r="I1970" s="30"/>
      <c r="J1970" s="30"/>
      <c r="K1970" s="30"/>
      <c r="L1970" s="30"/>
      <c r="M1970" s="30"/>
      <c r="N1970" s="30"/>
      <c r="O1970" s="30"/>
      <c r="P1970" s="30"/>
    </row>
    <row r="1971">
      <c r="A1971" s="30"/>
      <c r="B1971" s="24" t="s">
        <v>3799</v>
      </c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30"/>
    </row>
    <row r="1972">
      <c r="A1972" s="30"/>
      <c r="B1972" s="4" t="s">
        <v>3800</v>
      </c>
      <c r="D1972" s="32"/>
      <c r="E1972" s="27" t="s">
        <v>14</v>
      </c>
      <c r="F1972" s="30"/>
      <c r="G1972" s="30"/>
      <c r="H1972" s="30"/>
      <c r="I1972" s="30"/>
      <c r="J1972" s="30"/>
      <c r="K1972" s="30"/>
      <c r="L1972" s="30"/>
      <c r="M1972" s="30"/>
      <c r="N1972" s="30"/>
      <c r="O1972" s="30"/>
      <c r="P1972" s="30"/>
    </row>
    <row r="1973">
      <c r="A1973" s="30"/>
      <c r="B1973" s="25" t="s">
        <v>400</v>
      </c>
      <c r="E1973" s="26" t="s">
        <v>234</v>
      </c>
      <c r="F1973" s="30"/>
      <c r="G1973" s="30"/>
      <c r="H1973" s="30"/>
      <c r="I1973" s="30"/>
      <c r="J1973" s="30"/>
      <c r="K1973" s="30"/>
      <c r="L1973" s="30"/>
      <c r="M1973" s="30"/>
      <c r="N1973" s="30"/>
      <c r="O1973" s="30"/>
      <c r="P1973" s="30"/>
    </row>
    <row r="1974">
      <c r="A1974" s="30"/>
      <c r="B1974" s="25" t="s">
        <v>149</v>
      </c>
      <c r="E1974" s="26" t="s">
        <v>147</v>
      </c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</row>
    <row r="1975">
      <c r="A1975" s="30"/>
      <c r="B1975" s="25" t="s">
        <v>88</v>
      </c>
      <c r="E1975" s="26" t="s">
        <v>147</v>
      </c>
      <c r="F1975" s="30"/>
      <c r="G1975" s="30"/>
      <c r="H1975" s="30"/>
      <c r="I1975" s="30"/>
      <c r="J1975" s="30"/>
      <c r="K1975" s="30"/>
      <c r="L1975" s="30"/>
      <c r="M1975" s="30"/>
      <c r="N1975" s="30"/>
      <c r="O1975" s="30"/>
      <c r="P1975" s="30"/>
    </row>
    <row r="1976">
      <c r="A1976" s="30"/>
      <c r="B1976" s="25" t="s">
        <v>108</v>
      </c>
      <c r="E1976" s="26" t="s">
        <v>132</v>
      </c>
      <c r="F1976" s="30"/>
      <c r="G1976" s="30"/>
      <c r="H1976" s="30"/>
      <c r="I1976" s="30"/>
      <c r="J1976" s="30"/>
      <c r="K1976" s="30"/>
      <c r="L1976" s="30"/>
      <c r="M1976" s="30"/>
      <c r="N1976" s="30"/>
      <c r="O1976" s="30"/>
      <c r="P1976" s="30"/>
    </row>
    <row r="1977">
      <c r="A1977" s="30"/>
      <c r="B1977" s="25" t="s">
        <v>649</v>
      </c>
      <c r="E1977" s="26" t="s">
        <v>147</v>
      </c>
      <c r="F1977" s="30"/>
      <c r="G1977" s="30"/>
      <c r="H1977" s="30"/>
      <c r="I1977" s="30"/>
      <c r="J1977" s="30"/>
      <c r="K1977" s="30"/>
      <c r="L1977" s="30"/>
      <c r="M1977" s="30"/>
      <c r="N1977" s="30"/>
      <c r="O1977" s="30"/>
      <c r="P1977" s="30"/>
    </row>
    <row r="1978">
      <c r="A1978" s="30"/>
      <c r="B1978" s="25" t="s">
        <v>488</v>
      </c>
      <c r="E1978" s="26" t="s">
        <v>358</v>
      </c>
      <c r="F1978" s="30"/>
      <c r="G1978" s="30"/>
      <c r="H1978" s="30"/>
      <c r="I1978" s="30"/>
      <c r="J1978" s="30"/>
      <c r="K1978" s="30"/>
      <c r="L1978" s="30"/>
      <c r="M1978" s="30"/>
      <c r="N1978" s="30"/>
      <c r="O1978" s="30"/>
      <c r="P1978" s="30"/>
    </row>
    <row r="1979">
      <c r="A1979" s="30"/>
      <c r="B1979" s="24" t="s">
        <v>3803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30"/>
    </row>
    <row r="1980">
      <c r="A1980" s="30"/>
      <c r="B1980" s="4" t="s">
        <v>3804</v>
      </c>
      <c r="D1980" s="32"/>
      <c r="E1980" s="27" t="s">
        <v>14</v>
      </c>
      <c r="F1980" s="30"/>
      <c r="G1980" s="30"/>
      <c r="H1980" s="30"/>
      <c r="I1980" s="30"/>
      <c r="J1980" s="30"/>
      <c r="K1980" s="30"/>
      <c r="L1980" s="30"/>
      <c r="M1980" s="30"/>
      <c r="N1980" s="30"/>
      <c r="O1980" s="30"/>
      <c r="P1980" s="30"/>
    </row>
    <row r="1981">
      <c r="A1981" s="30"/>
      <c r="B1981" s="25" t="s">
        <v>668</v>
      </c>
      <c r="E1981" s="26" t="s">
        <v>234</v>
      </c>
      <c r="F1981" s="18" t="str">
        <f>HYPERLINK("https://www.youtube.com/watch?v=dOG6CZ0VHcM",'Players&gt;List'!$B18)</f>
        <v>[HGB]</v>
      </c>
      <c r="G1981" s="30"/>
      <c r="H1981" s="30"/>
      <c r="I1981" s="30"/>
      <c r="J1981" s="30"/>
      <c r="K1981" s="30"/>
      <c r="L1981" s="30"/>
      <c r="M1981" s="30"/>
      <c r="N1981" s="30"/>
      <c r="O1981" s="30"/>
      <c r="P1981" s="30"/>
    </row>
    <row r="1982">
      <c r="A1982" s="30"/>
      <c r="B1982" s="24" t="s">
        <v>3806</v>
      </c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30"/>
    </row>
    <row r="1983">
      <c r="A1983" s="30"/>
      <c r="B1983" s="4" t="s">
        <v>3808</v>
      </c>
      <c r="D1983" s="32"/>
      <c r="E1983" s="27" t="s">
        <v>14</v>
      </c>
      <c r="F1983" s="30"/>
      <c r="G1983" s="30"/>
      <c r="H1983" s="30"/>
      <c r="I1983" s="30"/>
      <c r="J1983" s="30"/>
      <c r="K1983" s="30"/>
      <c r="L1983" s="30"/>
      <c r="M1983" s="30"/>
      <c r="N1983" s="30"/>
      <c r="O1983" s="30"/>
      <c r="P1983" s="30"/>
    </row>
    <row r="1984">
      <c r="A1984" s="30"/>
      <c r="B1984" s="25" t="s">
        <v>2557</v>
      </c>
      <c r="E1984" s="26" t="s">
        <v>915</v>
      </c>
      <c r="F1984" s="30"/>
      <c r="G1984" s="30"/>
      <c r="H1984" s="30"/>
      <c r="I1984" s="30"/>
      <c r="J1984" s="30"/>
      <c r="K1984" s="30"/>
      <c r="L1984" s="30"/>
      <c r="M1984" s="30"/>
      <c r="N1984" s="30"/>
      <c r="O1984" s="30"/>
      <c r="P1984" s="30"/>
    </row>
    <row r="1985">
      <c r="A1985" s="30"/>
      <c r="B1985" s="25" t="s">
        <v>3810</v>
      </c>
      <c r="E1985" s="26" t="s">
        <v>358</v>
      </c>
      <c r="F1985" s="30"/>
      <c r="G1985" s="30"/>
      <c r="H1985" s="30"/>
      <c r="I1985" s="30"/>
      <c r="J1985" s="30"/>
      <c r="K1985" s="30"/>
      <c r="L1985" s="30"/>
      <c r="M1985" s="30"/>
      <c r="N1985" s="30"/>
      <c r="O1985" s="30"/>
      <c r="P1985" s="30"/>
    </row>
    <row r="1986">
      <c r="A1986" s="30"/>
      <c r="B1986" s="25" t="s">
        <v>149</v>
      </c>
      <c r="E1986" s="26" t="s">
        <v>147</v>
      </c>
      <c r="F1986" s="30"/>
      <c r="G1986" s="30"/>
      <c r="H1986" s="30"/>
      <c r="I1986" s="30"/>
      <c r="J1986" s="30"/>
      <c r="K1986" s="30"/>
      <c r="L1986" s="30"/>
      <c r="M1986" s="30"/>
      <c r="N1986" s="30"/>
      <c r="O1986" s="30"/>
      <c r="P1986" s="30"/>
    </row>
    <row r="1987">
      <c r="A1987" s="30"/>
      <c r="B1987" s="25" t="s">
        <v>1385</v>
      </c>
      <c r="E1987" s="26" t="s">
        <v>132</v>
      </c>
      <c r="F1987" s="30"/>
      <c r="G1987" s="30"/>
      <c r="H1987" s="30"/>
      <c r="I1987" s="30"/>
      <c r="J1987" s="30"/>
      <c r="K1987" s="30"/>
      <c r="L1987" s="30"/>
      <c r="M1987" s="30"/>
      <c r="N1987" s="30"/>
      <c r="O1987" s="30"/>
      <c r="P1987" s="30"/>
    </row>
    <row r="1988">
      <c r="A1988" s="30"/>
      <c r="B1988" s="25" t="s">
        <v>649</v>
      </c>
      <c r="E1988" s="26" t="s">
        <v>147</v>
      </c>
      <c r="F1988" s="30"/>
      <c r="G1988" s="30"/>
      <c r="H1988" s="30"/>
      <c r="I1988" s="30"/>
      <c r="J1988" s="30"/>
      <c r="K1988" s="30"/>
      <c r="L1988" s="30"/>
      <c r="M1988" s="30"/>
      <c r="N1988" s="30"/>
      <c r="O1988" s="30"/>
      <c r="P1988" s="30"/>
    </row>
    <row r="1989">
      <c r="A1989" s="30"/>
      <c r="B1989" s="24" t="s">
        <v>3813</v>
      </c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30"/>
    </row>
    <row r="1990">
      <c r="A1990" s="30"/>
      <c r="B1990" s="4" t="s">
        <v>3814</v>
      </c>
      <c r="D1990" s="32"/>
      <c r="E1990" s="27" t="s">
        <v>14</v>
      </c>
      <c r="F1990" s="30"/>
      <c r="G1990" s="30"/>
      <c r="H1990" s="30"/>
      <c r="I1990" s="30"/>
      <c r="J1990" s="30"/>
      <c r="K1990" s="30"/>
      <c r="L1990" s="30"/>
      <c r="M1990" s="30"/>
      <c r="N1990" s="30"/>
      <c r="O1990" s="30"/>
      <c r="P1990" s="30"/>
    </row>
    <row r="1991">
      <c r="A1991" s="30"/>
      <c r="B1991" s="25" t="s">
        <v>131</v>
      </c>
      <c r="E1991" s="26" t="s">
        <v>110</v>
      </c>
      <c r="F1991" s="30"/>
      <c r="G1991" s="30"/>
      <c r="H1991" s="30"/>
      <c r="I1991" s="30"/>
      <c r="J1991" s="30"/>
      <c r="K1991" s="30"/>
      <c r="L1991" s="30"/>
      <c r="M1991" s="30"/>
      <c r="N1991" s="30"/>
      <c r="O1991" s="30"/>
      <c r="P1991" s="30"/>
    </row>
    <row r="1992">
      <c r="A1992" s="30"/>
      <c r="B1992" s="24" t="s">
        <v>3815</v>
      </c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30"/>
    </row>
    <row r="1993">
      <c r="A1993" s="30"/>
      <c r="B1993" s="4" t="s">
        <v>3817</v>
      </c>
      <c r="D1993" s="32"/>
      <c r="E1993" s="27" t="s">
        <v>14</v>
      </c>
      <c r="F1993" s="30"/>
      <c r="G1993" s="30"/>
      <c r="H1993" s="30"/>
      <c r="I1993" s="30"/>
      <c r="J1993" s="30"/>
      <c r="K1993" s="30"/>
      <c r="L1993" s="30"/>
      <c r="M1993" s="30"/>
      <c r="N1993" s="30"/>
      <c r="O1993" s="30"/>
      <c r="P1993" s="30"/>
    </row>
    <row r="1994">
      <c r="A1994" s="30"/>
      <c r="B1994" s="25" t="s">
        <v>88</v>
      </c>
      <c r="E1994" s="26" t="s">
        <v>90</v>
      </c>
      <c r="F1994" s="30"/>
      <c r="G1994" s="30"/>
      <c r="H1994" s="30"/>
      <c r="I1994" s="30"/>
      <c r="J1994" s="30"/>
      <c r="K1994" s="30"/>
      <c r="L1994" s="30"/>
      <c r="M1994" s="30"/>
      <c r="N1994" s="30"/>
      <c r="O1994" s="30"/>
      <c r="P1994" s="30"/>
    </row>
    <row r="1995">
      <c r="A1995" s="30"/>
      <c r="B1995" s="24" t="s">
        <v>3818</v>
      </c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30"/>
    </row>
    <row r="1996">
      <c r="A1996" s="30"/>
      <c r="B1996" s="4" t="s">
        <v>3819</v>
      </c>
      <c r="D1996" s="32"/>
      <c r="E1996" s="27" t="s">
        <v>14</v>
      </c>
      <c r="F1996" s="30"/>
      <c r="G1996" s="30"/>
      <c r="H1996" s="30"/>
      <c r="I1996" s="30"/>
      <c r="J1996" s="30"/>
      <c r="K1996" s="30"/>
      <c r="L1996" s="30"/>
      <c r="M1996" s="30"/>
      <c r="N1996" s="30"/>
      <c r="O1996" s="30"/>
      <c r="P1996" s="30"/>
    </row>
    <row r="1997">
      <c r="A1997" s="30"/>
      <c r="B1997" s="25" t="s">
        <v>117</v>
      </c>
      <c r="E1997" s="26" t="s">
        <v>110</v>
      </c>
      <c r="F1997" s="30"/>
      <c r="G1997" s="30"/>
      <c r="H1997" s="30"/>
      <c r="I1997" s="30"/>
      <c r="J1997" s="30"/>
      <c r="K1997" s="30"/>
      <c r="L1997" s="30"/>
      <c r="M1997" s="30"/>
      <c r="N1997" s="30"/>
      <c r="O1997" s="30"/>
      <c r="P1997" s="30"/>
    </row>
    <row r="1998">
      <c r="A1998" s="30"/>
      <c r="B1998" s="24" t="s">
        <v>3823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30"/>
    </row>
    <row r="1999">
      <c r="A1999" s="30"/>
      <c r="B1999" s="4" t="s">
        <v>3825</v>
      </c>
      <c r="D1999" s="32"/>
      <c r="E1999" s="27" t="s">
        <v>14</v>
      </c>
      <c r="F1999" s="30"/>
      <c r="G1999" s="30"/>
      <c r="H1999" s="30"/>
      <c r="I1999" s="30"/>
      <c r="J1999" s="30"/>
      <c r="K1999" s="30"/>
      <c r="L1999" s="30"/>
      <c r="M1999" s="30"/>
      <c r="N1999" s="30"/>
      <c r="O1999" s="30"/>
      <c r="P1999" s="30"/>
    </row>
    <row r="2000">
      <c r="A2000" s="30"/>
      <c r="B2000" s="25" t="s">
        <v>117</v>
      </c>
      <c r="E2000" s="26" t="s">
        <v>110</v>
      </c>
      <c r="F2000" s="18" t="str">
        <f>HYPERLINK("https://www.youtube.com/watch?v=f5n3bPZz220",'Players&gt;List'!$B9)</f>
        <v>[AWE]</v>
      </c>
      <c r="G2000" s="30"/>
      <c r="H2000" s="30"/>
      <c r="I2000" s="30"/>
      <c r="J2000" s="30"/>
      <c r="K2000" s="30"/>
      <c r="L2000" s="30"/>
      <c r="M2000" s="30"/>
      <c r="N2000" s="30"/>
      <c r="O2000" s="30"/>
      <c r="P2000" s="30"/>
    </row>
    <row r="2001">
      <c r="A2001" s="30"/>
      <c r="B2001" s="24" t="s">
        <v>3827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30"/>
    </row>
    <row r="2002">
      <c r="A2002" s="30"/>
      <c r="B2002" s="4" t="s">
        <v>3829</v>
      </c>
      <c r="D2002" s="32"/>
      <c r="E2002" s="27" t="s">
        <v>14</v>
      </c>
      <c r="F2002" s="30"/>
      <c r="G2002" s="30"/>
      <c r="H2002" s="30"/>
      <c r="I2002" s="30"/>
      <c r="J2002" s="30"/>
      <c r="K2002" s="30"/>
      <c r="L2002" s="30"/>
      <c r="M2002" s="30"/>
      <c r="N2002" s="30"/>
      <c r="O2002" s="30"/>
      <c r="P2002" s="30"/>
    </row>
    <row r="2003">
      <c r="A2003" s="30"/>
      <c r="B2003" s="25" t="s">
        <v>379</v>
      </c>
      <c r="E2003" s="26" t="s">
        <v>380</v>
      </c>
      <c r="F2003" s="18" t="str">
        <f>HYPERLINK("https://www.youtube.com/watch?v=3uvAXaC8u50",'Players&gt;List'!$B18)</f>
        <v>[HGB]</v>
      </c>
      <c r="G2003" s="18" t="str">
        <f>HYPERLINK("https://www.youtube.com/watch?v=O5zum2PL0Rk",'Players&gt;List'!$B16)</f>
        <v>[GEA]</v>
      </c>
      <c r="H2003" s="18" t="str">
        <f>HYPERLINK("https://www.twitch.tv/videos/272464983",'Players&gt;List'!$B24)</f>
        <v>[NIM]</v>
      </c>
      <c r="I2003" s="30"/>
      <c r="J2003" s="30"/>
      <c r="K2003" s="30"/>
      <c r="L2003" s="30"/>
      <c r="M2003" s="30"/>
      <c r="N2003" s="30"/>
      <c r="O2003" s="30"/>
      <c r="P2003" s="30"/>
    </row>
    <row r="2004">
      <c r="A2004" s="30"/>
      <c r="B2004" s="25" t="s">
        <v>88</v>
      </c>
      <c r="E2004" s="26" t="s">
        <v>147</v>
      </c>
      <c r="F2004" s="30"/>
      <c r="G2004" s="30"/>
      <c r="H2004" s="30"/>
      <c r="I2004" s="30"/>
      <c r="J2004" s="30"/>
      <c r="K2004" s="30"/>
      <c r="L2004" s="30"/>
      <c r="M2004" s="30"/>
      <c r="N2004" s="30"/>
      <c r="O2004" s="30"/>
      <c r="P2004" s="30"/>
    </row>
    <row r="2005">
      <c r="A2005" s="30"/>
      <c r="B2005" s="25" t="s">
        <v>197</v>
      </c>
      <c r="E2005" s="26" t="s">
        <v>147</v>
      </c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</row>
    <row r="2006">
      <c r="A2006" s="30"/>
      <c r="B2006" s="24" t="s">
        <v>3832</v>
      </c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30"/>
    </row>
    <row r="2007">
      <c r="A2007" s="30"/>
      <c r="B2007" s="4" t="s">
        <v>3834</v>
      </c>
      <c r="D2007" s="32"/>
      <c r="E2007" s="27" t="s">
        <v>14</v>
      </c>
      <c r="F2007" s="30"/>
      <c r="G2007" s="30"/>
      <c r="H2007" s="30"/>
      <c r="I2007" s="30"/>
      <c r="J2007" s="30"/>
      <c r="K2007" s="30"/>
      <c r="L2007" s="30"/>
      <c r="M2007" s="30"/>
      <c r="N2007" s="30"/>
      <c r="O2007" s="30"/>
      <c r="P2007" s="30"/>
    </row>
    <row r="2008">
      <c r="A2008" s="30"/>
      <c r="B2008" s="25" t="s">
        <v>2557</v>
      </c>
      <c r="E2008" s="26" t="s">
        <v>915</v>
      </c>
      <c r="F2008" s="18" t="str">
        <f>HYPERLINK("https://www.youtube.com/watch?v=cbE_kUvVJT0",'Players&gt;List'!$B18)</f>
        <v>[HGB]</v>
      </c>
      <c r="G2008" s="30"/>
      <c r="H2008" s="30"/>
      <c r="I2008" s="30"/>
      <c r="J2008" s="30"/>
      <c r="K2008" s="30"/>
      <c r="L2008" s="30"/>
      <c r="M2008" s="30"/>
      <c r="N2008" s="30"/>
      <c r="O2008" s="30"/>
      <c r="P2008" s="30"/>
    </row>
    <row r="2009">
      <c r="A2009" s="30"/>
      <c r="B2009" s="25" t="s">
        <v>3837</v>
      </c>
      <c r="E2009" s="26" t="s">
        <v>2185</v>
      </c>
      <c r="F2009" s="30"/>
      <c r="G2009" s="30"/>
      <c r="H2009" s="30"/>
      <c r="I2009" s="30"/>
      <c r="J2009" s="30"/>
      <c r="K2009" s="30"/>
      <c r="L2009" s="30"/>
      <c r="M2009" s="30"/>
      <c r="N2009" s="30"/>
      <c r="O2009" s="30"/>
      <c r="P2009" s="30"/>
    </row>
    <row r="2010">
      <c r="A2010" s="30"/>
      <c r="B2010" s="25" t="s">
        <v>117</v>
      </c>
      <c r="E2010" s="26" t="s">
        <v>132</v>
      </c>
      <c r="F2010" s="30"/>
      <c r="G2010" s="30"/>
      <c r="H2010" s="30"/>
      <c r="I2010" s="30"/>
      <c r="J2010" s="30"/>
      <c r="K2010" s="30"/>
      <c r="L2010" s="30"/>
      <c r="M2010" s="30"/>
      <c r="N2010" s="30"/>
      <c r="O2010" s="30"/>
      <c r="P2010" s="30"/>
    </row>
    <row r="2011">
      <c r="A2011" s="30"/>
      <c r="B2011" s="25" t="s">
        <v>3323</v>
      </c>
      <c r="E2011" s="26" t="s">
        <v>132</v>
      </c>
      <c r="F2011" s="30"/>
      <c r="G2011" s="30"/>
      <c r="H2011" s="30"/>
      <c r="I2011" s="30"/>
      <c r="J2011" s="30"/>
      <c r="K2011" s="30"/>
      <c r="L2011" s="30"/>
      <c r="M2011" s="30"/>
      <c r="N2011" s="30"/>
      <c r="O2011" s="30"/>
      <c r="P2011" s="30"/>
    </row>
    <row r="2012">
      <c r="A2012" s="30"/>
      <c r="B2012" s="24" t="s">
        <v>3840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30"/>
    </row>
    <row r="2013">
      <c r="A2013" s="30"/>
      <c r="B2013" s="4" t="s">
        <v>3842</v>
      </c>
      <c r="D2013" s="32"/>
      <c r="E2013" s="27" t="s">
        <v>14</v>
      </c>
      <c r="F2013" s="30"/>
      <c r="G2013" s="30"/>
      <c r="H2013" s="30"/>
      <c r="I2013" s="30"/>
      <c r="J2013" s="30"/>
      <c r="K2013" s="30"/>
      <c r="L2013" s="30"/>
      <c r="M2013" s="30"/>
      <c r="N2013" s="30"/>
      <c r="O2013" s="30"/>
      <c r="P2013" s="30"/>
    </row>
    <row r="2014">
      <c r="A2014" s="30"/>
      <c r="B2014" s="25" t="s">
        <v>131</v>
      </c>
      <c r="E2014" s="26" t="s">
        <v>110</v>
      </c>
      <c r="F2014" s="30"/>
      <c r="G2014" s="30"/>
      <c r="H2014" s="30"/>
      <c r="I2014" s="30"/>
      <c r="J2014" s="30"/>
      <c r="K2014" s="30"/>
      <c r="L2014" s="30"/>
      <c r="M2014" s="30"/>
      <c r="N2014" s="30"/>
      <c r="O2014" s="30"/>
      <c r="P2014" s="30"/>
    </row>
    <row r="2015">
      <c r="A2015" s="30"/>
      <c r="B2015" s="24" t="s">
        <v>3844</v>
      </c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30"/>
    </row>
    <row r="2016">
      <c r="A2016" s="30"/>
      <c r="B2016" s="4" t="s">
        <v>3846</v>
      </c>
      <c r="D2016" s="32"/>
      <c r="E2016" s="27" t="s">
        <v>14</v>
      </c>
      <c r="F2016" s="30"/>
      <c r="G2016" s="30"/>
      <c r="H2016" s="30"/>
      <c r="I2016" s="30"/>
      <c r="J2016" s="30"/>
      <c r="K2016" s="30"/>
      <c r="L2016" s="30"/>
      <c r="M2016" s="30"/>
      <c r="N2016" s="30"/>
      <c r="O2016" s="30"/>
      <c r="P2016" s="30"/>
    </row>
    <row r="2017">
      <c r="A2017" s="30"/>
      <c r="B2017" s="25" t="s">
        <v>157</v>
      </c>
      <c r="E2017" s="26" t="s">
        <v>110</v>
      </c>
      <c r="F2017" s="18" t="str">
        <f>HYPERLINK("https://www.youtube.com/watch?v=xA_XC0Wk7Mw",'Players&gt;List'!$B19)</f>
        <v>[HIT]</v>
      </c>
      <c r="G2017" s="30"/>
      <c r="H2017" s="30"/>
      <c r="I2017" s="30"/>
      <c r="J2017" s="30"/>
      <c r="K2017" s="30"/>
      <c r="L2017" s="30"/>
      <c r="M2017" s="30"/>
      <c r="N2017" s="30"/>
      <c r="O2017" s="30"/>
      <c r="P2017" s="30"/>
    </row>
    <row r="2018">
      <c r="A2018" s="30"/>
      <c r="B2018" s="24" t="s">
        <v>3849</v>
      </c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30"/>
    </row>
    <row r="2019">
      <c r="A2019" s="30"/>
      <c r="B2019" s="4" t="s">
        <v>3850</v>
      </c>
      <c r="D2019" s="32"/>
      <c r="E2019" s="27" t="s">
        <v>14</v>
      </c>
      <c r="F2019" s="30"/>
      <c r="G2019" s="30"/>
      <c r="H2019" s="30"/>
      <c r="I2019" s="30"/>
      <c r="J2019" s="30"/>
      <c r="K2019" s="30"/>
      <c r="L2019" s="30"/>
      <c r="M2019" s="30"/>
      <c r="N2019" s="30"/>
      <c r="O2019" s="30"/>
      <c r="P2019" s="30"/>
    </row>
    <row r="2020">
      <c r="A2020" s="30"/>
      <c r="B2020" s="25" t="s">
        <v>157</v>
      </c>
      <c r="E2020" s="26" t="s">
        <v>110</v>
      </c>
      <c r="F2020" s="18" t="str">
        <f>HYPERLINK("https://www.youtube.com/watch?v=PtVs2AiHIrw",'Players&gt;List'!$B18)</f>
        <v>[HGB]</v>
      </c>
      <c r="G2020" s="30"/>
      <c r="H2020" s="30"/>
      <c r="I2020" s="30"/>
      <c r="J2020" s="30"/>
      <c r="K2020" s="30"/>
      <c r="L2020" s="30"/>
      <c r="M2020" s="30"/>
      <c r="N2020" s="30"/>
      <c r="O2020" s="30"/>
      <c r="P2020" s="30"/>
    </row>
    <row r="2021">
      <c r="A2021" s="30"/>
      <c r="B2021" s="24" t="s">
        <v>3853</v>
      </c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30"/>
    </row>
    <row r="2022">
      <c r="A2022" s="30"/>
      <c r="B2022" s="4" t="s">
        <v>3856</v>
      </c>
      <c r="D2022" s="32"/>
      <c r="E2022" s="27" t="s">
        <v>14</v>
      </c>
      <c r="F2022" s="30"/>
      <c r="G2022" s="30"/>
      <c r="H2022" s="30"/>
      <c r="I2022" s="30"/>
      <c r="J2022" s="30"/>
      <c r="K2022" s="30"/>
      <c r="L2022" s="30"/>
      <c r="M2022" s="30"/>
      <c r="N2022" s="30"/>
      <c r="O2022" s="30"/>
      <c r="P2022" s="30"/>
    </row>
    <row r="2023">
      <c r="A2023" s="30"/>
      <c r="B2023" s="25" t="s">
        <v>117</v>
      </c>
      <c r="E2023" s="26" t="s">
        <v>110</v>
      </c>
      <c r="F2023" s="30"/>
      <c r="G2023" s="30"/>
      <c r="H2023" s="30"/>
      <c r="I2023" s="30"/>
      <c r="J2023" s="30"/>
      <c r="K2023" s="30"/>
      <c r="L2023" s="30"/>
      <c r="M2023" s="30"/>
      <c r="N2023" s="30"/>
      <c r="O2023" s="30"/>
      <c r="P2023" s="30"/>
    </row>
    <row r="2024">
      <c r="A2024" s="30"/>
      <c r="B2024" s="25" t="s">
        <v>149</v>
      </c>
      <c r="E2024" s="26" t="s">
        <v>147</v>
      </c>
      <c r="F2024" s="30"/>
      <c r="G2024" s="30"/>
      <c r="H2024" s="30"/>
      <c r="I2024" s="30"/>
      <c r="J2024" s="30"/>
      <c r="K2024" s="30"/>
      <c r="L2024" s="30"/>
      <c r="M2024" s="30"/>
      <c r="N2024" s="30"/>
      <c r="O2024" s="30"/>
      <c r="P2024" s="30"/>
    </row>
    <row r="2025">
      <c r="A2025" s="30"/>
      <c r="B2025" s="24" t="s">
        <v>3857</v>
      </c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30"/>
    </row>
    <row r="2026">
      <c r="A2026" s="30"/>
      <c r="B2026" s="4" t="s">
        <v>3858</v>
      </c>
      <c r="D2026" s="32"/>
      <c r="E2026" s="27" t="s">
        <v>14</v>
      </c>
      <c r="F2026" s="30"/>
      <c r="G2026" s="30"/>
      <c r="H2026" s="30"/>
      <c r="I2026" s="30"/>
      <c r="J2026" s="30"/>
      <c r="K2026" s="30"/>
      <c r="L2026" s="30"/>
      <c r="M2026" s="30"/>
      <c r="N2026" s="30"/>
      <c r="O2026" s="30"/>
      <c r="P2026" s="30"/>
    </row>
    <row r="2027">
      <c r="A2027" s="30"/>
      <c r="B2027" s="25" t="s">
        <v>2296</v>
      </c>
      <c r="E2027" s="26" t="s">
        <v>234</v>
      </c>
      <c r="F2027" s="30"/>
      <c r="G2027" s="30"/>
      <c r="H2027" s="30"/>
      <c r="I2027" s="30"/>
      <c r="J2027" s="30"/>
      <c r="K2027" s="30"/>
      <c r="L2027" s="30"/>
      <c r="M2027" s="30"/>
      <c r="N2027" s="30"/>
      <c r="O2027" s="30"/>
      <c r="P2027" s="30"/>
    </row>
    <row r="2028">
      <c r="A2028" s="30"/>
      <c r="B2028" s="24" t="s">
        <v>3860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30"/>
    </row>
    <row r="2029">
      <c r="A2029" s="30"/>
      <c r="B2029" s="4" t="s">
        <v>3862</v>
      </c>
      <c r="D2029" s="32"/>
      <c r="E2029" s="27" t="s">
        <v>14</v>
      </c>
      <c r="F2029" s="30"/>
      <c r="G2029" s="30"/>
      <c r="H2029" s="30"/>
      <c r="I2029" s="30"/>
      <c r="J2029" s="30"/>
      <c r="K2029" s="30"/>
      <c r="L2029" s="30"/>
      <c r="M2029" s="30"/>
      <c r="N2029" s="30"/>
      <c r="O2029" s="30"/>
      <c r="P2029" s="30"/>
    </row>
    <row r="2030">
      <c r="A2030" s="30"/>
      <c r="B2030" s="25" t="s">
        <v>502</v>
      </c>
      <c r="E2030" s="26" t="s">
        <v>234</v>
      </c>
      <c r="F2030" s="18" t="str">
        <f>HYPERLINK("https://www.youtube.com/watch?v=LGqp_WXhUm8",'Players&gt;List'!$B18)</f>
        <v>[HGB]</v>
      </c>
      <c r="G2030" s="30"/>
      <c r="H2030" s="30"/>
      <c r="I2030" s="30"/>
      <c r="J2030" s="30"/>
      <c r="K2030" s="30"/>
      <c r="L2030" s="30"/>
      <c r="M2030" s="30"/>
      <c r="N2030" s="30"/>
      <c r="O2030" s="30"/>
      <c r="P2030" s="30"/>
    </row>
    <row r="2031">
      <c r="A2031" s="30"/>
      <c r="B2031" s="25" t="s">
        <v>117</v>
      </c>
      <c r="E2031" s="26" t="s">
        <v>132</v>
      </c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</row>
    <row r="2032">
      <c r="A2032" s="30"/>
      <c r="B2032" s="25" t="s">
        <v>649</v>
      </c>
      <c r="E2032" s="26" t="s">
        <v>147</v>
      </c>
      <c r="F2032" s="30"/>
      <c r="G2032" s="30"/>
      <c r="H2032" s="30"/>
      <c r="I2032" s="30"/>
      <c r="J2032" s="30"/>
      <c r="K2032" s="30"/>
      <c r="L2032" s="30"/>
      <c r="M2032" s="30"/>
      <c r="N2032" s="30"/>
      <c r="O2032" s="30"/>
      <c r="P2032" s="30"/>
    </row>
    <row r="2033">
      <c r="A2033" s="30"/>
      <c r="B2033" s="25" t="s">
        <v>157</v>
      </c>
      <c r="E2033" s="26" t="s">
        <v>132</v>
      </c>
      <c r="F2033" s="30"/>
      <c r="G2033" s="30"/>
      <c r="H2033" s="30"/>
      <c r="I2033" s="30"/>
      <c r="J2033" s="30"/>
      <c r="K2033" s="30"/>
      <c r="L2033" s="30"/>
      <c r="M2033" s="30"/>
      <c r="N2033" s="30"/>
      <c r="O2033" s="30"/>
      <c r="P2033" s="30"/>
    </row>
    <row r="2034">
      <c r="A2034" s="30"/>
      <c r="B2034" s="24" t="s">
        <v>3865</v>
      </c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30"/>
    </row>
    <row r="2035">
      <c r="A2035" s="30"/>
      <c r="B2035" s="4" t="s">
        <v>3866</v>
      </c>
      <c r="D2035" s="32"/>
      <c r="E2035" s="27" t="s">
        <v>14</v>
      </c>
      <c r="F2035" s="30"/>
      <c r="G2035" s="30"/>
      <c r="H2035" s="30"/>
      <c r="I2035" s="30"/>
      <c r="J2035" s="30"/>
      <c r="K2035" s="30"/>
      <c r="L2035" s="30"/>
      <c r="M2035" s="30"/>
      <c r="N2035" s="30"/>
      <c r="O2035" s="30"/>
      <c r="P2035" s="30"/>
    </row>
    <row r="2036">
      <c r="A2036" s="30"/>
      <c r="B2036" s="25" t="s">
        <v>117</v>
      </c>
      <c r="E2036" s="26" t="s">
        <v>110</v>
      </c>
      <c r="F2036" s="18" t="str">
        <f>HYPERLINK("https://www.youtube.com/watch?v=p_8hS6PsT_g",'Players&gt;List'!$B18)</f>
        <v>[HGB]</v>
      </c>
      <c r="G2036" s="30"/>
      <c r="H2036" s="30"/>
      <c r="I2036" s="30"/>
      <c r="J2036" s="30"/>
      <c r="K2036" s="30"/>
      <c r="L2036" s="30"/>
      <c r="M2036" s="30"/>
      <c r="N2036" s="30"/>
      <c r="O2036" s="30"/>
      <c r="P2036" s="30"/>
    </row>
    <row r="2037">
      <c r="A2037" s="30"/>
      <c r="B2037" s="25" t="s">
        <v>88</v>
      </c>
      <c r="E2037" s="26" t="s">
        <v>147</v>
      </c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</row>
    <row r="2038">
      <c r="A2038" s="30"/>
      <c r="B2038" s="25" t="s">
        <v>149</v>
      </c>
      <c r="E2038" s="26" t="s">
        <v>147</v>
      </c>
      <c r="F2038" s="30"/>
      <c r="G2038" s="30"/>
      <c r="H2038" s="30"/>
      <c r="I2038" s="30"/>
      <c r="J2038" s="30"/>
      <c r="K2038" s="30"/>
      <c r="L2038" s="30"/>
      <c r="M2038" s="30"/>
      <c r="N2038" s="30"/>
      <c r="O2038" s="30"/>
      <c r="P2038" s="30"/>
    </row>
    <row r="2039">
      <c r="A2039" s="30"/>
      <c r="B2039" s="24" t="s">
        <v>3871</v>
      </c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30"/>
    </row>
    <row r="2040">
      <c r="A2040" s="30"/>
      <c r="B2040" s="4" t="s">
        <v>3872</v>
      </c>
      <c r="D2040" s="32"/>
      <c r="E2040" s="27" t="s">
        <v>14</v>
      </c>
      <c r="F2040" s="30"/>
      <c r="G2040" s="30"/>
      <c r="H2040" s="30"/>
      <c r="I2040" s="30"/>
      <c r="J2040" s="30"/>
      <c r="K2040" s="30"/>
      <c r="L2040" s="30"/>
      <c r="M2040" s="30"/>
      <c r="N2040" s="30"/>
      <c r="O2040" s="30"/>
      <c r="P2040" s="30"/>
    </row>
    <row r="2041">
      <c r="A2041" s="30"/>
      <c r="B2041" s="25" t="s">
        <v>157</v>
      </c>
      <c r="E2041" s="26" t="s">
        <v>110</v>
      </c>
      <c r="F2041" s="30"/>
      <c r="G2041" s="30"/>
      <c r="H2041" s="30"/>
      <c r="I2041" s="30"/>
      <c r="J2041" s="30"/>
      <c r="K2041" s="30"/>
      <c r="L2041" s="30"/>
      <c r="M2041" s="30"/>
      <c r="N2041" s="30"/>
      <c r="O2041" s="30"/>
      <c r="P2041" s="30"/>
    </row>
    <row r="2042">
      <c r="A2042" s="30"/>
      <c r="B2042" s="25" t="s">
        <v>149</v>
      </c>
      <c r="E2042" s="26" t="s">
        <v>147</v>
      </c>
      <c r="F2042" s="30"/>
      <c r="G2042" s="30"/>
      <c r="H2042" s="30"/>
      <c r="I2042" s="30"/>
      <c r="J2042" s="30"/>
      <c r="K2042" s="30"/>
      <c r="L2042" s="30"/>
      <c r="M2042" s="30"/>
      <c r="N2042" s="30"/>
      <c r="O2042" s="30"/>
      <c r="P2042" s="30"/>
    </row>
    <row r="2043">
      <c r="A2043" s="30"/>
      <c r="B2043" s="24" t="s">
        <v>3875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30"/>
    </row>
    <row r="2044">
      <c r="A2044" s="30"/>
      <c r="B2044" s="4" t="s">
        <v>3877</v>
      </c>
      <c r="D2044" s="32"/>
      <c r="E2044" s="27" t="s">
        <v>14</v>
      </c>
      <c r="F2044" s="30"/>
      <c r="G2044" s="30"/>
      <c r="H2044" s="30"/>
      <c r="I2044" s="30"/>
      <c r="J2044" s="30"/>
      <c r="K2044" s="30"/>
      <c r="L2044" s="30"/>
      <c r="M2044" s="30"/>
      <c r="N2044" s="30"/>
      <c r="O2044" s="30"/>
      <c r="P2044" s="30"/>
    </row>
    <row r="2045">
      <c r="A2045" s="30"/>
      <c r="B2045" s="25" t="s">
        <v>88</v>
      </c>
      <c r="E2045" s="26" t="s">
        <v>90</v>
      </c>
      <c r="F2045" s="18" t="str">
        <f>HYPERLINK("https://youtu.be/AKcEu_HMDpg",'Players&gt;List'!$B19)</f>
        <v>[HIT]</v>
      </c>
      <c r="G2045" s="30"/>
      <c r="H2045" s="30"/>
      <c r="I2045" s="30"/>
      <c r="J2045" s="30"/>
      <c r="K2045" s="30"/>
      <c r="L2045" s="30"/>
      <c r="M2045" s="30"/>
      <c r="N2045" s="30"/>
      <c r="O2045" s="30"/>
      <c r="P2045" s="30"/>
    </row>
    <row r="2046">
      <c r="A2046" s="30"/>
      <c r="B2046" s="24" t="s">
        <v>3880</v>
      </c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30"/>
    </row>
    <row r="2047">
      <c r="A2047" s="30"/>
      <c r="B2047" s="4" t="s">
        <v>3882</v>
      </c>
      <c r="D2047" s="32"/>
      <c r="E2047" s="27" t="s">
        <v>14</v>
      </c>
      <c r="F2047" s="30"/>
      <c r="G2047" s="30"/>
      <c r="H2047" s="30"/>
      <c r="I2047" s="30"/>
      <c r="J2047" s="30"/>
      <c r="K2047" s="30"/>
      <c r="L2047" s="30"/>
      <c r="M2047" s="30"/>
      <c r="N2047" s="30"/>
      <c r="O2047" s="30"/>
      <c r="P2047" s="30"/>
    </row>
    <row r="2048">
      <c r="A2048" s="30"/>
      <c r="B2048" s="25" t="s">
        <v>2557</v>
      </c>
      <c r="E2048" s="26" t="s">
        <v>915</v>
      </c>
      <c r="F2048" s="18" t="str">
        <f>HYPERLINK("https://www.youtube.com/watch?v=D66IRP2Z5qU",'Players&gt;List'!$B18)</f>
        <v>[HGB]</v>
      </c>
      <c r="G2048" s="30"/>
      <c r="H2048" s="30"/>
      <c r="I2048" s="30"/>
      <c r="J2048" s="30"/>
      <c r="K2048" s="30"/>
      <c r="L2048" s="30"/>
      <c r="M2048" s="30"/>
      <c r="N2048" s="30"/>
      <c r="O2048" s="30"/>
      <c r="P2048" s="30"/>
    </row>
    <row r="2049">
      <c r="A2049" s="30"/>
      <c r="B2049" s="25" t="s">
        <v>649</v>
      </c>
      <c r="E2049" s="26" t="s">
        <v>147</v>
      </c>
      <c r="F2049" s="30"/>
      <c r="G2049" s="30"/>
      <c r="H2049" s="30"/>
      <c r="I2049" s="30"/>
      <c r="J2049" s="30"/>
      <c r="K2049" s="30"/>
      <c r="L2049" s="30"/>
      <c r="M2049" s="30"/>
      <c r="N2049" s="30"/>
      <c r="O2049" s="30"/>
      <c r="P2049" s="30"/>
    </row>
    <row r="2050">
      <c r="A2050" s="30"/>
      <c r="B2050" s="25" t="s">
        <v>149</v>
      </c>
      <c r="E2050" s="26" t="s">
        <v>147</v>
      </c>
      <c r="F2050" s="30"/>
      <c r="G2050" s="30"/>
      <c r="H2050" s="30"/>
      <c r="I2050" s="30"/>
      <c r="J2050" s="30"/>
      <c r="K2050" s="30"/>
      <c r="L2050" s="30"/>
      <c r="M2050" s="30"/>
      <c r="N2050" s="30"/>
      <c r="O2050" s="30"/>
      <c r="P2050" s="30"/>
    </row>
    <row r="2051">
      <c r="A2051" s="30"/>
      <c r="B2051" s="25" t="s">
        <v>488</v>
      </c>
      <c r="E2051" s="26" t="s">
        <v>358</v>
      </c>
      <c r="F2051" s="30"/>
      <c r="G2051" s="30"/>
      <c r="H2051" s="30"/>
      <c r="I2051" s="30"/>
      <c r="J2051" s="30"/>
      <c r="K2051" s="30"/>
      <c r="L2051" s="30"/>
      <c r="M2051" s="30"/>
      <c r="N2051" s="30"/>
      <c r="O2051" s="30"/>
      <c r="P2051" s="30"/>
    </row>
    <row r="2052">
      <c r="A2052" s="30"/>
      <c r="B2052" s="25" t="s">
        <v>2401</v>
      </c>
      <c r="E2052" s="26" t="s">
        <v>358</v>
      </c>
      <c r="F2052" s="30"/>
      <c r="G2052" s="30"/>
      <c r="H2052" s="30"/>
      <c r="I2052" s="30"/>
      <c r="J2052" s="30"/>
      <c r="K2052" s="30"/>
      <c r="L2052" s="30"/>
      <c r="M2052" s="30"/>
      <c r="N2052" s="30"/>
      <c r="O2052" s="30"/>
      <c r="P2052" s="30"/>
    </row>
    <row r="2053">
      <c r="A2053" s="30"/>
      <c r="B2053" s="25" t="s">
        <v>502</v>
      </c>
      <c r="E2053" s="26" t="s">
        <v>358</v>
      </c>
      <c r="F2053" s="18" t="str">
        <f>HYPERLINK("https://www.youtube.com/watch?v=NWIL9wqANhQ",'Players&gt;List'!$B18)</f>
        <v>[HGB]</v>
      </c>
      <c r="G2053" s="18" t="str">
        <f>HYPERLINK("https://www.youtube.com/watch?v=EaohflJOdzU&amp;t=0s",'Players&gt;List'!$B23)</f>
        <v>[MOL]</v>
      </c>
      <c r="H2053" s="30"/>
      <c r="I2053" s="30"/>
      <c r="J2053" s="30"/>
      <c r="K2053" s="30"/>
      <c r="L2053" s="30"/>
      <c r="M2053" s="30"/>
      <c r="N2053" s="30"/>
      <c r="O2053" s="30"/>
      <c r="P2053" s="30"/>
    </row>
    <row r="2054">
      <c r="A2054" s="30"/>
      <c r="B2054" s="24" t="s">
        <v>3887</v>
      </c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30"/>
    </row>
    <row r="2055">
      <c r="A2055" s="30"/>
      <c r="B2055" s="4" t="s">
        <v>3888</v>
      </c>
      <c r="D2055" s="32"/>
      <c r="E2055" s="27" t="s">
        <v>14</v>
      </c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</row>
    <row r="2056">
      <c r="A2056" s="30"/>
      <c r="B2056" s="25" t="s">
        <v>668</v>
      </c>
      <c r="E2056" s="26" t="s">
        <v>234</v>
      </c>
      <c r="F2056" s="30"/>
      <c r="G2056" s="30"/>
      <c r="H2056" s="30"/>
      <c r="I2056" s="30"/>
      <c r="J2056" s="30"/>
      <c r="K2056" s="30"/>
      <c r="L2056" s="30"/>
      <c r="M2056" s="30"/>
      <c r="N2056" s="30"/>
      <c r="O2056" s="30"/>
      <c r="P2056" s="30"/>
    </row>
    <row r="2057">
      <c r="A2057" s="30"/>
      <c r="B2057" s="24" t="s">
        <v>3889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30"/>
    </row>
    <row r="2058">
      <c r="A2058" s="30"/>
      <c r="B2058" s="4" t="s">
        <v>3891</v>
      </c>
      <c r="D2058" s="32"/>
      <c r="E2058" s="27" t="s">
        <v>14</v>
      </c>
      <c r="F2058" s="30"/>
      <c r="G2058" s="30"/>
      <c r="H2058" s="30"/>
      <c r="I2058" s="30"/>
      <c r="J2058" s="30"/>
      <c r="K2058" s="30"/>
      <c r="L2058" s="30"/>
      <c r="M2058" s="30"/>
      <c r="N2058" s="30"/>
      <c r="O2058" s="30"/>
      <c r="P2058" s="30"/>
    </row>
    <row r="2059">
      <c r="A2059" s="30"/>
      <c r="B2059" s="25" t="s">
        <v>117</v>
      </c>
      <c r="E2059" s="26" t="s">
        <v>110</v>
      </c>
      <c r="F2059" s="18" t="str">
        <f>HYPERLINK("https://www.youtube.com/watch?v=B6PA0zJeH9A",'Players&gt;List'!$B18)</f>
        <v>[HGB]</v>
      </c>
      <c r="G2059" s="18" t="str">
        <f>HYPERLINK("https://www.twitch.tv/videos/329951625",'Players&gt;List'!$B24)</f>
        <v>[NIM]</v>
      </c>
      <c r="H2059" s="30"/>
      <c r="I2059" s="30"/>
      <c r="J2059" s="30"/>
      <c r="K2059" s="30"/>
      <c r="L2059" s="30"/>
      <c r="M2059" s="30"/>
      <c r="N2059" s="30"/>
      <c r="O2059" s="30"/>
      <c r="P2059" s="30"/>
    </row>
    <row r="2060">
      <c r="A2060" s="30"/>
      <c r="B2060" s="25" t="s">
        <v>157</v>
      </c>
      <c r="E2060" s="26" t="s">
        <v>132</v>
      </c>
      <c r="F2060" s="30"/>
      <c r="G2060" s="30"/>
      <c r="H2060" s="30"/>
      <c r="I2060" s="30"/>
      <c r="J2060" s="30"/>
      <c r="K2060" s="30"/>
      <c r="L2060" s="30"/>
      <c r="M2060" s="30"/>
      <c r="N2060" s="30"/>
      <c r="O2060" s="30"/>
      <c r="P2060" s="30"/>
    </row>
    <row r="2061">
      <c r="A2061" s="30"/>
      <c r="B2061" s="24" t="s">
        <v>3896</v>
      </c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30"/>
    </row>
    <row r="2062">
      <c r="A2062" s="30"/>
      <c r="B2062" s="4" t="s">
        <v>3898</v>
      </c>
      <c r="D2062" s="32"/>
      <c r="E2062" s="27" t="s">
        <v>14</v>
      </c>
      <c r="F2062" s="30"/>
      <c r="G2062" s="30"/>
      <c r="H2062" s="30"/>
      <c r="I2062" s="30"/>
      <c r="J2062" s="30"/>
      <c r="K2062" s="30"/>
      <c r="L2062" s="30"/>
      <c r="M2062" s="30"/>
      <c r="N2062" s="30"/>
      <c r="O2062" s="30"/>
      <c r="P2062" s="30"/>
    </row>
    <row r="2063">
      <c r="A2063" s="30"/>
      <c r="B2063" s="25" t="s">
        <v>131</v>
      </c>
      <c r="E2063" s="26" t="s">
        <v>110</v>
      </c>
      <c r="F2063" s="18" t="str">
        <f>HYPERLINK("https://www.youtube.com/watch?v=NrvM66PbfHs",'Players&gt;List'!$B10)</f>
        <v>[CAM]</v>
      </c>
      <c r="G2063" s="18" t="str">
        <f>HYPERLINK("https://www.youtube.com/watch?v=C86f7zHM1wM",'Players&gt;List'!$B19)</f>
        <v>[HIT]</v>
      </c>
      <c r="H2063" s="18" t="str">
        <f>HYPERLINK("https://www.youtube.com/watch?v=-4oySE2uTtQ",'Players&gt;List'!$B8)</f>
        <v>[ABA]</v>
      </c>
      <c r="I2063" s="18" t="str">
        <f>HYPERLINK("https://www.youtube.com/watch?v=P3bXaCJjRlQ",'Players&gt;List'!$B28)</f>
        <v>[SUN]</v>
      </c>
      <c r="J2063" s="30"/>
      <c r="K2063" s="30"/>
      <c r="L2063" s="30"/>
      <c r="M2063" s="30"/>
      <c r="N2063" s="30"/>
      <c r="O2063" s="30"/>
      <c r="P2063" s="30"/>
    </row>
    <row r="2064">
      <c r="A2064" s="30"/>
      <c r="B2064" s="25" t="s">
        <v>108</v>
      </c>
      <c r="E2064" s="26" t="s">
        <v>132</v>
      </c>
      <c r="F2064" s="18" t="str">
        <f>HYPERLINK("https://www.youtube.com/watch?v=PMFBN2uiNlw",'Players&gt;List'!$B28)</f>
        <v>[SUN]</v>
      </c>
      <c r="G2064" s="30"/>
      <c r="H2064" s="30"/>
      <c r="I2064" s="30"/>
      <c r="J2064" s="30"/>
      <c r="K2064" s="30"/>
      <c r="L2064" s="30"/>
      <c r="M2064" s="30"/>
      <c r="N2064" s="30"/>
      <c r="O2064" s="30"/>
      <c r="P2064" s="30"/>
    </row>
    <row r="2065">
      <c r="A2065" s="30"/>
      <c r="B2065" s="24" t="s">
        <v>3902</v>
      </c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30"/>
    </row>
    <row r="2066">
      <c r="A2066" s="30"/>
      <c r="B2066" s="4" t="s">
        <v>3905</v>
      </c>
      <c r="D2066" s="32"/>
      <c r="E2066" s="27" t="s">
        <v>14</v>
      </c>
      <c r="F2066" s="30"/>
      <c r="G2066" s="30"/>
      <c r="H2066" s="30"/>
      <c r="I2066" s="30"/>
      <c r="J2066" s="30"/>
      <c r="K2066" s="30"/>
      <c r="L2066" s="30"/>
      <c r="M2066" s="30"/>
      <c r="N2066" s="30"/>
      <c r="O2066" s="30"/>
      <c r="P2066" s="30"/>
    </row>
    <row r="2067">
      <c r="A2067" s="30"/>
      <c r="B2067" s="25" t="s">
        <v>1951</v>
      </c>
      <c r="E2067" s="26" t="s">
        <v>234</v>
      </c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</row>
    <row r="2068">
      <c r="A2068" s="30"/>
      <c r="B2068" s="25" t="s">
        <v>117</v>
      </c>
      <c r="E2068" s="26" t="s">
        <v>132</v>
      </c>
      <c r="F2068" s="30"/>
      <c r="G2068" s="30"/>
      <c r="H2068" s="30"/>
      <c r="I2068" s="30"/>
      <c r="J2068" s="30"/>
      <c r="K2068" s="30"/>
      <c r="L2068" s="30"/>
      <c r="M2068" s="30"/>
      <c r="N2068" s="30"/>
      <c r="O2068" s="30"/>
      <c r="P2068" s="30"/>
    </row>
    <row r="2069">
      <c r="A2069" s="30"/>
      <c r="B2069" s="24" t="s">
        <v>3907</v>
      </c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30"/>
    </row>
    <row r="2070">
      <c r="A2070" s="30"/>
      <c r="B2070" s="4" t="s">
        <v>3909</v>
      </c>
      <c r="D2070" s="32"/>
      <c r="E2070" s="27" t="s">
        <v>14</v>
      </c>
      <c r="F2070" s="30"/>
      <c r="G2070" s="30"/>
      <c r="H2070" s="30"/>
      <c r="I2070" s="30"/>
      <c r="J2070" s="30"/>
      <c r="K2070" s="30"/>
      <c r="L2070" s="30"/>
      <c r="M2070" s="30"/>
      <c r="N2070" s="30"/>
      <c r="O2070" s="30"/>
      <c r="P2070" s="30"/>
    </row>
    <row r="2071">
      <c r="A2071" s="30"/>
      <c r="B2071" s="25" t="s">
        <v>131</v>
      </c>
      <c r="E2071" s="26" t="s">
        <v>110</v>
      </c>
      <c r="F2071" s="30"/>
      <c r="G2071" s="30"/>
      <c r="H2071" s="30"/>
      <c r="I2071" s="30"/>
      <c r="J2071" s="30"/>
      <c r="K2071" s="30"/>
      <c r="L2071" s="30"/>
      <c r="M2071" s="30"/>
      <c r="N2071" s="30"/>
      <c r="O2071" s="30"/>
      <c r="P2071" s="30"/>
    </row>
    <row r="2072">
      <c r="A2072" s="30"/>
      <c r="B2072" s="25" t="s">
        <v>157</v>
      </c>
      <c r="E2072" s="26" t="s">
        <v>132</v>
      </c>
      <c r="F2072" s="30"/>
      <c r="G2072" s="30"/>
      <c r="H2072" s="30"/>
      <c r="I2072" s="30"/>
      <c r="J2072" s="30"/>
      <c r="K2072" s="30"/>
      <c r="L2072" s="30"/>
      <c r="M2072" s="30"/>
      <c r="N2072" s="30"/>
      <c r="O2072" s="30"/>
      <c r="P2072" s="30"/>
    </row>
    <row r="2073">
      <c r="A2073" s="30"/>
      <c r="B2073" s="24" t="s">
        <v>3911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30"/>
    </row>
    <row r="2074">
      <c r="A2074" s="30"/>
      <c r="B2074" s="4" t="s">
        <v>3912</v>
      </c>
      <c r="D2074" s="32"/>
      <c r="E2074" s="27" t="s">
        <v>14</v>
      </c>
      <c r="F2074" s="30"/>
      <c r="G2074" s="30"/>
      <c r="H2074" s="30"/>
      <c r="I2074" s="30"/>
      <c r="J2074" s="30"/>
      <c r="K2074" s="30"/>
      <c r="L2074" s="30"/>
      <c r="M2074" s="30"/>
      <c r="N2074" s="30"/>
      <c r="O2074" s="30"/>
      <c r="P2074" s="30"/>
    </row>
    <row r="2075">
      <c r="A2075" s="30"/>
      <c r="B2075" s="25" t="s">
        <v>117</v>
      </c>
      <c r="E2075" s="26" t="s">
        <v>110</v>
      </c>
      <c r="F2075" s="18" t="str">
        <f>HYPERLINK("https://www.youtube.com/watch?v=HfDtwmiwzLQ",'Players&gt;List'!$B18)</f>
        <v>[HGB]</v>
      </c>
      <c r="G2075" s="18" t="str">
        <f>HYPERLINK("https://www.twitch.tv/videos/329880489",'Players&gt;List'!$B24)</f>
        <v>[NIM]</v>
      </c>
      <c r="H2075" s="30"/>
      <c r="I2075" s="30"/>
      <c r="J2075" s="30"/>
      <c r="K2075" s="30"/>
      <c r="L2075" s="30"/>
      <c r="M2075" s="30"/>
      <c r="N2075" s="30"/>
      <c r="O2075" s="30"/>
      <c r="P2075" s="30"/>
    </row>
    <row r="2076">
      <c r="A2076" s="30"/>
      <c r="B2076" s="25" t="s">
        <v>149</v>
      </c>
      <c r="E2076" s="26" t="s">
        <v>147</v>
      </c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</row>
    <row r="2077">
      <c r="A2077" s="30"/>
      <c r="B2077" s="25" t="s">
        <v>157</v>
      </c>
      <c r="E2077" s="26" t="s">
        <v>132</v>
      </c>
      <c r="F2077" s="30"/>
      <c r="G2077" s="30"/>
      <c r="H2077" s="30"/>
      <c r="I2077" s="30"/>
      <c r="J2077" s="30"/>
      <c r="K2077" s="30"/>
      <c r="L2077" s="30"/>
      <c r="M2077" s="30"/>
      <c r="N2077" s="30"/>
      <c r="O2077" s="30"/>
      <c r="P2077" s="30"/>
    </row>
    <row r="2078">
      <c r="A2078" s="30"/>
      <c r="B2078" s="24" t="s">
        <v>3915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30"/>
    </row>
    <row r="2079">
      <c r="A2079" s="30"/>
      <c r="B2079" s="4" t="s">
        <v>3917</v>
      </c>
      <c r="D2079" s="32"/>
      <c r="E2079" s="27" t="s">
        <v>14</v>
      </c>
      <c r="F2079" s="30"/>
      <c r="G2079" s="30"/>
      <c r="H2079" s="30"/>
      <c r="I2079" s="30"/>
      <c r="J2079" s="30"/>
      <c r="K2079" s="30"/>
      <c r="L2079" s="30"/>
      <c r="M2079" s="30"/>
      <c r="N2079" s="30"/>
      <c r="O2079" s="30"/>
      <c r="P2079" s="30"/>
    </row>
    <row r="2080">
      <c r="A2080" s="30"/>
      <c r="B2080" s="25" t="s">
        <v>117</v>
      </c>
      <c r="E2080" s="26" t="s">
        <v>110</v>
      </c>
      <c r="F2080" s="18" t="str">
        <f>HYPERLINK("https://www.youtube.com/watch?v=ZceNY-ySV3s",'Players&gt;List'!$B18)</f>
        <v>[HGB]</v>
      </c>
      <c r="G2080" s="18" t="str">
        <f>HYPERLINK("https://www.twitch.tv/videos/329880490",'Players&gt;List'!$B24)</f>
        <v>[NIM]</v>
      </c>
      <c r="H2080" s="30"/>
      <c r="I2080" s="30"/>
      <c r="J2080" s="30"/>
      <c r="K2080" s="30"/>
      <c r="L2080" s="30"/>
      <c r="M2080" s="30"/>
      <c r="N2080" s="30"/>
      <c r="O2080" s="30"/>
      <c r="P2080" s="30"/>
    </row>
    <row r="2081">
      <c r="A2081" s="30"/>
      <c r="B2081" s="24" t="s">
        <v>3919</v>
      </c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30"/>
    </row>
    <row r="2082">
      <c r="A2082" s="30"/>
      <c r="B2082" s="4" t="s">
        <v>3920</v>
      </c>
      <c r="D2082" s="32"/>
      <c r="E2082" s="27" t="s">
        <v>14</v>
      </c>
      <c r="F2082" s="30"/>
      <c r="G2082" s="30"/>
      <c r="H2082" s="30"/>
      <c r="I2082" s="30"/>
      <c r="J2082" s="30"/>
      <c r="K2082" s="30"/>
      <c r="L2082" s="30"/>
      <c r="M2082" s="30"/>
      <c r="N2082" s="30"/>
      <c r="O2082" s="30"/>
      <c r="P2082" s="30"/>
    </row>
    <row r="2083">
      <c r="A2083" s="30"/>
      <c r="B2083" s="25" t="s">
        <v>1147</v>
      </c>
      <c r="E2083" s="26" t="s">
        <v>110</v>
      </c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</row>
    <row r="2084">
      <c r="A2084" s="30"/>
      <c r="B2084" s="24" t="s">
        <v>3922</v>
      </c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30"/>
    </row>
    <row r="2085">
      <c r="A2085" s="30"/>
      <c r="B2085" s="4" t="s">
        <v>3924</v>
      </c>
      <c r="D2085" s="32"/>
      <c r="E2085" s="27" t="s">
        <v>14</v>
      </c>
      <c r="F2085" s="30"/>
      <c r="G2085" s="30"/>
      <c r="H2085" s="30"/>
      <c r="I2085" s="30"/>
      <c r="J2085" s="30"/>
      <c r="K2085" s="30"/>
      <c r="L2085" s="30"/>
      <c r="M2085" s="30"/>
      <c r="N2085" s="30"/>
      <c r="O2085" s="30"/>
      <c r="P2085" s="30"/>
    </row>
    <row r="2086">
      <c r="A2086" s="30"/>
      <c r="B2086" s="25" t="s">
        <v>108</v>
      </c>
      <c r="E2086" s="26" t="s">
        <v>110</v>
      </c>
      <c r="F2086" s="18" t="str">
        <f>HYPERLINK("https://www.youtube.com/watch?v=lUairQyrVyY",'Players&gt;List'!$B18)</f>
        <v>[HGB]</v>
      </c>
      <c r="G2086" s="30"/>
      <c r="H2086" s="30"/>
      <c r="I2086" s="30"/>
      <c r="J2086" s="30"/>
      <c r="K2086" s="30"/>
      <c r="L2086" s="30"/>
      <c r="M2086" s="30"/>
      <c r="N2086" s="30"/>
      <c r="O2086" s="30"/>
      <c r="P2086" s="30"/>
    </row>
    <row r="2087">
      <c r="A2087" s="30"/>
      <c r="B2087" s="25" t="s">
        <v>131</v>
      </c>
      <c r="E2087" s="26" t="s">
        <v>132</v>
      </c>
      <c r="F2087" s="18" t="str">
        <f>HYPERLINK("https://www.youtube.com/watch?v=BYIsa-YDWyc",'Players&gt;List'!$B18)</f>
        <v>[HGB]</v>
      </c>
      <c r="G2087" s="18" t="str">
        <f>HYPERLINK("https://www.youtube.com/watch?v=oCBjrDz6n34",'Players&gt;List'!$B25)</f>
        <v>[PBR]</v>
      </c>
      <c r="H2087" s="30"/>
      <c r="I2087" s="30"/>
      <c r="J2087" s="30"/>
      <c r="K2087" s="30"/>
      <c r="L2087" s="30"/>
      <c r="M2087" s="30"/>
      <c r="N2087" s="30"/>
      <c r="O2087" s="30"/>
      <c r="P2087" s="30"/>
    </row>
    <row r="2088">
      <c r="A2088" s="30"/>
      <c r="B2088" s="24" t="s">
        <v>3929</v>
      </c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30"/>
    </row>
    <row r="2089">
      <c r="A2089" s="30"/>
      <c r="B2089" s="4" t="s">
        <v>3930</v>
      </c>
      <c r="D2089" s="32"/>
      <c r="E2089" s="27" t="s">
        <v>14</v>
      </c>
      <c r="F2089" s="30"/>
      <c r="G2089" s="30"/>
      <c r="H2089" s="30"/>
      <c r="I2089" s="30"/>
      <c r="J2089" s="30"/>
      <c r="K2089" s="30"/>
      <c r="L2089" s="30"/>
      <c r="M2089" s="30"/>
      <c r="N2089" s="30"/>
      <c r="O2089" s="30"/>
      <c r="P2089" s="30"/>
    </row>
    <row r="2090">
      <c r="A2090" s="30"/>
      <c r="B2090" s="25" t="s">
        <v>131</v>
      </c>
      <c r="E2090" s="26" t="s">
        <v>110</v>
      </c>
      <c r="F2090" s="18" t="str">
        <f>HYPERLINK("https://www.youtube.com/watch?v=Rq3nj5zHCoU",'Players&gt;List'!$B18)</f>
        <v>[HGB]</v>
      </c>
      <c r="G2090" s="30"/>
      <c r="H2090" s="30"/>
      <c r="I2090" s="30"/>
      <c r="J2090" s="30"/>
      <c r="K2090" s="30"/>
      <c r="L2090" s="30"/>
      <c r="M2090" s="30"/>
      <c r="N2090" s="30"/>
      <c r="O2090" s="30"/>
      <c r="P2090" s="30"/>
    </row>
    <row r="2091">
      <c r="A2091" s="30"/>
      <c r="B2091" s="25" t="s">
        <v>149</v>
      </c>
      <c r="E2091" s="26" t="s">
        <v>147</v>
      </c>
      <c r="F2091" s="30"/>
      <c r="G2091" s="30"/>
      <c r="H2091" s="30"/>
      <c r="I2091" s="30"/>
      <c r="J2091" s="30"/>
      <c r="K2091" s="30"/>
      <c r="L2091" s="30"/>
      <c r="M2091" s="30"/>
      <c r="N2091" s="30"/>
      <c r="O2091" s="30"/>
      <c r="P2091" s="30"/>
    </row>
    <row r="2092">
      <c r="A2092" s="30"/>
      <c r="B2092" s="25" t="s">
        <v>197</v>
      </c>
      <c r="E2092" s="26" t="s">
        <v>147</v>
      </c>
      <c r="F2092" s="30"/>
      <c r="G2092" s="30"/>
      <c r="H2092" s="30"/>
      <c r="I2092" s="30"/>
      <c r="J2092" s="30"/>
      <c r="K2092" s="30"/>
      <c r="L2092" s="30"/>
      <c r="M2092" s="30"/>
      <c r="N2092" s="30"/>
      <c r="O2092" s="30"/>
      <c r="P2092" s="30"/>
    </row>
    <row r="2093">
      <c r="A2093" s="30"/>
      <c r="B2093" s="25" t="s">
        <v>157</v>
      </c>
      <c r="E2093" s="26" t="s">
        <v>132</v>
      </c>
      <c r="F2093" s="30"/>
      <c r="G2093" s="30"/>
      <c r="H2093" s="30"/>
      <c r="I2093" s="30"/>
      <c r="J2093" s="30"/>
      <c r="K2093" s="30"/>
      <c r="L2093" s="30"/>
      <c r="M2093" s="30"/>
      <c r="N2093" s="30"/>
      <c r="O2093" s="30"/>
      <c r="P2093" s="30"/>
    </row>
    <row r="2094">
      <c r="A2094" s="30"/>
      <c r="B2094" s="25" t="s">
        <v>108</v>
      </c>
      <c r="E2094" s="26" t="s">
        <v>132</v>
      </c>
      <c r="F2094" s="30"/>
      <c r="G2094" s="30"/>
      <c r="H2094" s="30"/>
      <c r="I2094" s="30"/>
      <c r="J2094" s="30"/>
      <c r="K2094" s="30"/>
      <c r="L2094" s="30"/>
      <c r="M2094" s="30"/>
      <c r="N2094" s="30"/>
      <c r="O2094" s="30"/>
      <c r="P2094" s="30"/>
    </row>
    <row r="2095">
      <c r="A2095" s="30"/>
      <c r="B2095" s="24" t="s">
        <v>3935</v>
      </c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30"/>
    </row>
    <row r="2096">
      <c r="A2096" s="30"/>
      <c r="B2096" s="4" t="s">
        <v>3937</v>
      </c>
      <c r="D2096" s="32"/>
      <c r="E2096" s="27" t="s">
        <v>14</v>
      </c>
      <c r="F2096" s="30"/>
      <c r="G2096" s="30"/>
      <c r="H2096" s="30"/>
      <c r="I2096" s="30"/>
      <c r="J2096" s="30"/>
      <c r="K2096" s="30"/>
      <c r="L2096" s="30"/>
      <c r="M2096" s="30"/>
      <c r="N2096" s="30"/>
      <c r="O2096" s="30"/>
      <c r="P2096" s="30"/>
    </row>
    <row r="2097">
      <c r="A2097" s="30"/>
      <c r="B2097" s="25" t="s">
        <v>88</v>
      </c>
      <c r="E2097" s="26" t="s">
        <v>90</v>
      </c>
      <c r="F2097" s="30"/>
      <c r="G2097" s="30"/>
      <c r="H2097" s="30"/>
      <c r="I2097" s="30"/>
      <c r="J2097" s="30"/>
      <c r="K2097" s="30"/>
      <c r="L2097" s="30"/>
      <c r="M2097" s="30"/>
      <c r="N2097" s="30"/>
      <c r="O2097" s="30"/>
      <c r="P2097" s="30"/>
    </row>
    <row r="2098">
      <c r="A2098" s="30"/>
      <c r="B2098" s="24" t="s">
        <v>3941</v>
      </c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30"/>
    </row>
    <row r="2099">
      <c r="A2099" s="30"/>
      <c r="B2099" s="4" t="s">
        <v>3942</v>
      </c>
      <c r="D2099" s="32"/>
      <c r="E2099" s="27" t="s">
        <v>14</v>
      </c>
      <c r="F2099" s="30"/>
      <c r="G2099" s="30"/>
      <c r="H2099" s="30"/>
      <c r="I2099" s="30"/>
      <c r="J2099" s="30"/>
      <c r="K2099" s="30"/>
      <c r="L2099" s="30"/>
      <c r="M2099" s="30"/>
      <c r="N2099" s="30"/>
      <c r="O2099" s="30"/>
      <c r="P2099" s="30"/>
    </row>
    <row r="2100">
      <c r="A2100" s="30"/>
      <c r="B2100" s="25" t="s">
        <v>108</v>
      </c>
      <c r="E2100" s="26" t="s">
        <v>110</v>
      </c>
      <c r="F2100" s="30"/>
      <c r="G2100" s="30"/>
      <c r="H2100" s="30"/>
      <c r="I2100" s="30"/>
      <c r="J2100" s="30"/>
      <c r="K2100" s="30"/>
      <c r="L2100" s="30"/>
      <c r="M2100" s="30"/>
      <c r="N2100" s="30"/>
      <c r="O2100" s="30"/>
      <c r="P2100" s="30"/>
    </row>
    <row r="2101">
      <c r="A2101" s="30"/>
      <c r="B2101" s="25" t="s">
        <v>131</v>
      </c>
      <c r="E2101" s="26" t="s">
        <v>132</v>
      </c>
      <c r="F2101" s="30"/>
      <c r="G2101" s="30"/>
      <c r="H2101" s="30"/>
      <c r="I2101" s="30"/>
      <c r="J2101" s="30"/>
      <c r="K2101" s="30"/>
      <c r="L2101" s="30"/>
      <c r="M2101" s="30"/>
      <c r="N2101" s="30"/>
      <c r="O2101" s="30"/>
      <c r="P2101" s="30"/>
    </row>
    <row r="2102">
      <c r="A2102" s="30"/>
      <c r="B2102" s="25" t="s">
        <v>157</v>
      </c>
      <c r="E2102" s="26" t="s">
        <v>132</v>
      </c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</row>
    <row r="2103">
      <c r="A2103" s="30"/>
      <c r="B2103" s="25" t="s">
        <v>117</v>
      </c>
      <c r="E2103" s="26" t="s">
        <v>132</v>
      </c>
      <c r="F2103" s="30"/>
      <c r="G2103" s="30"/>
      <c r="H2103" s="30"/>
      <c r="I2103" s="30"/>
      <c r="J2103" s="30"/>
      <c r="K2103" s="30"/>
      <c r="L2103" s="30"/>
      <c r="M2103" s="30"/>
      <c r="N2103" s="30"/>
      <c r="O2103" s="30"/>
      <c r="P2103" s="30"/>
    </row>
    <row r="2104">
      <c r="A2104" s="30"/>
      <c r="B2104" s="24" t="s">
        <v>3945</v>
      </c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30"/>
    </row>
    <row r="2105">
      <c r="A2105" s="30"/>
      <c r="B2105" s="4" t="s">
        <v>3946</v>
      </c>
      <c r="D2105" s="32"/>
      <c r="E2105" s="27" t="s">
        <v>14</v>
      </c>
      <c r="F2105" s="30"/>
      <c r="G2105" s="30"/>
      <c r="H2105" s="30"/>
      <c r="I2105" s="30"/>
      <c r="J2105" s="30"/>
      <c r="K2105" s="30"/>
      <c r="L2105" s="30"/>
      <c r="M2105" s="30"/>
      <c r="N2105" s="30"/>
      <c r="O2105" s="30"/>
      <c r="P2105" s="30"/>
    </row>
    <row r="2106">
      <c r="A2106" s="30"/>
      <c r="B2106" s="25" t="s">
        <v>131</v>
      </c>
      <c r="E2106" s="26" t="s">
        <v>110</v>
      </c>
      <c r="F2106" s="30"/>
      <c r="G2106" s="30"/>
      <c r="H2106" s="30"/>
      <c r="I2106" s="30"/>
      <c r="J2106" s="30"/>
      <c r="K2106" s="30"/>
      <c r="L2106" s="30"/>
      <c r="M2106" s="30"/>
      <c r="N2106" s="30"/>
      <c r="O2106" s="30"/>
      <c r="P2106" s="30"/>
    </row>
    <row r="2107">
      <c r="A2107" s="30"/>
      <c r="B2107" s="25" t="s">
        <v>108</v>
      </c>
      <c r="E2107" s="26" t="s">
        <v>132</v>
      </c>
      <c r="F2107" s="30"/>
      <c r="G2107" s="30"/>
      <c r="H2107" s="30"/>
      <c r="I2107" s="30"/>
      <c r="J2107" s="30"/>
      <c r="K2107" s="30"/>
      <c r="L2107" s="30"/>
      <c r="M2107" s="30"/>
      <c r="N2107" s="30"/>
      <c r="O2107" s="30"/>
      <c r="P2107" s="30"/>
    </row>
    <row r="2108">
      <c r="A2108" s="30"/>
      <c r="B2108" s="25" t="s">
        <v>157</v>
      </c>
      <c r="E2108" s="26" t="s">
        <v>132</v>
      </c>
      <c r="F2108" s="30"/>
      <c r="G2108" s="30"/>
      <c r="H2108" s="30"/>
      <c r="I2108" s="30"/>
      <c r="J2108" s="30"/>
      <c r="K2108" s="30"/>
      <c r="L2108" s="30"/>
      <c r="M2108" s="30"/>
      <c r="N2108" s="30"/>
      <c r="O2108" s="30"/>
      <c r="P2108" s="30"/>
    </row>
    <row r="2109">
      <c r="A2109" s="30"/>
      <c r="B2109" s="24" t="s">
        <v>3948</v>
      </c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30"/>
    </row>
    <row r="2110">
      <c r="A2110" s="30"/>
      <c r="B2110" s="4" t="s">
        <v>3951</v>
      </c>
      <c r="D2110" s="32"/>
      <c r="E2110" s="27" t="s">
        <v>14</v>
      </c>
      <c r="F2110" s="30"/>
      <c r="G2110" s="30"/>
      <c r="H2110" s="30"/>
      <c r="I2110" s="30"/>
      <c r="J2110" s="30"/>
      <c r="K2110" s="30"/>
      <c r="L2110" s="30"/>
      <c r="M2110" s="30"/>
      <c r="N2110" s="30"/>
      <c r="O2110" s="30"/>
      <c r="P2110" s="30"/>
    </row>
    <row r="2111">
      <c r="A2111" s="30"/>
      <c r="B2111" s="25" t="s">
        <v>149</v>
      </c>
      <c r="E2111" s="26" t="s">
        <v>90</v>
      </c>
      <c r="F2111" s="18" t="str">
        <f>HYPERLINK("https://www.youtube.com/watch?v=F68sTpOjOXc",'Players&gt;List'!$B18)</f>
        <v>[HGB]</v>
      </c>
      <c r="G2111" s="30"/>
      <c r="H2111" s="30"/>
      <c r="I2111" s="30"/>
      <c r="J2111" s="30"/>
      <c r="K2111" s="30"/>
      <c r="L2111" s="30"/>
      <c r="M2111" s="30"/>
      <c r="N2111" s="30"/>
      <c r="O2111" s="30"/>
      <c r="P2111" s="30"/>
    </row>
    <row r="2112">
      <c r="A2112" s="30"/>
      <c r="B2112" s="24" t="s">
        <v>3953</v>
      </c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30"/>
    </row>
    <row r="2113">
      <c r="A2113" s="30"/>
      <c r="B2113" s="4" t="s">
        <v>3954</v>
      </c>
      <c r="D2113" s="32"/>
      <c r="E2113" s="27" t="s">
        <v>14</v>
      </c>
      <c r="F2113" s="30"/>
      <c r="G2113" s="30"/>
      <c r="H2113" s="30"/>
      <c r="I2113" s="30"/>
      <c r="J2113" s="30"/>
      <c r="K2113" s="30"/>
      <c r="L2113" s="30"/>
      <c r="M2113" s="30"/>
      <c r="N2113" s="30"/>
      <c r="O2113" s="30"/>
      <c r="P2113" s="30"/>
    </row>
    <row r="2114">
      <c r="A2114" s="30"/>
      <c r="B2114" s="25" t="s">
        <v>149</v>
      </c>
      <c r="E2114" s="26" t="s">
        <v>90</v>
      </c>
      <c r="F2114" s="18" t="str">
        <f>HYPERLINK("https://www.youtube.com/watch?v=BnCdrc62ZBk",'Players&gt;List'!$B18)</f>
        <v>[HGB]</v>
      </c>
      <c r="G2114" s="18" t="str">
        <f>HYPERLINK("https://www.twitch.tv/videos/280160281",'Players&gt;List'!$B24)</f>
        <v>[NIM]</v>
      </c>
      <c r="H2114" s="30"/>
      <c r="I2114" s="30"/>
      <c r="J2114" s="30"/>
      <c r="K2114" s="30"/>
      <c r="L2114" s="30"/>
      <c r="M2114" s="30"/>
      <c r="N2114" s="30"/>
      <c r="O2114" s="30"/>
      <c r="P2114" s="30"/>
    </row>
    <row r="2115">
      <c r="A2115" s="30"/>
      <c r="B2115" s="25" t="s">
        <v>157</v>
      </c>
      <c r="E2115" s="26" t="s">
        <v>132</v>
      </c>
      <c r="F2115" s="30"/>
      <c r="G2115" s="30"/>
      <c r="H2115" s="30"/>
      <c r="I2115" s="30"/>
      <c r="J2115" s="30"/>
      <c r="K2115" s="30"/>
      <c r="L2115" s="30"/>
      <c r="M2115" s="30"/>
      <c r="N2115" s="30"/>
      <c r="O2115" s="30"/>
      <c r="P2115" s="30"/>
    </row>
    <row r="2116">
      <c r="A2116" s="30"/>
      <c r="B2116" s="24" t="s">
        <v>3957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30"/>
    </row>
    <row r="2117">
      <c r="A2117" s="30"/>
      <c r="B2117" s="4" t="s">
        <v>3958</v>
      </c>
      <c r="D2117" s="32"/>
      <c r="E2117" s="27" t="s">
        <v>14</v>
      </c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</row>
    <row r="2118">
      <c r="A2118" s="30"/>
      <c r="B2118" s="25" t="s">
        <v>108</v>
      </c>
      <c r="E2118" s="26" t="s">
        <v>110</v>
      </c>
      <c r="F2118" s="30"/>
      <c r="G2118" s="30"/>
      <c r="H2118" s="30"/>
      <c r="I2118" s="30"/>
      <c r="J2118" s="30"/>
      <c r="K2118" s="30"/>
      <c r="L2118" s="30"/>
      <c r="M2118" s="30"/>
      <c r="N2118" s="30"/>
      <c r="O2118" s="30"/>
      <c r="P2118" s="30"/>
    </row>
    <row r="2119">
      <c r="A2119" s="30"/>
      <c r="B2119" s="25" t="s">
        <v>117</v>
      </c>
      <c r="E2119" s="26" t="s">
        <v>132</v>
      </c>
      <c r="F2119" s="30"/>
      <c r="G2119" s="30"/>
      <c r="H2119" s="30"/>
      <c r="I2119" s="30"/>
      <c r="J2119" s="30"/>
      <c r="K2119" s="30"/>
      <c r="L2119" s="30"/>
      <c r="M2119" s="30"/>
      <c r="N2119" s="30"/>
      <c r="O2119" s="30"/>
      <c r="P2119" s="30"/>
    </row>
    <row r="2120">
      <c r="A2120" s="30"/>
      <c r="B2120" s="25" t="s">
        <v>131</v>
      </c>
      <c r="E2120" s="26" t="s">
        <v>132</v>
      </c>
      <c r="F2120" s="30"/>
      <c r="G2120" s="30"/>
      <c r="H2120" s="30"/>
      <c r="I2120" s="30"/>
      <c r="J2120" s="30"/>
      <c r="K2120" s="30"/>
      <c r="L2120" s="30"/>
      <c r="M2120" s="30"/>
      <c r="N2120" s="30"/>
      <c r="O2120" s="30"/>
      <c r="P2120" s="30"/>
    </row>
    <row r="2121">
      <c r="A2121" s="30"/>
      <c r="B2121" s="25" t="s">
        <v>157</v>
      </c>
      <c r="E2121" s="26" t="s">
        <v>132</v>
      </c>
      <c r="F2121" s="30"/>
      <c r="G2121" s="30"/>
      <c r="H2121" s="30"/>
      <c r="I2121" s="30"/>
      <c r="J2121" s="30"/>
      <c r="K2121" s="30"/>
      <c r="L2121" s="30"/>
      <c r="M2121" s="30"/>
      <c r="N2121" s="30"/>
      <c r="O2121" s="30"/>
      <c r="P2121" s="30"/>
    </row>
    <row r="2122">
      <c r="A2122" s="30"/>
      <c r="B2122" s="24" t="s">
        <v>3960</v>
      </c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30"/>
    </row>
    <row r="2123">
      <c r="A2123" s="30"/>
      <c r="B2123" s="4" t="s">
        <v>3963</v>
      </c>
      <c r="D2123" s="32"/>
      <c r="E2123" s="27" t="s">
        <v>14</v>
      </c>
      <c r="F2123" s="30"/>
      <c r="G2123" s="30"/>
      <c r="H2123" s="30"/>
      <c r="I2123" s="30"/>
      <c r="J2123" s="30"/>
      <c r="K2123" s="30"/>
      <c r="L2123" s="30"/>
      <c r="M2123" s="30"/>
      <c r="N2123" s="30"/>
      <c r="O2123" s="30"/>
      <c r="P2123" s="30"/>
    </row>
    <row r="2124">
      <c r="A2124" s="30"/>
      <c r="B2124" s="25" t="s">
        <v>131</v>
      </c>
      <c r="E2124" s="26" t="s">
        <v>110</v>
      </c>
      <c r="F2124" s="18" t="str">
        <f>HYPERLINK("https://www.youtube.com/watch?v=Kdz75AIJxEY",'Players&gt;List'!$B18)</f>
        <v>[HGB]</v>
      </c>
      <c r="G2124" s="30"/>
      <c r="H2124" s="30"/>
      <c r="I2124" s="30"/>
      <c r="J2124" s="30"/>
      <c r="K2124" s="30"/>
      <c r="L2124" s="30"/>
      <c r="M2124" s="30"/>
      <c r="N2124" s="30"/>
      <c r="O2124" s="30"/>
      <c r="P2124" s="30"/>
    </row>
    <row r="2125">
      <c r="A2125" s="30"/>
      <c r="B2125" s="25" t="s">
        <v>157</v>
      </c>
      <c r="E2125" s="26" t="s">
        <v>132</v>
      </c>
      <c r="F2125" s="18" t="str">
        <f>HYPERLINK("https://www.twitch.tv/videos/392177759?collection=oQVne6T1iRWqEw",'Players&gt;List'!$B30)</f>
        <v>[TST]</v>
      </c>
      <c r="G2125" s="30"/>
      <c r="H2125" s="30"/>
      <c r="I2125" s="30"/>
      <c r="J2125" s="30"/>
      <c r="K2125" s="30"/>
      <c r="L2125" s="30"/>
      <c r="M2125" s="30"/>
      <c r="N2125" s="30"/>
      <c r="O2125" s="30"/>
      <c r="P2125" s="30"/>
    </row>
    <row r="2126">
      <c r="A2126" s="30"/>
      <c r="B2126" s="25" t="s">
        <v>117</v>
      </c>
      <c r="E2126" s="26" t="s">
        <v>132</v>
      </c>
      <c r="F2126" s="30"/>
      <c r="G2126" s="30"/>
      <c r="H2126" s="30"/>
      <c r="I2126" s="30"/>
      <c r="J2126" s="30"/>
      <c r="K2126" s="30"/>
      <c r="L2126" s="30"/>
      <c r="M2126" s="30"/>
      <c r="N2126" s="30"/>
      <c r="O2126" s="30"/>
      <c r="P2126" s="30"/>
    </row>
    <row r="2127">
      <c r="A2127" s="30"/>
      <c r="B2127" s="25" t="s">
        <v>356</v>
      </c>
      <c r="E2127" s="26" t="s">
        <v>358</v>
      </c>
      <c r="F2127" s="18" t="str">
        <f>HYPERLINK("https://www.twitch.tv/videos/392176633?collection=oQVne6T1iRWqEw",'Players&gt;List'!$B30)</f>
        <v>[TST]</v>
      </c>
      <c r="G2127" s="30"/>
      <c r="H2127" s="30"/>
      <c r="I2127" s="30"/>
      <c r="J2127" s="30"/>
      <c r="K2127" s="30"/>
      <c r="L2127" s="30"/>
      <c r="M2127" s="30"/>
      <c r="N2127" s="30"/>
      <c r="O2127" s="30"/>
      <c r="P2127" s="30"/>
    </row>
    <row r="2128">
      <c r="A2128" s="30"/>
      <c r="B2128" s="25" t="s">
        <v>1951</v>
      </c>
      <c r="E2128" s="26" t="s">
        <v>358</v>
      </c>
      <c r="F2128" s="18" t="str">
        <f>HYPERLINK("https://www.twitch.tv/videos/392178334?collection=oQVne6T1iRWqEw",'Players&gt;List'!$B30)</f>
        <v>[TST]</v>
      </c>
      <c r="G2128" s="30"/>
      <c r="H2128" s="30"/>
      <c r="I2128" s="30"/>
      <c r="J2128" s="30"/>
      <c r="K2128" s="30"/>
      <c r="L2128" s="30"/>
      <c r="M2128" s="30"/>
      <c r="N2128" s="30"/>
      <c r="O2128" s="30"/>
      <c r="P2128" s="30"/>
    </row>
    <row r="2129">
      <c r="A2129" s="30"/>
      <c r="B2129" s="25" t="s">
        <v>2226</v>
      </c>
      <c r="E2129" s="26" t="s">
        <v>358</v>
      </c>
      <c r="F2129" s="18" t="str">
        <f>HYPERLINK("https://www.twitch.tv/videos/392175789?collection=oQVne6T1iRWqEw",'Players&gt;List'!$B30)</f>
        <v>[TST]</v>
      </c>
      <c r="G2129" s="30"/>
      <c r="H2129" s="30"/>
      <c r="I2129" s="30"/>
      <c r="J2129" s="30"/>
      <c r="K2129" s="30"/>
      <c r="L2129" s="30"/>
      <c r="M2129" s="30"/>
      <c r="N2129" s="30"/>
      <c r="O2129" s="30"/>
      <c r="P2129" s="30"/>
    </row>
    <row r="2130">
      <c r="A2130" s="30"/>
      <c r="B2130" s="24" t="s">
        <v>3971</v>
      </c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30"/>
    </row>
    <row r="2131">
      <c r="A2131" s="30"/>
      <c r="B2131" s="4" t="s">
        <v>3973</v>
      </c>
      <c r="D2131" s="32"/>
      <c r="E2131" s="27" t="s">
        <v>14</v>
      </c>
      <c r="F2131" s="30"/>
      <c r="G2131" s="30"/>
      <c r="H2131" s="30"/>
      <c r="I2131" s="30"/>
      <c r="J2131" s="30"/>
      <c r="K2131" s="30"/>
      <c r="L2131" s="30"/>
      <c r="M2131" s="30"/>
      <c r="N2131" s="30"/>
      <c r="O2131" s="30"/>
      <c r="P2131" s="30"/>
    </row>
    <row r="2132">
      <c r="A2132" s="30"/>
      <c r="B2132" s="25" t="s">
        <v>117</v>
      </c>
      <c r="E2132" s="26" t="s">
        <v>110</v>
      </c>
      <c r="F2132" s="18" t="str">
        <f>HYPERLINK("https://www.youtube.com/watch?v=mCc76AGVOic",'Players&gt;List'!$B25)</f>
        <v>[PBR]</v>
      </c>
      <c r="G2132" s="30"/>
      <c r="H2132" s="30"/>
      <c r="I2132" s="30"/>
      <c r="J2132" s="30"/>
      <c r="K2132" s="30"/>
      <c r="L2132" s="30"/>
      <c r="M2132" s="30"/>
      <c r="N2132" s="30"/>
      <c r="O2132" s="30"/>
      <c r="P2132" s="30"/>
    </row>
    <row r="2133">
      <c r="A2133" s="30"/>
      <c r="B2133" s="25" t="s">
        <v>157</v>
      </c>
      <c r="E2133" s="26" t="s">
        <v>132</v>
      </c>
      <c r="F2133" s="30"/>
      <c r="G2133" s="30"/>
      <c r="H2133" s="30"/>
      <c r="I2133" s="30"/>
      <c r="J2133" s="30"/>
      <c r="K2133" s="30"/>
      <c r="L2133" s="30"/>
      <c r="M2133" s="30"/>
      <c r="N2133" s="30"/>
      <c r="O2133" s="30"/>
      <c r="P2133" s="30"/>
    </row>
    <row r="2134">
      <c r="A2134" s="30"/>
      <c r="B2134" s="24" t="s">
        <v>3976</v>
      </c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30"/>
    </row>
    <row r="2135">
      <c r="A2135" s="30"/>
      <c r="B2135" s="4" t="s">
        <v>3978</v>
      </c>
      <c r="D2135" s="32"/>
      <c r="E2135" s="27" t="s">
        <v>14</v>
      </c>
      <c r="F2135" s="30"/>
      <c r="G2135" s="30"/>
      <c r="H2135" s="30"/>
      <c r="I2135" s="30"/>
      <c r="J2135" s="30"/>
      <c r="K2135" s="30"/>
      <c r="L2135" s="30"/>
      <c r="M2135" s="30"/>
      <c r="N2135" s="30"/>
      <c r="O2135" s="30"/>
      <c r="P2135" s="30"/>
    </row>
    <row r="2136">
      <c r="A2136" s="30"/>
      <c r="B2136" s="25" t="s">
        <v>149</v>
      </c>
      <c r="E2136" s="26" t="s">
        <v>90</v>
      </c>
      <c r="F2136" s="18" t="str">
        <f>HYPERLINK("https://www.youtube.com/watch?v=yjND1QEuotQ",'Players&gt;List'!$B18)</f>
        <v>[HGB]</v>
      </c>
      <c r="G2136" s="30"/>
      <c r="H2136" s="30"/>
      <c r="I2136" s="30"/>
      <c r="J2136" s="30"/>
      <c r="K2136" s="30"/>
      <c r="L2136" s="30"/>
      <c r="M2136" s="30"/>
      <c r="N2136" s="30"/>
      <c r="O2136" s="30"/>
      <c r="P2136" s="30"/>
    </row>
    <row r="2137">
      <c r="A2137" s="30"/>
      <c r="B2137" s="24" t="s">
        <v>3981</v>
      </c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30"/>
    </row>
    <row r="2138">
      <c r="A2138" s="30"/>
      <c r="B2138" s="4" t="s">
        <v>3982</v>
      </c>
      <c r="D2138" s="32"/>
      <c r="E2138" s="27" t="s">
        <v>14</v>
      </c>
      <c r="F2138" s="30"/>
      <c r="G2138" s="30"/>
      <c r="H2138" s="30"/>
      <c r="I2138" s="30"/>
      <c r="J2138" s="30"/>
      <c r="K2138" s="30"/>
      <c r="L2138" s="30"/>
      <c r="M2138" s="30"/>
      <c r="N2138" s="30"/>
      <c r="O2138" s="30"/>
      <c r="P2138" s="30"/>
    </row>
    <row r="2139">
      <c r="A2139" s="30"/>
      <c r="B2139" s="25" t="s">
        <v>2296</v>
      </c>
      <c r="E2139" s="26" t="s">
        <v>234</v>
      </c>
      <c r="F2139" s="30"/>
      <c r="G2139" s="30"/>
      <c r="H2139" s="30"/>
      <c r="I2139" s="30"/>
      <c r="J2139" s="30"/>
      <c r="K2139" s="30"/>
      <c r="L2139" s="30"/>
      <c r="M2139" s="30"/>
      <c r="N2139" s="30"/>
      <c r="O2139" s="30"/>
      <c r="P2139" s="30"/>
    </row>
    <row r="2140">
      <c r="A2140" s="30"/>
      <c r="B2140" s="24" t="s">
        <v>3984</v>
      </c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30"/>
    </row>
    <row r="2141">
      <c r="A2141" s="30"/>
      <c r="B2141" s="4" t="s">
        <v>3986</v>
      </c>
      <c r="D2141" s="32"/>
      <c r="E2141" s="27" t="s">
        <v>14</v>
      </c>
      <c r="F2141" s="30"/>
      <c r="G2141" s="30"/>
      <c r="H2141" s="30"/>
      <c r="I2141" s="30"/>
      <c r="J2141" s="30"/>
      <c r="K2141" s="30"/>
      <c r="L2141" s="30"/>
      <c r="M2141" s="30"/>
      <c r="N2141" s="30"/>
      <c r="O2141" s="30"/>
      <c r="P2141" s="30"/>
    </row>
    <row r="2142">
      <c r="A2142" s="30"/>
      <c r="B2142" s="25" t="s">
        <v>108</v>
      </c>
      <c r="E2142" s="26" t="s">
        <v>110</v>
      </c>
      <c r="F2142" s="18" t="str">
        <f>HYPERLINK("https://www.youtube.com/watch?v=cl8FehzMe6A",'Players&gt;List'!$B18)</f>
        <v>[HGB]</v>
      </c>
      <c r="G2142" s="18" t="str">
        <f>HYPERLINK("https://www.youtube.com/watch?v=8zLnDleyE70",'Players&gt;List'!$B19)</f>
        <v>[HIT]</v>
      </c>
      <c r="H2142" s="30"/>
      <c r="I2142" s="30"/>
      <c r="J2142" s="30"/>
      <c r="K2142" s="30"/>
      <c r="L2142" s="30"/>
      <c r="M2142" s="30"/>
      <c r="N2142" s="30"/>
      <c r="O2142" s="30"/>
      <c r="P2142" s="30"/>
    </row>
    <row r="2143">
      <c r="A2143" s="30"/>
      <c r="B2143" s="25" t="s">
        <v>157</v>
      </c>
      <c r="E2143" s="26" t="s">
        <v>132</v>
      </c>
      <c r="F2143" s="30"/>
      <c r="G2143" s="30"/>
      <c r="H2143" s="30"/>
      <c r="I2143" s="30"/>
      <c r="J2143" s="30"/>
      <c r="K2143" s="30"/>
      <c r="L2143" s="30"/>
      <c r="M2143" s="30"/>
      <c r="N2143" s="30"/>
      <c r="O2143" s="30"/>
      <c r="P2143" s="30"/>
    </row>
    <row r="2144">
      <c r="A2144" s="30"/>
      <c r="B2144" s="25" t="s">
        <v>117</v>
      </c>
      <c r="E2144" s="26" t="s">
        <v>132</v>
      </c>
      <c r="F2144" s="30"/>
      <c r="G2144" s="30"/>
      <c r="H2144" s="30"/>
      <c r="I2144" s="30"/>
      <c r="J2144" s="30"/>
      <c r="K2144" s="30"/>
      <c r="L2144" s="30"/>
      <c r="M2144" s="30"/>
      <c r="N2144" s="30"/>
      <c r="O2144" s="30"/>
      <c r="P2144" s="30"/>
    </row>
    <row r="2145">
      <c r="A2145" s="30"/>
      <c r="B2145" s="25" t="s">
        <v>131</v>
      </c>
      <c r="E2145" s="26" t="s">
        <v>132</v>
      </c>
      <c r="F2145" s="30"/>
      <c r="G2145" s="30"/>
      <c r="H2145" s="30"/>
      <c r="I2145" s="30"/>
      <c r="J2145" s="30"/>
      <c r="K2145" s="30"/>
      <c r="L2145" s="30"/>
      <c r="M2145" s="30"/>
      <c r="N2145" s="30"/>
      <c r="O2145" s="30"/>
      <c r="P2145" s="30"/>
    </row>
    <row r="2146">
      <c r="A2146" s="30"/>
      <c r="B2146" s="24" t="s">
        <v>3993</v>
      </c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30"/>
    </row>
    <row r="2147">
      <c r="A2147" s="30"/>
      <c r="B2147" s="4" t="s">
        <v>3995</v>
      </c>
      <c r="D2147" s="32"/>
      <c r="E2147" s="27" t="s">
        <v>14</v>
      </c>
      <c r="F2147" s="30"/>
      <c r="G2147" s="30"/>
      <c r="H2147" s="30"/>
      <c r="I2147" s="30"/>
      <c r="J2147" s="30"/>
      <c r="K2147" s="30"/>
      <c r="L2147" s="30"/>
      <c r="M2147" s="30"/>
      <c r="N2147" s="30"/>
      <c r="O2147" s="30"/>
      <c r="P2147" s="30"/>
    </row>
    <row r="2148">
      <c r="A2148" s="30"/>
      <c r="B2148" s="25" t="s">
        <v>117</v>
      </c>
      <c r="E2148" s="26" t="s">
        <v>110</v>
      </c>
      <c r="F2148" s="18" t="str">
        <f>HYPERLINK("https://www.youtube.com/watch?v=V76dayk1cuE",'Players&gt;List'!$B19)</f>
        <v>[HIT]</v>
      </c>
      <c r="G2148" s="18" t="str">
        <f>HYPERLINK("https://www.twitch.tv/videos/392179782?collection=oQVne6T1iRWqEw",'Players&gt;List'!$B30)</f>
        <v>[TST]</v>
      </c>
      <c r="H2148" s="18" t="str">
        <f>HYPERLINK("https://www.youtube.com/watch?v=HA8zaGSMd7c",'Players&gt;List'!$B25)</f>
        <v>[PBR]</v>
      </c>
      <c r="I2148" s="30"/>
      <c r="J2148" s="30"/>
      <c r="K2148" s="30"/>
      <c r="L2148" s="30"/>
      <c r="M2148" s="30"/>
      <c r="N2148" s="30"/>
      <c r="O2148" s="30"/>
      <c r="P2148" s="30"/>
    </row>
    <row r="2149">
      <c r="A2149" s="30"/>
      <c r="B2149" s="25" t="s">
        <v>88</v>
      </c>
      <c r="E2149" s="26" t="s">
        <v>147</v>
      </c>
      <c r="F2149" s="30"/>
      <c r="G2149" s="30"/>
      <c r="H2149" s="30"/>
      <c r="I2149" s="30"/>
      <c r="J2149" s="30"/>
      <c r="K2149" s="30"/>
      <c r="L2149" s="30"/>
      <c r="M2149" s="30"/>
      <c r="N2149" s="30"/>
      <c r="O2149" s="30"/>
      <c r="P2149" s="30"/>
    </row>
    <row r="2150">
      <c r="A2150" s="30"/>
      <c r="B2150" s="25" t="s">
        <v>149</v>
      </c>
      <c r="E2150" s="26" t="s">
        <v>147</v>
      </c>
      <c r="F2150" s="30"/>
      <c r="G2150" s="30"/>
      <c r="H2150" s="30"/>
      <c r="I2150" s="30"/>
      <c r="J2150" s="30"/>
      <c r="K2150" s="30"/>
      <c r="L2150" s="30"/>
      <c r="M2150" s="30"/>
      <c r="N2150" s="30"/>
      <c r="O2150" s="30"/>
      <c r="P2150" s="30"/>
    </row>
    <row r="2151">
      <c r="A2151" s="30"/>
      <c r="B2151" s="25" t="s">
        <v>157</v>
      </c>
      <c r="E2151" s="26" t="s">
        <v>132</v>
      </c>
      <c r="F2151" s="18" t="str">
        <f>HYPERLINK("https://www.twitch.tv/videos/392180588?collection=oQVne6T1iRWqEw",'Players&gt;List'!$B30)</f>
        <v>[TST]</v>
      </c>
      <c r="G2151" s="30"/>
      <c r="H2151" s="30"/>
      <c r="I2151" s="30"/>
      <c r="J2151" s="30"/>
      <c r="K2151" s="30"/>
      <c r="L2151" s="30"/>
      <c r="M2151" s="30"/>
      <c r="N2151" s="30"/>
      <c r="O2151" s="30"/>
      <c r="P2151" s="30"/>
    </row>
    <row r="2152">
      <c r="A2152" s="30"/>
      <c r="B2152" s="24" t="s">
        <v>4002</v>
      </c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30"/>
    </row>
    <row r="2153">
      <c r="A2153" s="30"/>
      <c r="B2153" s="4" t="s">
        <v>4004</v>
      </c>
      <c r="D2153" s="32"/>
      <c r="E2153" s="27" t="s">
        <v>14</v>
      </c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</row>
    <row r="2154">
      <c r="A2154" s="30"/>
      <c r="B2154" s="25" t="s">
        <v>117</v>
      </c>
      <c r="E2154" s="26" t="s">
        <v>110</v>
      </c>
      <c r="F2154" s="30"/>
      <c r="G2154" s="30"/>
      <c r="H2154" s="30"/>
      <c r="I2154" s="30"/>
      <c r="J2154" s="30"/>
      <c r="K2154" s="30"/>
      <c r="L2154" s="30"/>
      <c r="M2154" s="30"/>
      <c r="N2154" s="30"/>
      <c r="O2154" s="30"/>
      <c r="P2154" s="30"/>
    </row>
    <row r="2155">
      <c r="A2155" s="30"/>
      <c r="B2155" s="25" t="s">
        <v>157</v>
      </c>
      <c r="E2155" s="26" t="s">
        <v>132</v>
      </c>
      <c r="F2155" s="30"/>
      <c r="G2155" s="30"/>
      <c r="H2155" s="30"/>
      <c r="I2155" s="30"/>
      <c r="J2155" s="30"/>
      <c r="K2155" s="30"/>
      <c r="L2155" s="30"/>
      <c r="M2155" s="30"/>
      <c r="N2155" s="30"/>
      <c r="O2155" s="30"/>
      <c r="P2155" s="30"/>
    </row>
    <row r="2156">
      <c r="A2156" s="30"/>
      <c r="B2156" s="24" t="s">
        <v>4005</v>
      </c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30"/>
    </row>
    <row r="2157">
      <c r="A2157" s="30"/>
      <c r="B2157" s="4" t="s">
        <v>4006</v>
      </c>
      <c r="D2157" s="32"/>
      <c r="E2157" s="27" t="s">
        <v>14</v>
      </c>
      <c r="F2157" s="30"/>
      <c r="G2157" s="30"/>
      <c r="H2157" s="30"/>
      <c r="I2157" s="30"/>
      <c r="J2157" s="30"/>
      <c r="K2157" s="30"/>
      <c r="L2157" s="30"/>
      <c r="M2157" s="30"/>
      <c r="N2157" s="30"/>
      <c r="O2157" s="30"/>
      <c r="P2157" s="30"/>
    </row>
    <row r="2158">
      <c r="A2158" s="30"/>
      <c r="B2158" s="25" t="s">
        <v>157</v>
      </c>
      <c r="E2158" s="26" t="s">
        <v>110</v>
      </c>
      <c r="F2158" s="30"/>
      <c r="G2158" s="30"/>
      <c r="H2158" s="30"/>
      <c r="I2158" s="30"/>
      <c r="J2158" s="30"/>
      <c r="K2158" s="30"/>
      <c r="L2158" s="30"/>
      <c r="M2158" s="30"/>
      <c r="N2158" s="30"/>
      <c r="O2158" s="30"/>
      <c r="P2158" s="30"/>
    </row>
    <row r="2159">
      <c r="A2159" s="30"/>
      <c r="B2159" s="24" t="s">
        <v>4009</v>
      </c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30"/>
    </row>
    <row r="2160">
      <c r="A2160" s="30"/>
      <c r="B2160" s="4" t="s">
        <v>4010</v>
      </c>
      <c r="D2160" s="32"/>
      <c r="E2160" s="27" t="s">
        <v>14</v>
      </c>
      <c r="F2160" s="30"/>
      <c r="G2160" s="30"/>
      <c r="H2160" s="30"/>
      <c r="I2160" s="30"/>
      <c r="J2160" s="30"/>
      <c r="K2160" s="30"/>
      <c r="L2160" s="30"/>
      <c r="M2160" s="30"/>
      <c r="N2160" s="30"/>
      <c r="O2160" s="30"/>
      <c r="P2160" s="30"/>
    </row>
    <row r="2161">
      <c r="A2161" s="30"/>
      <c r="B2161" s="25" t="s">
        <v>117</v>
      </c>
      <c r="E2161" s="26" t="s">
        <v>110</v>
      </c>
      <c r="F2161" s="18" t="str">
        <f>HYPERLINK("https://www.youtube.com/watch?v=nQs3b_40kA0",'Players&gt;List'!$B9)</f>
        <v>[AWE]</v>
      </c>
      <c r="G2161" s="18" t="str">
        <f>HYPERLINK("https://www.youtube.com/watch?v=4uvV2lhym-w",'Players&gt;List'!$B18)</f>
        <v>[HGB]</v>
      </c>
      <c r="H2161" s="18" t="str">
        <f>HYPERLINK("https://www.twitch.tv/videos/323621654",'Players&gt;List'!$B24)</f>
        <v>[NIM]</v>
      </c>
      <c r="I2161" s="30"/>
      <c r="J2161" s="30"/>
      <c r="K2161" s="30"/>
      <c r="L2161" s="30"/>
      <c r="M2161" s="30"/>
      <c r="N2161" s="30"/>
      <c r="O2161" s="30"/>
      <c r="P2161" s="30"/>
    </row>
    <row r="2162">
      <c r="A2162" s="30"/>
      <c r="B2162" s="24" t="s">
        <v>4014</v>
      </c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30"/>
    </row>
    <row r="2163">
      <c r="A2163" s="30"/>
      <c r="B2163" s="4" t="s">
        <v>4015</v>
      </c>
      <c r="D2163" s="32"/>
      <c r="E2163" s="27" t="s">
        <v>14</v>
      </c>
      <c r="F2163" s="30"/>
      <c r="G2163" s="30"/>
      <c r="H2163" s="30"/>
      <c r="I2163" s="30"/>
      <c r="J2163" s="30"/>
      <c r="K2163" s="30"/>
      <c r="L2163" s="30"/>
      <c r="M2163" s="30"/>
      <c r="N2163" s="30"/>
      <c r="O2163" s="30"/>
      <c r="P2163" s="30"/>
    </row>
    <row r="2164">
      <c r="A2164" s="30"/>
      <c r="B2164" s="25" t="s">
        <v>149</v>
      </c>
      <c r="E2164" s="26" t="s">
        <v>90</v>
      </c>
      <c r="F2164" s="18" t="str">
        <f>HYPERLINK("https://www.twitch.tv/videos/87265282",'Players&gt;List'!$B32)</f>
        <v>[XEL]</v>
      </c>
      <c r="G2164" s="18" t="str">
        <f>HYPERLINK("https://youtu.be/LojkOcDkuek",'Players&gt;List'!$B23)</f>
        <v>[MOL]</v>
      </c>
      <c r="H2164" s="18" t="str">
        <f>HYPERLINK("https://www.youtube.com/watch?v=7mfoOlWqVWI",'Players&gt;List'!$B19)</f>
        <v>[HIT]</v>
      </c>
      <c r="I2164" s="18" t="str">
        <f>HYPERLINK("https://www.twitch.tv/videos/228578205",'Players&gt;List'!$B17)</f>
        <v>[GOL]</v>
      </c>
      <c r="J2164" s="18" t="str">
        <f>HYPERLINK("https://www.twitch.tv/videos/323621653",'Players&gt;List'!$B24)</f>
        <v>[NIM]</v>
      </c>
      <c r="K2164" s="18" t="str">
        <f>HYPERLINK("https://www.twitch.tv/videos/392181962?collection=oQVne6T1iRWqEw",'Players&gt;List'!$B30)</f>
        <v>[TST]</v>
      </c>
      <c r="L2164" s="30"/>
      <c r="M2164" s="30"/>
      <c r="N2164" s="30"/>
      <c r="O2164" s="30"/>
      <c r="P2164" s="30"/>
    </row>
    <row r="2165">
      <c r="A2165" s="30"/>
      <c r="B2165" s="25" t="s">
        <v>335</v>
      </c>
      <c r="E2165" s="26" t="s">
        <v>147</v>
      </c>
      <c r="F2165" s="18" t="str">
        <f>HYPERLINK("https://youtu.be/LojkOcDkuek?t=50",'Players&gt;List'!$B23)</f>
        <v>[MOL]</v>
      </c>
      <c r="G2165" s="18" t="str">
        <f>HYPERLINK("https://www.twitch.tv/videos/323621652",'Players&gt;List'!$B24)</f>
        <v>[NIM]</v>
      </c>
      <c r="H2165" s="30"/>
      <c r="I2165" s="30"/>
      <c r="J2165" s="30"/>
      <c r="K2165" s="30"/>
      <c r="L2165" s="30"/>
      <c r="M2165" s="30"/>
      <c r="N2165" s="30"/>
      <c r="O2165" s="30"/>
      <c r="P2165" s="30"/>
    </row>
    <row r="2166">
      <c r="A2166" s="30"/>
      <c r="B2166" s="24" t="s">
        <v>4024</v>
      </c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30"/>
    </row>
    <row r="2167">
      <c r="A2167" s="30"/>
      <c r="B2167" s="4" t="s">
        <v>4026</v>
      </c>
      <c r="D2167" s="32"/>
      <c r="E2167" s="27" t="s">
        <v>14</v>
      </c>
      <c r="F2167" s="18" t="str">
        <f>HYPERLINK("https://www.youtube.com/watch?v=WpoRKHu4TIw",'Players&gt;List'!$B18)</f>
        <v>[HGB]</v>
      </c>
      <c r="G2167" s="18" t="str">
        <f>HYPERLINK("https://www.youtube.com/watch?v=W1ORpCQYva0",'Players&gt;List'!$B19)</f>
        <v>[HIT]</v>
      </c>
      <c r="H2167" s="30"/>
      <c r="I2167" s="30"/>
      <c r="J2167" s="30"/>
      <c r="K2167" s="30"/>
      <c r="L2167" s="30"/>
      <c r="M2167" s="30"/>
      <c r="N2167" s="30"/>
      <c r="O2167" s="30"/>
      <c r="P2167" s="30"/>
    </row>
    <row r="2168">
      <c r="A2168" s="30"/>
      <c r="B2168" s="25" t="s">
        <v>117</v>
      </c>
      <c r="E2168" s="26" t="s">
        <v>110</v>
      </c>
      <c r="F2168" s="18" t="str">
        <f>HYPERLINK("https://www.youtube.com/watch?v=YDjwUMEajew",'Players&gt;List'!$B18)</f>
        <v>[HGB]</v>
      </c>
      <c r="G2168" s="30"/>
      <c r="H2168" s="30"/>
      <c r="I2168" s="30"/>
      <c r="J2168" s="30"/>
      <c r="K2168" s="30"/>
      <c r="L2168" s="30"/>
      <c r="M2168" s="30"/>
      <c r="N2168" s="30"/>
      <c r="O2168" s="30"/>
      <c r="P2168" s="30"/>
    </row>
    <row r="2169">
      <c r="A2169" s="30"/>
      <c r="B2169" s="24" t="s">
        <v>4030</v>
      </c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30"/>
    </row>
    <row r="2170">
      <c r="A2170" s="30"/>
      <c r="B2170" s="4" t="s">
        <v>4032</v>
      </c>
      <c r="D2170" s="32"/>
      <c r="E2170" s="27" t="s">
        <v>14</v>
      </c>
      <c r="F2170" s="18" t="str">
        <f>HYPERLINK("https://www.youtube.com/watch?v=IQ3tesC9g_g",'Players&gt;List'!$B18)</f>
        <v>[HGB]</v>
      </c>
      <c r="G2170" s="18" t="str">
        <f>HYPERLINK("https://www.youtube.com/watch?v=7ryKlUA5f-I&amp;t=0s",'Players&gt;List'!$B23)</f>
        <v>[MOL]</v>
      </c>
      <c r="H2170" s="18" t="str">
        <f>HYPERLINK("https://youtu.be/QH1XnGOXBTc?t=2",'Players&gt;List'!$B29)</f>
        <v>[SYS]</v>
      </c>
      <c r="I2170" s="30"/>
      <c r="J2170" s="30"/>
      <c r="K2170" s="30"/>
      <c r="L2170" s="30"/>
      <c r="M2170" s="30"/>
      <c r="N2170" s="30"/>
      <c r="O2170" s="30"/>
      <c r="P2170" s="30"/>
    </row>
    <row r="2171">
      <c r="A2171" s="30"/>
      <c r="B2171" s="25" t="s">
        <v>2532</v>
      </c>
      <c r="E2171" s="26" t="s">
        <v>380</v>
      </c>
      <c r="F2171" s="18" t="str">
        <f>HYPERLINK("https://www.youtube.com/watch?v=F34oNK8quwg",'Players&gt;List'!$B18)</f>
        <v>[HGB]</v>
      </c>
      <c r="G2171" s="18" t="str">
        <f>HYPERLINK("https://youtu.be/5XXj6Z_K_MY",'Players&gt;List'!$B8)</f>
        <v>[ABA]</v>
      </c>
      <c r="H2171" s="18" t="str">
        <f>HYPERLINK("https://youtu.be/gISYv4ts5oU",'Players&gt;List'!$B19)</f>
        <v>[HIT]</v>
      </c>
      <c r="I2171" s="18" t="str">
        <f>HYPERLINK("https://www.twitch.tv/videos/242243730",'Players&gt;List'!$B17)</f>
        <v>[GOL]</v>
      </c>
      <c r="J2171" s="18" t="str">
        <f>HYPERLINK("https://www.twitch.tv/videos/335938935",'Players&gt;List'!$B24)</f>
        <v>[NIM]</v>
      </c>
      <c r="K2171" s="30"/>
      <c r="L2171" s="30"/>
      <c r="M2171" s="30"/>
      <c r="N2171" s="30"/>
      <c r="O2171" s="30"/>
      <c r="P2171" s="30"/>
    </row>
    <row r="2172">
      <c r="A2172" s="30"/>
      <c r="B2172" s="25" t="s">
        <v>2213</v>
      </c>
      <c r="E2172" s="26" t="s">
        <v>147</v>
      </c>
      <c r="F2172" s="30"/>
      <c r="G2172" s="30"/>
      <c r="H2172" s="30"/>
      <c r="I2172" s="30"/>
      <c r="J2172" s="30"/>
      <c r="K2172" s="30"/>
      <c r="L2172" s="30"/>
      <c r="M2172" s="30"/>
      <c r="N2172" s="30"/>
      <c r="O2172" s="30"/>
      <c r="P2172" s="30"/>
    </row>
    <row r="2173">
      <c r="A2173" s="30"/>
      <c r="B2173" s="25" t="s">
        <v>2920</v>
      </c>
      <c r="E2173" s="26" t="s">
        <v>132</v>
      </c>
      <c r="F2173" s="30"/>
      <c r="G2173" s="30"/>
      <c r="H2173" s="30"/>
      <c r="I2173" s="30"/>
      <c r="J2173" s="30"/>
      <c r="K2173" s="30"/>
      <c r="L2173" s="30"/>
      <c r="M2173" s="30"/>
      <c r="N2173" s="30"/>
      <c r="O2173" s="30"/>
      <c r="P2173" s="30"/>
    </row>
    <row r="2174">
      <c r="A2174" s="30"/>
      <c r="B2174" s="25" t="s">
        <v>1147</v>
      </c>
      <c r="E2174" s="26" t="s">
        <v>132</v>
      </c>
      <c r="F2174" s="18" t="str">
        <f>HYPERLINK("https://www.youtube.com/watch?v=gxQN-j511q8",'Players&gt;List'!$B18)</f>
        <v>[HGB]</v>
      </c>
      <c r="G2174" s="30"/>
      <c r="H2174" s="30"/>
      <c r="I2174" s="30"/>
      <c r="J2174" s="30"/>
      <c r="K2174" s="30"/>
      <c r="L2174" s="30"/>
      <c r="M2174" s="30"/>
      <c r="N2174" s="30"/>
      <c r="O2174" s="30"/>
      <c r="P2174" s="30"/>
    </row>
    <row r="2175">
      <c r="A2175" s="30"/>
      <c r="B2175" s="25" t="s">
        <v>117</v>
      </c>
      <c r="E2175" s="26" t="s">
        <v>132</v>
      </c>
      <c r="F2175" s="30"/>
      <c r="G2175" s="30"/>
      <c r="H2175" s="30"/>
      <c r="I2175" s="30"/>
      <c r="J2175" s="30"/>
      <c r="K2175" s="30"/>
      <c r="L2175" s="30"/>
      <c r="M2175" s="30"/>
      <c r="N2175" s="30"/>
      <c r="O2175" s="30"/>
      <c r="P2175" s="30"/>
    </row>
    <row r="2176">
      <c r="A2176" s="30"/>
      <c r="B2176" s="25" t="s">
        <v>502</v>
      </c>
      <c r="E2176" s="26" t="s">
        <v>358</v>
      </c>
      <c r="F2176" s="18" t="str">
        <f>HYPERLINK("https://www.youtube.com/watch?v=IajM3a93BII",'Players&gt;List'!$B18)</f>
        <v>[HGB]</v>
      </c>
      <c r="G2176" s="18" t="str">
        <f>HYPERLINK("https://www.twitch.tv/videos/242244248",'Players&gt;List'!$B17)</f>
        <v>[GOL]</v>
      </c>
      <c r="H2176" s="18" t="str">
        <f>HYPERLINK("https://www.twitch.tv/videos/335938936",'Players&gt;List'!$B24)</f>
        <v>[NIM]</v>
      </c>
      <c r="I2176" s="30"/>
      <c r="J2176" s="30"/>
      <c r="K2176" s="30"/>
      <c r="L2176" s="30"/>
      <c r="M2176" s="30"/>
      <c r="N2176" s="30"/>
      <c r="O2176" s="30"/>
      <c r="P2176" s="30"/>
    </row>
    <row r="2177">
      <c r="A2177" s="30"/>
      <c r="B2177" s="24" t="s">
        <v>4045</v>
      </c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30"/>
    </row>
    <row r="2178">
      <c r="A2178" s="30"/>
      <c r="B2178" s="4" t="s">
        <v>4046</v>
      </c>
      <c r="D2178" s="32"/>
      <c r="E2178" s="27" t="s">
        <v>14</v>
      </c>
      <c r="F2178" s="18" t="str">
        <f>HYPERLINK("https://youtu.be/QH1XnGOXBTc?t=1m48s",'Players&gt;List'!$B29)</f>
        <v>[SYS]</v>
      </c>
      <c r="G2178" s="30"/>
      <c r="H2178" s="30"/>
      <c r="I2178" s="30"/>
      <c r="J2178" s="30"/>
      <c r="K2178" s="30"/>
      <c r="L2178" s="30"/>
      <c r="M2178" s="30"/>
      <c r="N2178" s="30"/>
      <c r="O2178" s="30"/>
      <c r="P2178" s="30"/>
    </row>
    <row r="2179">
      <c r="A2179" s="30"/>
      <c r="B2179" s="25" t="s">
        <v>88</v>
      </c>
      <c r="E2179" s="26" t="s">
        <v>90</v>
      </c>
      <c r="F2179" s="30"/>
      <c r="G2179" s="30"/>
      <c r="H2179" s="30"/>
      <c r="I2179" s="30"/>
      <c r="J2179" s="30"/>
      <c r="K2179" s="30"/>
      <c r="L2179" s="30"/>
      <c r="M2179" s="30"/>
      <c r="N2179" s="30"/>
      <c r="O2179" s="30"/>
      <c r="P2179" s="30"/>
    </row>
    <row r="2180">
      <c r="A2180" s="30"/>
      <c r="B2180" s="24" t="s">
        <v>4050</v>
      </c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30"/>
    </row>
    <row r="2181">
      <c r="A2181" s="30"/>
      <c r="B2181" s="4" t="s">
        <v>4051</v>
      </c>
      <c r="D2181" s="32"/>
      <c r="E2181" s="27" t="s">
        <v>14</v>
      </c>
      <c r="F2181" s="18" t="str">
        <f>HYPERLINK("https://youtu.be/QH1XnGOXBTc?t=2m36s",'Players&gt;List'!$B29)</f>
        <v>[SYS]</v>
      </c>
      <c r="G2181" s="30"/>
      <c r="H2181" s="30"/>
      <c r="I2181" s="30"/>
      <c r="J2181" s="30"/>
      <c r="K2181" s="30"/>
      <c r="L2181" s="30"/>
      <c r="M2181" s="30"/>
      <c r="N2181" s="30"/>
      <c r="O2181" s="30"/>
      <c r="P2181" s="30"/>
    </row>
    <row r="2182">
      <c r="A2182" s="30"/>
      <c r="B2182" s="25" t="s">
        <v>88</v>
      </c>
      <c r="E2182" s="26" t="s">
        <v>90</v>
      </c>
      <c r="F2182" s="30"/>
      <c r="G2182" s="30"/>
      <c r="H2182" s="30"/>
      <c r="I2182" s="30"/>
      <c r="J2182" s="30"/>
      <c r="K2182" s="30"/>
      <c r="L2182" s="30"/>
      <c r="M2182" s="30"/>
      <c r="N2182" s="30"/>
      <c r="O2182" s="30"/>
      <c r="P2182" s="30"/>
    </row>
    <row r="2183">
      <c r="A2183" s="30"/>
      <c r="B2183" s="24" t="s">
        <v>4054</v>
      </c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30"/>
    </row>
    <row r="2184">
      <c r="A2184" s="30"/>
      <c r="B2184" s="4" t="s">
        <v>4056</v>
      </c>
      <c r="D2184" s="32"/>
      <c r="E2184" s="27" t="s">
        <v>14</v>
      </c>
      <c r="F2184" s="18" t="str">
        <f>HYPERLINK("https://youtu.be/QH1XnGOXBTc?t=4m7s",'Players&gt;List'!$B29)</f>
        <v>[SYS]</v>
      </c>
      <c r="G2184" s="30"/>
      <c r="H2184" s="30"/>
      <c r="I2184" s="30"/>
      <c r="J2184" s="30"/>
      <c r="K2184" s="30"/>
      <c r="L2184" s="30"/>
      <c r="M2184" s="30"/>
      <c r="N2184" s="30"/>
      <c r="O2184" s="30"/>
      <c r="P2184" s="30"/>
    </row>
    <row r="2185">
      <c r="A2185" s="30"/>
      <c r="B2185" s="25" t="s">
        <v>913</v>
      </c>
      <c r="E2185" s="26" t="s">
        <v>915</v>
      </c>
      <c r="F2185" s="18" t="str">
        <f>HYPERLINK("https://www.youtube.com/watch?v=4xmKnVWkWAc",'Players&gt;List'!$B18)</f>
        <v>[HGB]</v>
      </c>
      <c r="G2185" s="18" t="str">
        <f>HYPERLINK("https://youtu.be/fXa1KiaNXAs?t=29",'Players&gt;List'!$B14)</f>
        <v>[ESP]</v>
      </c>
      <c r="H2185" s="18" t="str">
        <f>HYPERLINK("https://www.youtube.com/watch?v=5A_h8R5UYFk",'Players&gt;List'!$B28)</f>
        <v>[SUN]</v>
      </c>
      <c r="I2185" s="30"/>
      <c r="J2185" s="30"/>
      <c r="K2185" s="30"/>
      <c r="L2185" s="30"/>
      <c r="M2185" s="30"/>
      <c r="N2185" s="30"/>
      <c r="O2185" s="30"/>
      <c r="P2185" s="30"/>
    </row>
    <row r="2186">
      <c r="A2186" s="30"/>
      <c r="B2186" s="25" t="s">
        <v>117</v>
      </c>
      <c r="E2186" s="26" t="s">
        <v>132</v>
      </c>
      <c r="F2186" s="30"/>
      <c r="G2186" s="30"/>
      <c r="H2186" s="30"/>
      <c r="I2186" s="30"/>
      <c r="J2186" s="30"/>
      <c r="K2186" s="30"/>
      <c r="L2186" s="30"/>
      <c r="M2186" s="30"/>
      <c r="N2186" s="30"/>
      <c r="O2186" s="30"/>
      <c r="P2186" s="30"/>
    </row>
    <row r="2187">
      <c r="A2187" s="30"/>
      <c r="B2187" s="25" t="s">
        <v>2303</v>
      </c>
      <c r="E2187" s="26" t="s">
        <v>132</v>
      </c>
      <c r="F2187" s="30"/>
      <c r="G2187" s="30"/>
      <c r="H2187" s="30"/>
      <c r="I2187" s="30"/>
      <c r="J2187" s="30"/>
      <c r="K2187" s="30"/>
      <c r="L2187" s="30"/>
      <c r="M2187" s="30"/>
      <c r="N2187" s="30"/>
      <c r="O2187" s="30"/>
      <c r="P2187" s="30"/>
    </row>
    <row r="2188">
      <c r="A2188" s="30"/>
      <c r="B2188" s="25" t="s">
        <v>2838</v>
      </c>
      <c r="E2188" s="26" t="s">
        <v>2185</v>
      </c>
      <c r="F2188" s="18" t="str">
        <f>HYPERLINK("https://www.youtube.com/watch?v=fXa1KiaNXAs",'Players&gt;List'!$B14)</f>
        <v>[ESP]</v>
      </c>
      <c r="G2188" s="18" t="str">
        <f>HYPERLINK("https://www.youtube.com/watch?v=oz8cG6pkx5Q",'Players&gt;List'!$B28)</f>
        <v>[SUN]</v>
      </c>
      <c r="H2188" s="30"/>
      <c r="I2188" s="30"/>
      <c r="J2188" s="30"/>
      <c r="K2188" s="30"/>
      <c r="L2188" s="30"/>
      <c r="M2188" s="30"/>
      <c r="N2188" s="30"/>
      <c r="O2188" s="30"/>
      <c r="P2188" s="30"/>
    </row>
    <row r="2189">
      <c r="A2189" s="30"/>
      <c r="B2189" s="24" t="s">
        <v>4065</v>
      </c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30"/>
    </row>
    <row r="2190">
      <c r="A2190" s="30"/>
      <c r="B2190" s="4" t="s">
        <v>4068</v>
      </c>
      <c r="D2190" s="32"/>
      <c r="E2190" s="27" t="s">
        <v>14</v>
      </c>
      <c r="F2190" s="18" t="str">
        <f>HYPERLINK("https://youtu.be/QH1XnGOXBTc?t=4m58s",'Players&gt;List'!$B29)</f>
        <v>[SYS]</v>
      </c>
      <c r="G2190" s="30"/>
      <c r="H2190" s="30"/>
      <c r="I2190" s="30"/>
      <c r="J2190" s="30"/>
      <c r="K2190" s="30"/>
      <c r="L2190" s="30"/>
      <c r="M2190" s="30"/>
      <c r="N2190" s="30"/>
      <c r="O2190" s="30"/>
      <c r="P2190" s="30"/>
    </row>
    <row r="2191">
      <c r="A2191" s="30"/>
      <c r="B2191" s="25" t="s">
        <v>149</v>
      </c>
      <c r="E2191" s="26" t="s">
        <v>90</v>
      </c>
      <c r="F2191" s="30"/>
      <c r="G2191" s="30"/>
      <c r="H2191" s="30"/>
      <c r="I2191" s="30"/>
      <c r="J2191" s="30"/>
      <c r="K2191" s="30"/>
      <c r="L2191" s="30"/>
      <c r="M2191" s="30"/>
      <c r="N2191" s="30"/>
      <c r="O2191" s="30"/>
      <c r="P2191" s="30"/>
    </row>
    <row r="2192">
      <c r="A2192" s="30"/>
      <c r="B2192" s="25" t="s">
        <v>131</v>
      </c>
      <c r="E2192" s="26" t="s">
        <v>132</v>
      </c>
      <c r="F2192" s="18" t="str">
        <f>HYPERLINK("https://www.youtube.com/watch?v=ftQ4gvJE9u0",'Players&gt;List'!$B18)</f>
        <v>[HGB]</v>
      </c>
      <c r="G2192" s="18" t="str">
        <f>HYPERLINK("https://www.twitch.tv/videos/330705867",'Players&gt;List'!$B24)</f>
        <v>[NIM]</v>
      </c>
      <c r="H2192" s="30"/>
      <c r="I2192" s="30"/>
      <c r="J2192" s="30"/>
      <c r="K2192" s="30"/>
      <c r="L2192" s="30"/>
      <c r="M2192" s="30"/>
      <c r="N2192" s="30"/>
      <c r="O2192" s="30"/>
      <c r="P2192" s="30"/>
    </row>
    <row r="2193">
      <c r="A2193" s="30"/>
      <c r="B2193" s="24" t="s">
        <v>4075</v>
      </c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30"/>
    </row>
    <row r="2194">
      <c r="A2194" s="30"/>
      <c r="B2194" s="4" t="s">
        <v>4076</v>
      </c>
      <c r="D2194" s="32"/>
      <c r="E2194" s="27" t="s">
        <v>14</v>
      </c>
      <c r="F2194" s="30"/>
      <c r="G2194" s="30"/>
      <c r="H2194" s="30"/>
      <c r="I2194" s="30"/>
      <c r="J2194" s="30"/>
      <c r="K2194" s="30"/>
      <c r="L2194" s="30"/>
      <c r="M2194" s="30"/>
      <c r="N2194" s="30"/>
      <c r="O2194" s="30"/>
      <c r="P2194" s="30"/>
    </row>
    <row r="2195">
      <c r="A2195" s="30"/>
      <c r="B2195" s="25" t="s">
        <v>117</v>
      </c>
      <c r="E2195" s="26" t="s">
        <v>110</v>
      </c>
      <c r="F2195" s="18" t="str">
        <f>HYPERLINK("https://www.youtube.com/watch?v=Qk1tcMLwFoc",'Players&gt;List'!$B9)</f>
        <v>[AWE]</v>
      </c>
      <c r="G2195" s="18" t="str">
        <f>HYPERLINK("https://www.youtube.com/watch?v=_-UsnJYZUQs",'Players&gt;List'!$B14)</f>
        <v>[ESP]</v>
      </c>
      <c r="H2195" s="30"/>
      <c r="I2195" s="30"/>
      <c r="J2195" s="30"/>
      <c r="K2195" s="30"/>
      <c r="L2195" s="30"/>
      <c r="M2195" s="30"/>
      <c r="N2195" s="30"/>
      <c r="O2195" s="30"/>
      <c r="P2195" s="30"/>
    </row>
    <row r="2196">
      <c r="A2196" s="30"/>
      <c r="B2196" s="25" t="s">
        <v>88</v>
      </c>
      <c r="E2196" s="26" t="s">
        <v>147</v>
      </c>
      <c r="F2196" s="30"/>
      <c r="G2196" s="30"/>
      <c r="H2196" s="30"/>
      <c r="I2196" s="30"/>
      <c r="J2196" s="30"/>
      <c r="K2196" s="30"/>
      <c r="L2196" s="30"/>
      <c r="M2196" s="30"/>
      <c r="N2196" s="30"/>
      <c r="O2196" s="30"/>
      <c r="P2196" s="30"/>
    </row>
    <row r="2197">
      <c r="A2197" s="30"/>
      <c r="B2197" s="25" t="s">
        <v>149</v>
      </c>
      <c r="E2197" s="26" t="s">
        <v>147</v>
      </c>
      <c r="F2197" s="30"/>
      <c r="G2197" s="30"/>
      <c r="H2197" s="30"/>
      <c r="I2197" s="30"/>
      <c r="J2197" s="30"/>
      <c r="K2197" s="30"/>
      <c r="L2197" s="30"/>
      <c r="M2197" s="30"/>
      <c r="N2197" s="30"/>
      <c r="O2197" s="30"/>
      <c r="P2197" s="30"/>
    </row>
    <row r="2198">
      <c r="A2198" s="30"/>
      <c r="B2198" s="24" t="s">
        <v>4083</v>
      </c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30"/>
    </row>
    <row r="2199">
      <c r="A2199" s="30"/>
      <c r="B2199" s="4" t="s">
        <v>4084</v>
      </c>
      <c r="D2199" s="32"/>
      <c r="E2199" s="27" t="s">
        <v>14</v>
      </c>
      <c r="F2199" s="30"/>
      <c r="G2199" s="30"/>
      <c r="H2199" s="30"/>
      <c r="I2199" s="30"/>
      <c r="J2199" s="30"/>
      <c r="K2199" s="30"/>
      <c r="L2199" s="30"/>
      <c r="M2199" s="30"/>
      <c r="N2199" s="30"/>
      <c r="O2199" s="30"/>
      <c r="P2199" s="30"/>
    </row>
    <row r="2200">
      <c r="A2200" s="30"/>
      <c r="B2200" s="25" t="s">
        <v>149</v>
      </c>
      <c r="E2200" s="26" t="s">
        <v>90</v>
      </c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</row>
    <row r="2201">
      <c r="A2201" s="30"/>
      <c r="B2201" s="24" t="s">
        <v>4086</v>
      </c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30"/>
    </row>
    <row r="2202">
      <c r="A2202" s="30"/>
      <c r="B2202" s="4" t="s">
        <v>4088</v>
      </c>
      <c r="D2202" s="32"/>
      <c r="E2202" s="27" t="s">
        <v>14</v>
      </c>
      <c r="F2202" s="30"/>
      <c r="G2202" s="30"/>
      <c r="H2202" s="30"/>
      <c r="I2202" s="30"/>
      <c r="J2202" s="30"/>
      <c r="K2202" s="30"/>
      <c r="L2202" s="30"/>
      <c r="M2202" s="30"/>
      <c r="N2202" s="30"/>
      <c r="O2202" s="30"/>
      <c r="P2202" s="30"/>
    </row>
    <row r="2203">
      <c r="A2203" s="30"/>
      <c r="B2203" s="25" t="s">
        <v>2532</v>
      </c>
      <c r="E2203" s="26" t="s">
        <v>380</v>
      </c>
      <c r="F2203" s="18" t="str">
        <f>HYPERLINK("https://www.youtube.com/watch?v=OiwBchWLRfo",'Players&gt;List'!$B18)</f>
        <v>[HGB]</v>
      </c>
      <c r="G2203" s="18" t="str">
        <f>HYPERLINK("https://www.twitch.tv/videos/330705871",'Players&gt;List'!$B24)</f>
        <v>[NIM]</v>
      </c>
      <c r="H2203" s="30"/>
      <c r="I2203" s="30"/>
      <c r="J2203" s="30"/>
      <c r="K2203" s="30"/>
      <c r="L2203" s="30"/>
      <c r="M2203" s="30"/>
      <c r="N2203" s="30"/>
      <c r="O2203" s="30"/>
      <c r="P2203" s="30"/>
    </row>
    <row r="2204">
      <c r="A2204" s="30"/>
      <c r="B2204" s="25" t="s">
        <v>1706</v>
      </c>
      <c r="E2204" s="26" t="s">
        <v>1418</v>
      </c>
      <c r="F2204" s="18" t="str">
        <f>HYPERLINK("https://www.twitch.tv/videos/330705870",'Players&gt;List'!$B24)</f>
        <v>[NIM]</v>
      </c>
      <c r="G2204" s="30"/>
      <c r="H2204" s="30"/>
      <c r="I2204" s="30"/>
      <c r="J2204" s="30"/>
      <c r="K2204" s="30"/>
      <c r="L2204" s="30"/>
      <c r="M2204" s="30"/>
      <c r="N2204" s="30"/>
      <c r="O2204" s="30"/>
      <c r="P2204" s="30"/>
    </row>
    <row r="2205">
      <c r="A2205" s="30"/>
      <c r="B2205" s="24" t="s">
        <v>4096</v>
      </c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30"/>
    </row>
    <row r="2206">
      <c r="A2206" s="30"/>
      <c r="B2206" s="4" t="s">
        <v>4098</v>
      </c>
      <c r="D2206" s="32"/>
      <c r="E2206" s="27" t="s">
        <v>14</v>
      </c>
      <c r="F2206" s="30"/>
      <c r="G2206" s="30"/>
      <c r="H2206" s="30"/>
      <c r="I2206" s="30"/>
      <c r="J2206" s="30"/>
      <c r="K2206" s="30"/>
      <c r="L2206" s="30"/>
      <c r="M2206" s="30"/>
      <c r="N2206" s="30"/>
      <c r="O2206" s="30"/>
      <c r="P2206" s="30"/>
    </row>
    <row r="2207">
      <c r="A2207" s="30"/>
      <c r="B2207" s="25" t="s">
        <v>117</v>
      </c>
      <c r="E2207" s="26" t="s">
        <v>110</v>
      </c>
      <c r="F2207" s="18" t="str">
        <f>HYPERLINK("https://www.youtube.com/watch?v=57LZnz-CodI",'Players&gt;List'!$B9)</f>
        <v>[AWE]</v>
      </c>
      <c r="G2207" s="18" t="str">
        <f>HYPERLINK("https://www.youtube.com/watch?v=Scw_Xcnxul4",'Players&gt;List'!$B18)</f>
        <v>[HGB]</v>
      </c>
      <c r="H2207" s="18" t="str">
        <f>HYPERLINK("https://www.youtube.com/watch?v=uITyC7f2rko&amp;t=0s",'Players&gt;List'!$B23)</f>
        <v>[MOL]</v>
      </c>
      <c r="I2207" s="18" t="str">
        <f>HYPERLINK("https://www.twitch.tv/videos/330705872",'Players&gt;List'!$B24)</f>
        <v>[NIM]</v>
      </c>
      <c r="J2207" s="30"/>
      <c r="K2207" s="30"/>
      <c r="L2207" s="30"/>
      <c r="M2207" s="30"/>
      <c r="N2207" s="30"/>
      <c r="O2207" s="30"/>
      <c r="P2207" s="30"/>
    </row>
    <row r="2208">
      <c r="A2208" s="30"/>
      <c r="B2208" s="25" t="s">
        <v>157</v>
      </c>
      <c r="E2208" s="26" t="s">
        <v>132</v>
      </c>
      <c r="F2208" s="18" t="str">
        <f>HYPERLINK("https://www.twitch.tv/videos/330705868",'Players&gt;List'!$B24)</f>
        <v>[NIM]</v>
      </c>
      <c r="G2208" s="30"/>
      <c r="H2208" s="30"/>
      <c r="I2208" s="30"/>
      <c r="J2208" s="30"/>
      <c r="K2208" s="30"/>
      <c r="L2208" s="30"/>
      <c r="M2208" s="30"/>
      <c r="N2208" s="30"/>
      <c r="O2208" s="30"/>
      <c r="P2208" s="30"/>
    </row>
    <row r="2209">
      <c r="A2209" s="30"/>
      <c r="B2209" s="24" t="s">
        <v>4104</v>
      </c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30"/>
    </row>
    <row r="2210">
      <c r="A2210" s="30"/>
      <c r="B2210" s="4" t="s">
        <v>4106</v>
      </c>
      <c r="D2210" s="32"/>
      <c r="E2210" s="27" t="s">
        <v>14</v>
      </c>
      <c r="F2210" s="18" t="str">
        <f>HYPERLINK("https://www.youtube.com/watch?v=CnKOXQ3Q1t4",'Players&gt;List'!$B18)</f>
        <v>[HGB]</v>
      </c>
      <c r="G2210" s="30"/>
      <c r="H2210" s="30"/>
      <c r="I2210" s="30"/>
      <c r="J2210" s="30"/>
      <c r="K2210" s="30"/>
      <c r="L2210" s="30"/>
      <c r="M2210" s="30"/>
      <c r="N2210" s="30"/>
      <c r="O2210" s="30"/>
      <c r="P2210" s="30"/>
    </row>
    <row r="2211">
      <c r="A2211" s="30"/>
      <c r="B2211" s="25" t="s">
        <v>117</v>
      </c>
      <c r="E2211" s="26" t="s">
        <v>110</v>
      </c>
      <c r="F2211" s="18" t="str">
        <f>HYPERLINK("https://www.youtube.com/watch?v=5mZ_EbqvCD4",'Players&gt;List'!$B18)</f>
        <v>[HGB]</v>
      </c>
      <c r="G2211" s="18" t="str">
        <f>HYPERLINK("https://www.twitch.tv/videos/330705869",'Players&gt;List'!$B24)</f>
        <v>[NIM]</v>
      </c>
      <c r="H2211" s="30"/>
      <c r="I2211" s="30"/>
      <c r="J2211" s="30"/>
      <c r="K2211" s="30"/>
      <c r="L2211" s="30"/>
      <c r="M2211" s="30"/>
      <c r="N2211" s="30"/>
      <c r="O2211" s="30"/>
      <c r="P2211" s="30"/>
    </row>
    <row r="2212">
      <c r="A2212" s="30"/>
      <c r="B2212" s="24" t="s">
        <v>4109</v>
      </c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30"/>
    </row>
    <row r="2213">
      <c r="A2213" s="30"/>
      <c r="B2213" s="4" t="s">
        <v>4112</v>
      </c>
      <c r="D2213" s="32"/>
      <c r="E2213" s="27" t="s">
        <v>14</v>
      </c>
      <c r="F2213" s="30"/>
      <c r="G2213" s="30"/>
      <c r="H2213" s="30"/>
      <c r="I2213" s="30"/>
      <c r="J2213" s="30"/>
      <c r="K2213" s="30"/>
      <c r="L2213" s="30"/>
      <c r="M2213" s="30"/>
      <c r="N2213" s="30"/>
      <c r="O2213" s="30"/>
      <c r="P2213" s="30"/>
    </row>
    <row r="2214">
      <c r="A2214" s="30"/>
      <c r="B2214" s="25" t="s">
        <v>117</v>
      </c>
      <c r="E2214" s="26" t="s">
        <v>110</v>
      </c>
      <c r="F2214" s="18" t="str">
        <f>HYPERLINK("https://www.twitch.tv/videos/336694988",'Players&gt;List'!$B24)</f>
        <v>[NIM]</v>
      </c>
      <c r="G2214" s="30"/>
      <c r="H2214" s="30"/>
      <c r="I2214" s="30"/>
      <c r="J2214" s="30"/>
      <c r="K2214" s="30"/>
      <c r="L2214" s="30"/>
      <c r="M2214" s="30"/>
      <c r="N2214" s="30"/>
      <c r="O2214" s="30"/>
      <c r="P2214" s="30"/>
    </row>
    <row r="2215">
      <c r="A2215" s="30"/>
      <c r="B2215" s="24" t="s">
        <v>4113</v>
      </c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30"/>
    </row>
    <row r="2216">
      <c r="A2216" s="30"/>
      <c r="B2216" s="4" t="s">
        <v>4115</v>
      </c>
      <c r="D2216" s="32"/>
      <c r="E2216" s="27" t="s">
        <v>14</v>
      </c>
      <c r="F2216" s="30"/>
      <c r="G2216" s="30"/>
      <c r="H2216" s="30"/>
      <c r="I2216" s="30"/>
      <c r="J2216" s="30"/>
      <c r="K2216" s="30"/>
      <c r="L2216" s="30"/>
      <c r="M2216" s="30"/>
      <c r="N2216" s="30"/>
      <c r="O2216" s="30"/>
      <c r="P2216" s="30"/>
    </row>
    <row r="2217">
      <c r="A2217" s="30"/>
      <c r="B2217" s="25" t="s">
        <v>88</v>
      </c>
      <c r="E2217" s="26" t="s">
        <v>90</v>
      </c>
      <c r="F2217" s="18" t="str">
        <f>HYPERLINK("https://youtu.be/CBdeOOiqFRY?t=6",'Players&gt;List'!$B23)</f>
        <v>[MOL]</v>
      </c>
      <c r="G2217" s="18" t="str">
        <f>HYPERLINK("https://www.twitch.tv/videos/88685530",'Players&gt;List'!$B32)</f>
        <v>[XEL]</v>
      </c>
      <c r="H2217" s="18" t="str">
        <f>HYPERLINK("https://www.youtube.com/watch?v=mATpdCI2Ms4",'Players&gt;List'!$B19)</f>
        <v>[HIT]</v>
      </c>
      <c r="I2217" s="18" t="str">
        <f>HYPERLINK("https://www.twitch.tv/videos/263004135",'Players&gt;List'!$B17)</f>
        <v>[GOL]</v>
      </c>
      <c r="J2217" s="18" t="str">
        <f>HYPERLINK("https://www.twitch.tv/videos/340746516",'Players&gt;List'!$B24)</f>
        <v>[NIM]</v>
      </c>
      <c r="K2217" s="18" t="str">
        <f>HYPERLINK("https://youtu.be/icOKDoohwEg",'Players&gt;List'!$B8)</f>
        <v>[ABA]</v>
      </c>
      <c r="L2217" s="30"/>
      <c r="M2217" s="30"/>
      <c r="N2217" s="30"/>
      <c r="O2217" s="30"/>
      <c r="P2217" s="30"/>
    </row>
    <row r="2218">
      <c r="A2218" s="30"/>
      <c r="B2218" s="25" t="s">
        <v>149</v>
      </c>
      <c r="E2218" s="26" t="s">
        <v>147</v>
      </c>
      <c r="F2218" s="18" t="str">
        <f>HYPERLINK("https://www.youtube.com/watch?v=3JFFqLIeNHA",'Players&gt;List'!$B23)</f>
        <v>[MOL]</v>
      </c>
      <c r="G2218" s="18" t="str">
        <f>HYPERLINK("https://www.twitch.tv/videos/88686271",'Players&gt;List'!$B32)</f>
        <v>[XEL]</v>
      </c>
      <c r="H2218" s="18" t="str">
        <f>HYPERLINK("https://youtu.be/j1zrW2qpQv8",'Players&gt;List'!$B8)</f>
        <v>[ABA]</v>
      </c>
      <c r="I2218" s="18" t="str">
        <f>HYPERLINK("https://www.youtube.com/watch?v=qnePQSjVyEE",'Players&gt;List'!$B19)</f>
        <v>[HIT]</v>
      </c>
      <c r="J2218" s="18" t="str">
        <f>HYPERLINK("https://youtu.be/NpRLHUVqjoc?t=410",'Players&gt;List'!$B22)</f>
        <v>[MAQ]</v>
      </c>
      <c r="K2218" s="18" t="str">
        <f>HYPERLINK("https://www.twitch.tv/videos/325388410",'Players&gt;List'!$B16)</f>
        <v>[GEA]</v>
      </c>
      <c r="L2218" s="18" t="str">
        <f>HYPERLINK("https://youtu.be/i6sjv6-GWq8?t=31",'Players&gt;List'!$B15)</f>
        <v>[FNY]</v>
      </c>
      <c r="M2218" s="18" t="str">
        <f>HYPERLINK("https://www.twitch.tv/videos/326949396",'Players&gt;List'!$B17)</f>
        <v>[GOL]</v>
      </c>
      <c r="N2218" s="18" t="str">
        <f>HYPERLINK("https://www.twitch.tv/videos/342876214",'Players&gt;List'!$B24)</f>
        <v>[NIM]</v>
      </c>
      <c r="O2218" s="18" t="str">
        <f>HYPERLINK("https://www.youtube.com/watch?v=kOEgwXLnkFs",'Players&gt;List'!$B11)</f>
        <v>[CHB]</v>
      </c>
      <c r="P2218" s="30"/>
    </row>
    <row r="2219">
      <c r="A2219" s="30"/>
      <c r="B2219" s="24" t="s">
        <v>4135</v>
      </c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30"/>
    </row>
    <row r="2220">
      <c r="A2220" s="30"/>
      <c r="B2220" s="4" t="s">
        <v>4137</v>
      </c>
      <c r="D2220" s="32"/>
      <c r="E2220" s="27" t="s">
        <v>14</v>
      </c>
      <c r="F2220" s="30"/>
      <c r="G2220" s="30"/>
      <c r="H2220" s="30"/>
      <c r="I2220" s="30"/>
      <c r="J2220" s="30"/>
      <c r="K2220" s="30"/>
      <c r="L2220" s="30"/>
      <c r="M2220" s="30"/>
      <c r="N2220" s="30"/>
      <c r="O2220" s="30"/>
      <c r="P2220" s="30"/>
    </row>
    <row r="2221">
      <c r="A2221" s="30"/>
      <c r="B2221" s="25" t="s">
        <v>117</v>
      </c>
      <c r="E2221" s="26" t="s">
        <v>110</v>
      </c>
      <c r="F2221" s="18" t="str">
        <f>HYPERLINK("https://www.youtube.com/watch?v=NfFnha1uK4o",'Players&gt;List'!$B18)</f>
        <v>[HGB]</v>
      </c>
      <c r="G2221" s="30"/>
      <c r="H2221" s="30"/>
      <c r="I2221" s="30"/>
      <c r="J2221" s="30"/>
      <c r="K2221" s="30"/>
      <c r="L2221" s="30"/>
      <c r="M2221" s="30"/>
      <c r="N2221" s="30"/>
      <c r="O2221" s="30"/>
      <c r="P2221" s="30"/>
    </row>
    <row r="2222">
      <c r="A2222" s="30"/>
      <c r="B2222" s="25" t="s">
        <v>157</v>
      </c>
      <c r="E2222" s="26" t="s">
        <v>132</v>
      </c>
      <c r="F2222" s="18" t="str">
        <f>HYPERLINK("https://www.youtube.com/watch?v=dRkJ1gDaXEM",'Players&gt;List'!$B28)</f>
        <v>[SUN]</v>
      </c>
      <c r="G2222" s="30"/>
      <c r="H2222" s="30"/>
      <c r="I2222" s="30"/>
      <c r="J2222" s="30"/>
      <c r="K2222" s="30"/>
      <c r="L2222" s="30"/>
      <c r="M2222" s="30"/>
      <c r="N2222" s="30"/>
      <c r="O2222" s="30"/>
      <c r="P2222" s="30"/>
    </row>
    <row r="2223">
      <c r="A2223" s="30"/>
      <c r="B2223" s="24" t="s">
        <v>4141</v>
      </c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30"/>
    </row>
    <row r="2224">
      <c r="A2224" s="30"/>
      <c r="B2224" s="4" t="s">
        <v>4142</v>
      </c>
      <c r="D2224" s="32"/>
      <c r="E2224" s="27" t="s">
        <v>14</v>
      </c>
      <c r="F2224" s="30"/>
      <c r="G2224" s="30"/>
      <c r="H2224" s="30"/>
      <c r="I2224" s="30"/>
      <c r="J2224" s="30"/>
      <c r="K2224" s="30"/>
      <c r="L2224" s="30"/>
      <c r="M2224" s="30"/>
      <c r="N2224" s="30"/>
      <c r="O2224" s="30"/>
      <c r="P2224" s="30"/>
    </row>
    <row r="2225">
      <c r="A2225" s="30"/>
      <c r="B2225" s="25" t="s">
        <v>117</v>
      </c>
      <c r="E2225" s="26" t="s">
        <v>110</v>
      </c>
      <c r="F2225" s="18" t="str">
        <f>HYPERLINK("https://www.twitch.tv/videos/336694986",'Players&gt;List'!$B24)</f>
        <v>[NIM]</v>
      </c>
      <c r="G2225" s="30"/>
      <c r="H2225" s="30"/>
      <c r="I2225" s="30"/>
      <c r="J2225" s="30"/>
      <c r="K2225" s="30"/>
      <c r="L2225" s="30"/>
      <c r="M2225" s="30"/>
      <c r="N2225" s="30"/>
      <c r="O2225" s="30"/>
      <c r="P2225" s="30"/>
    </row>
    <row r="2226">
      <c r="A2226" s="30"/>
      <c r="B2226" s="24" t="s">
        <v>4144</v>
      </c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30"/>
    </row>
    <row r="2227">
      <c r="A2227" s="30"/>
      <c r="B2227" s="4" t="s">
        <v>4148</v>
      </c>
      <c r="D2227" s="32"/>
      <c r="E2227" s="27" t="s">
        <v>14</v>
      </c>
      <c r="F2227" s="18" t="str">
        <f>HYPERLINK("https://www.youtube.com/watch?v=EN0HINfZ5Sg",'Players&gt;List'!$B18)</f>
        <v>[HGB]</v>
      </c>
      <c r="G2227" s="30"/>
      <c r="H2227" s="30"/>
      <c r="I2227" s="30"/>
      <c r="J2227" s="30"/>
      <c r="K2227" s="30"/>
      <c r="L2227" s="30"/>
      <c r="M2227" s="30"/>
      <c r="N2227" s="30"/>
      <c r="O2227" s="30"/>
      <c r="P2227" s="30"/>
    </row>
    <row r="2228">
      <c r="A2228" s="30"/>
      <c r="B2228" s="25" t="s">
        <v>117</v>
      </c>
      <c r="E2228" s="26" t="s">
        <v>110</v>
      </c>
      <c r="F2228" s="18" t="str">
        <f>HYPERLINK("https://www.youtube.com/watch?v=bviRWh9fTbI",'Players&gt;List'!$B18)</f>
        <v>[HGB]</v>
      </c>
      <c r="G2228" s="30"/>
      <c r="H2228" s="30"/>
      <c r="I2228" s="30"/>
      <c r="J2228" s="30"/>
      <c r="K2228" s="30"/>
      <c r="L2228" s="30"/>
      <c r="M2228" s="30"/>
      <c r="N2228" s="30"/>
      <c r="O2228" s="30"/>
      <c r="P2228" s="30"/>
    </row>
    <row r="2229">
      <c r="A2229" s="30"/>
      <c r="B2229" s="24" t="s">
        <v>4150</v>
      </c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30"/>
    </row>
    <row r="2230">
      <c r="A2230" s="30"/>
      <c r="B2230" s="4" t="s">
        <v>4151</v>
      </c>
      <c r="D2230" s="32"/>
      <c r="E2230" s="27" t="s">
        <v>14</v>
      </c>
      <c r="F2230" s="30"/>
      <c r="G2230" s="30"/>
      <c r="H2230" s="30"/>
      <c r="I2230" s="30"/>
      <c r="J2230" s="30"/>
      <c r="K2230" s="30"/>
      <c r="L2230" s="30"/>
      <c r="M2230" s="30"/>
      <c r="N2230" s="30"/>
      <c r="O2230" s="30"/>
      <c r="P2230" s="30"/>
    </row>
    <row r="2231">
      <c r="A2231" s="30"/>
      <c r="B2231" s="25" t="s">
        <v>117</v>
      </c>
      <c r="E2231" s="26" t="s">
        <v>110</v>
      </c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</row>
    <row r="2232">
      <c r="A2232" s="30"/>
      <c r="B2232" s="24" t="s">
        <v>4154</v>
      </c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30"/>
    </row>
    <row r="2233">
      <c r="A2233" s="30"/>
      <c r="B2233" s="4" t="s">
        <v>4157</v>
      </c>
      <c r="D2233" s="32"/>
      <c r="E2233" s="27" t="s">
        <v>14</v>
      </c>
      <c r="F2233" s="30"/>
      <c r="G2233" s="30"/>
      <c r="H2233" s="30"/>
      <c r="I2233" s="30"/>
      <c r="J2233" s="30"/>
      <c r="K2233" s="30"/>
      <c r="L2233" s="30"/>
      <c r="M2233" s="30"/>
      <c r="N2233" s="30"/>
      <c r="O2233" s="30"/>
      <c r="P2233" s="30"/>
    </row>
    <row r="2234">
      <c r="A2234" s="30"/>
      <c r="B2234" s="25" t="s">
        <v>117</v>
      </c>
      <c r="E2234" s="26" t="s">
        <v>110</v>
      </c>
      <c r="F2234" s="18" t="str">
        <f>HYPERLINK("https://www.youtube.com/watch?v=xYR53B5qx2Y",'Players&gt;List'!$B18)</f>
        <v>[HGB]</v>
      </c>
      <c r="G2234" s="18" t="str">
        <f>HYPERLINK("https://www.twitch.tv/videos/330278575",'Players&gt;List'!$B24)</f>
        <v>[NIM]</v>
      </c>
      <c r="H2234" s="30"/>
      <c r="I2234" s="30"/>
      <c r="J2234" s="30"/>
      <c r="K2234" s="30"/>
      <c r="L2234" s="30"/>
      <c r="M2234" s="30"/>
      <c r="N2234" s="30"/>
      <c r="O2234" s="30"/>
      <c r="P2234" s="30"/>
    </row>
    <row r="2235">
      <c r="A2235" s="30"/>
      <c r="B2235" s="25" t="s">
        <v>149</v>
      </c>
      <c r="E2235" s="26" t="s">
        <v>147</v>
      </c>
      <c r="F2235" s="30"/>
      <c r="G2235" s="30"/>
      <c r="H2235" s="30"/>
      <c r="I2235" s="30"/>
      <c r="J2235" s="30"/>
      <c r="K2235" s="30"/>
      <c r="L2235" s="30"/>
      <c r="M2235" s="30"/>
      <c r="N2235" s="30"/>
      <c r="O2235" s="30"/>
      <c r="P2235" s="30"/>
    </row>
    <row r="2236">
      <c r="A2236" s="30"/>
      <c r="B2236" s="25" t="s">
        <v>157</v>
      </c>
      <c r="E2236" s="26" t="s">
        <v>132</v>
      </c>
      <c r="F2236" s="18" t="str">
        <f>HYPERLINK("https://www.youtube.com/watch?v=dy9_gqFBLOc",'Players&gt;List'!$B18)</f>
        <v>[HGB]</v>
      </c>
      <c r="G2236" s="18" t="str">
        <f>HYPERLINK("https://www.twitch.tv/videos/330278574",'Players&gt;List'!$B24)</f>
        <v>[NIM]</v>
      </c>
      <c r="H2236" s="30"/>
      <c r="I2236" s="30"/>
      <c r="J2236" s="30"/>
      <c r="K2236" s="30"/>
      <c r="L2236" s="30"/>
      <c r="M2236" s="30"/>
      <c r="N2236" s="30"/>
      <c r="O2236" s="30"/>
      <c r="P2236" s="30"/>
    </row>
    <row r="2237">
      <c r="A2237" s="30"/>
      <c r="B2237" s="24" t="s">
        <v>4162</v>
      </c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30"/>
    </row>
    <row r="2238">
      <c r="A2238" s="30"/>
      <c r="B2238" s="4" t="s">
        <v>4164</v>
      </c>
      <c r="D2238" s="32"/>
      <c r="E2238" s="27" t="s">
        <v>14</v>
      </c>
      <c r="F2238" s="30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</row>
    <row r="2239">
      <c r="A2239" s="30"/>
      <c r="B2239" s="25" t="s">
        <v>149</v>
      </c>
      <c r="E2239" s="26" t="s">
        <v>90</v>
      </c>
      <c r="F2239" s="18" t="str">
        <f>HYPERLINK("https://www.youtube.com/watch?v=3KWNUjd0Z48",'Players&gt;List'!$B18)</f>
        <v>[HGB]</v>
      </c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</row>
    <row r="2240">
      <c r="A2240" s="30"/>
      <c r="B2240" s="24" t="s">
        <v>4166</v>
      </c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30"/>
    </row>
    <row r="2241">
      <c r="A2241" s="30"/>
      <c r="B2241" s="4" t="s">
        <v>4167</v>
      </c>
      <c r="D2241" s="32"/>
      <c r="E2241" s="27" t="s">
        <v>14</v>
      </c>
      <c r="F2241" s="18" t="str">
        <f>HYPERLINK("https://www.youtube.com/watch?v=xOsMaqMzKa8",'Players&gt;List'!$B28)</f>
        <v>[SUN]</v>
      </c>
      <c r="G2241" s="30"/>
      <c r="H2241" s="30"/>
      <c r="I2241" s="30"/>
      <c r="J2241" s="30"/>
      <c r="K2241" s="30"/>
      <c r="L2241" s="30"/>
      <c r="M2241" s="30"/>
      <c r="N2241" s="30"/>
      <c r="O2241" s="30"/>
      <c r="P2241" s="30"/>
    </row>
    <row r="2242">
      <c r="A2242" s="30"/>
      <c r="B2242" s="25" t="s">
        <v>117</v>
      </c>
      <c r="E2242" s="26" t="s">
        <v>110</v>
      </c>
      <c r="F2242" s="18" t="str">
        <f>HYPERLINK("https://www.youtube.com/watch?v=FrVfQEkzUpI",'Players&gt;List'!$B18)</f>
        <v>[HGB]</v>
      </c>
      <c r="G2242" s="18" t="str">
        <f>HYPERLINK("https://www.youtube.com/watch?v=kCygW2EYAXc",'Players&gt;List'!$B28)</f>
        <v>[SUN]</v>
      </c>
      <c r="H2242" s="18" t="str">
        <f>HYPERLINK("https://www.twitch.tv/videos/336783014",'Players&gt;List'!$B24)</f>
        <v>[NIM]</v>
      </c>
      <c r="I2242" s="30"/>
      <c r="J2242" s="30"/>
      <c r="K2242" s="30"/>
      <c r="L2242" s="30"/>
      <c r="M2242" s="30"/>
      <c r="N2242" s="30"/>
      <c r="O2242" s="30"/>
      <c r="P2242" s="30"/>
    </row>
    <row r="2243">
      <c r="A2243" s="30"/>
      <c r="B2243" s="25" t="s">
        <v>88</v>
      </c>
      <c r="E2243" s="26" t="s">
        <v>147</v>
      </c>
      <c r="F2243" s="18" t="str">
        <f>HYPERLINK("https://www.youtube.com/watch?v=gzHOglwdJRk",'Players&gt;List'!$B28)</f>
        <v>[SUN]</v>
      </c>
      <c r="G2243" s="30"/>
      <c r="H2243" s="30"/>
      <c r="I2243" s="30"/>
      <c r="J2243" s="30"/>
      <c r="K2243" s="30"/>
      <c r="L2243" s="30"/>
      <c r="M2243" s="30"/>
      <c r="N2243" s="30"/>
      <c r="O2243" s="30"/>
      <c r="P2243" s="30"/>
    </row>
    <row r="2244">
      <c r="A2244" s="30"/>
      <c r="B2244" s="25" t="s">
        <v>149</v>
      </c>
      <c r="E2244" s="26" t="s">
        <v>147</v>
      </c>
      <c r="F2244" s="18" t="str">
        <f>HYPERLINK("https://www.youtube.com/watch?v=xOsMaqMzKa8",'Players&gt;List'!$B28)</f>
        <v>[SUN]</v>
      </c>
      <c r="G2244" s="30"/>
      <c r="H2244" s="30"/>
      <c r="I2244" s="30"/>
      <c r="J2244" s="30"/>
      <c r="K2244" s="30"/>
      <c r="L2244" s="30"/>
      <c r="M2244" s="30"/>
      <c r="N2244" s="30"/>
      <c r="O2244" s="30"/>
      <c r="P2244" s="30"/>
    </row>
    <row r="2245">
      <c r="A2245" s="30"/>
      <c r="B2245" s="25" t="s">
        <v>649</v>
      </c>
      <c r="E2245" s="26" t="s">
        <v>147</v>
      </c>
      <c r="F2245" s="30"/>
      <c r="G2245" s="30"/>
      <c r="H2245" s="30"/>
      <c r="I2245" s="30"/>
      <c r="J2245" s="30"/>
      <c r="K2245" s="30"/>
      <c r="L2245" s="30"/>
      <c r="M2245" s="30"/>
      <c r="N2245" s="30"/>
      <c r="O2245" s="30"/>
      <c r="P2245" s="30"/>
    </row>
    <row r="2246">
      <c r="A2246" s="30"/>
      <c r="B2246" s="25" t="s">
        <v>400</v>
      </c>
      <c r="E2246" s="26" t="s">
        <v>358</v>
      </c>
      <c r="F2246" s="18" t="str">
        <f>HYPERLINK("https://www.twitch.tv/videos/87266085",'Players&gt;List'!$B32)</f>
        <v>[XEL]</v>
      </c>
      <c r="G2246" s="18" t="str">
        <f>HYPERLINK("https://www.youtube.com/watch?v=8pTMQBjtq0E",'Players&gt;List'!$B18)</f>
        <v>[HGB]</v>
      </c>
      <c r="H2246" s="18" t="str">
        <f>HYPERLINK("https://youtu.be/L4yBAyYe4SU",'Players&gt;List'!$B19)</f>
        <v>[HIT]</v>
      </c>
      <c r="I2246" s="18" t="str">
        <f>HYPERLINK("https://youtu.be/Xgu8Dzr9N7s",'Players&gt;List'!$B28)</f>
        <v>[SUN]</v>
      </c>
      <c r="J2246" s="18" t="str">
        <f>HYPERLINK("https://www.twitch.tv/videos/336783015",'Players&gt;List'!$B24)</f>
        <v>[NIM]</v>
      </c>
      <c r="K2246" s="18" t="str">
        <f>HYPERLINK("https://www.twitch.tv/videos/342887271",'Players&gt;List'!$B17)</f>
        <v>[GOL]</v>
      </c>
      <c r="L2246" s="30"/>
      <c r="M2246" s="30"/>
      <c r="N2246" s="30"/>
      <c r="O2246" s="30"/>
      <c r="P2246" s="30"/>
    </row>
    <row r="2247">
      <c r="A2247" s="30"/>
      <c r="B2247" s="24" t="s">
        <v>4176</v>
      </c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30"/>
    </row>
    <row r="2248">
      <c r="A2248" s="30"/>
      <c r="B2248" s="4" t="s">
        <v>4177</v>
      </c>
      <c r="D2248" s="32"/>
      <c r="E2248" s="27" t="s">
        <v>14</v>
      </c>
      <c r="F2248" s="30"/>
      <c r="G2248" s="30"/>
      <c r="H2248" s="30"/>
      <c r="I2248" s="30"/>
      <c r="J2248" s="30"/>
      <c r="K2248" s="30"/>
      <c r="L2248" s="30"/>
      <c r="M2248" s="30"/>
      <c r="N2248" s="30"/>
      <c r="O2248" s="30"/>
      <c r="P2248" s="30"/>
    </row>
    <row r="2249">
      <c r="A2249" s="30"/>
      <c r="B2249" s="25" t="s">
        <v>157</v>
      </c>
      <c r="E2249" s="26" t="s">
        <v>110</v>
      </c>
      <c r="F2249" s="18" t="str">
        <f>HYPERLINK("https://www.youtube.com/watch?v=_ZQ0K06zMC0",'Players&gt;List'!$B18)</f>
        <v>[HGB]</v>
      </c>
      <c r="G2249" s="18" t="str">
        <f>HYPERLINK("https://www.youtube.com/watch?v=cu6BBsUGcAk",'Players&gt;List'!$B28)</f>
        <v>[SUN]</v>
      </c>
      <c r="H2249" s="30"/>
      <c r="I2249" s="30"/>
      <c r="J2249" s="30"/>
      <c r="K2249" s="30"/>
      <c r="L2249" s="30"/>
      <c r="M2249" s="30"/>
      <c r="N2249" s="30"/>
      <c r="O2249" s="30"/>
      <c r="P2249" s="30"/>
    </row>
    <row r="2250">
      <c r="A2250" s="1"/>
      <c r="B2250" s="24" t="s">
        <v>4182</v>
      </c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"/>
    </row>
    <row r="2251">
      <c r="A2251" s="1"/>
      <c r="B2251" s="4" t="s">
        <v>4184</v>
      </c>
      <c r="D2251" s="9"/>
      <c r="E2251" s="17" t="s">
        <v>14</v>
      </c>
      <c r="F2251" s="18" t="str">
        <f>HYPERLINK("https://www.youtube.com/watch?v=JMWv6GPDT2Q",'Players&gt;List'!$B29)</f>
        <v>[SYS]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>
      <c r="A2252" s="1"/>
      <c r="B2252" s="25" t="s">
        <v>131</v>
      </c>
      <c r="E2252" s="26" t="s">
        <v>110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>
      <c r="A2253" s="1"/>
      <c r="B2253" s="24" t="s">
        <v>4188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"/>
    </row>
    <row r="2254">
      <c r="A2254" s="1"/>
      <c r="B2254" s="4" t="s">
        <v>4189</v>
      </c>
      <c r="D2254" s="9"/>
      <c r="E2254" s="17" t="s">
        <v>14</v>
      </c>
      <c r="F2254" s="18" t="str">
        <f>HYPERLINK("https://youtu.be/JMWv6GPDT2Q?t=24s",'Players&gt;List'!$B29)</f>
        <v>[SYS]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>
      <c r="A2255" s="1"/>
      <c r="B2255" s="25" t="s">
        <v>108</v>
      </c>
      <c r="E2255" s="26" t="s">
        <v>110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>
      <c r="A2256" s="1"/>
      <c r="B2256" s="25" t="s">
        <v>149</v>
      </c>
      <c r="E2256" s="26" t="s">
        <v>147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>
      <c r="A2257" s="1"/>
      <c r="B2257" s="24" t="s">
        <v>4191</v>
      </c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"/>
    </row>
    <row r="2258">
      <c r="A2258" s="1"/>
      <c r="B2258" s="4" t="s">
        <v>4193</v>
      </c>
      <c r="D2258" s="9"/>
      <c r="E2258" s="17" t="s">
        <v>14</v>
      </c>
      <c r="F2258" s="18" t="str">
        <f>HYPERLINK("https://youtu.be/JMWv6GPDT2Q?t=45s",'Players&gt;List'!$B29)</f>
        <v>[SYS]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>
      <c r="A2259" s="1"/>
      <c r="B2259" s="25" t="s">
        <v>157</v>
      </c>
      <c r="E2259" s="26" t="s">
        <v>110</v>
      </c>
      <c r="F2259" s="18" t="str">
        <f>HYPERLINK("https://www.twitch.tv/videos/337148051",'Players&gt;List'!$B24)</f>
        <v>[NIM]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>
      <c r="A2260" s="1"/>
      <c r="B2260" s="25" t="s">
        <v>117</v>
      </c>
      <c r="E2260" s="26" t="s">
        <v>132</v>
      </c>
      <c r="F2260" s="18" t="str">
        <f>HYPERLINK("https://www.twitch.tv/videos/87263751",'Players&gt;List'!$B32)</f>
        <v>[XEL]</v>
      </c>
      <c r="G2260" s="18" t="str">
        <f>HYPERLINK("https://www.youtube.com/watch?v=LsCvIItfr-c",'Players&gt;List'!$B23)</f>
        <v>[MOL]</v>
      </c>
      <c r="H2260" s="18" t="str">
        <f>HYPERLINK("https://www.youtube.com/watch?v=UInzc5A7WYQ",'Players&gt;List'!$B8)</f>
        <v>[ABA]</v>
      </c>
      <c r="I2260" s="18" t="str">
        <f>HYPERLINK("https://www.youtube.com/watch?v=5s-jAA_FcZg",'Players&gt;List'!$B14)</f>
        <v>[ESP]</v>
      </c>
      <c r="J2260" s="18" t="str">
        <f>HYPERLINK("https://www.youtube.com/watch?v=IzeDO_AILhs",'Players&gt;List'!$B19)</f>
        <v>[HIT]</v>
      </c>
      <c r="K2260" s="18" t="str">
        <f>HYPERLINK("https://www.twitch.tv/videos/338297436",'Players&gt;List'!$B24)</f>
        <v>[NIM]</v>
      </c>
      <c r="L2260" s="1"/>
      <c r="M2260" s="1"/>
      <c r="N2260" s="1"/>
      <c r="O2260" s="1"/>
      <c r="P2260" s="1"/>
    </row>
    <row r="2261">
      <c r="A2261" s="1"/>
      <c r="B2261" s="24" t="s">
        <v>4204</v>
      </c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"/>
    </row>
    <row r="2262">
      <c r="A2262" s="1"/>
      <c r="B2262" s="4" t="s">
        <v>4205</v>
      </c>
      <c r="D2262" s="9"/>
      <c r="E2262" s="17" t="s">
        <v>14</v>
      </c>
      <c r="F2262" s="18" t="str">
        <f>HYPERLINK("https://youtu.be/JMWv6GPDT2Q?t=2m6s",'Players&gt;List'!$B29)</f>
        <v>[SYS]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>
      <c r="A2263" s="1"/>
      <c r="B2263" s="25" t="s">
        <v>2532</v>
      </c>
      <c r="E2263" s="26" t="s">
        <v>380</v>
      </c>
      <c r="F2263" s="18" t="str">
        <f>HYPERLINK("https://www.twitch.tv/videos/337146674",'Players&gt;List'!$B24)</f>
        <v>[NIM]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>
      <c r="A2264" s="1"/>
      <c r="B2264" s="25" t="s">
        <v>108</v>
      </c>
      <c r="E2264" s="26" t="s">
        <v>132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>
      <c r="A2265" s="1"/>
      <c r="B2265" s="25" t="s">
        <v>2634</v>
      </c>
      <c r="E2265" s="26" t="s">
        <v>1418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>
      <c r="A2266" s="1"/>
      <c r="B2266" s="24" t="s">
        <v>4211</v>
      </c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"/>
    </row>
    <row r="2267">
      <c r="A2267" s="1"/>
      <c r="B2267" s="4" t="s">
        <v>4213</v>
      </c>
      <c r="D2267" s="9"/>
      <c r="E2267" s="17" t="s">
        <v>14</v>
      </c>
      <c r="F2267" s="18" t="str">
        <f>HYPERLINK("https://youtu.be/JMWv6GPDT2Q?t=3m16s",'Players&gt;List'!$B29)</f>
        <v>[SYS]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>
      <c r="A2268" s="1"/>
      <c r="B2268" s="25" t="s">
        <v>117</v>
      </c>
      <c r="E2268" s="26" t="s">
        <v>110</v>
      </c>
      <c r="F2268" s="18" t="str">
        <f>HYPERLINK("https://www.youtube.com/watch?v=T_CbpxThouM",'Players&gt;List'!$B18)</f>
        <v>[HGB]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>
      <c r="A2269" s="1"/>
      <c r="B2269" s="25" t="s">
        <v>88</v>
      </c>
      <c r="E2269" s="26" t="s">
        <v>147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>
      <c r="A2270" s="1"/>
      <c r="B2270" s="25" t="s">
        <v>149</v>
      </c>
      <c r="E2270" s="26" t="s">
        <v>147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>
      <c r="A2271" s="1"/>
      <c r="B2271" s="24" t="s">
        <v>4216</v>
      </c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"/>
    </row>
    <row r="2272">
      <c r="A2272" s="1"/>
      <c r="B2272" s="4" t="s">
        <v>4219</v>
      </c>
      <c r="D2272" s="9"/>
      <c r="E2272" s="17" t="s">
        <v>14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>
      <c r="A2273" s="1"/>
      <c r="B2273" s="25" t="s">
        <v>131</v>
      </c>
      <c r="E2273" s="26" t="s">
        <v>110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>
      <c r="A2274" s="1"/>
      <c r="B2274" s="24" t="s">
        <v>4220</v>
      </c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"/>
    </row>
    <row r="2275">
      <c r="A2275" s="1"/>
      <c r="B2275" s="4" t="s">
        <v>4221</v>
      </c>
      <c r="D2275" s="9"/>
      <c r="E2275" s="17" t="s">
        <v>14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>
      <c r="A2276" s="1"/>
      <c r="B2276" s="25" t="s">
        <v>117</v>
      </c>
      <c r="E2276" s="26" t="s">
        <v>110</v>
      </c>
      <c r="F2276" s="18" t="str">
        <f>HYPERLINK("https://www.youtube.com/watch?v=iG4CvZoneIE",'Players&gt;List'!$B9)</f>
        <v>[AWE]</v>
      </c>
      <c r="G2276" s="18" t="str">
        <f>HYPERLINK("https://www.youtube.com/watch?v=2XG1e6Dv6RQ",'Players&gt;List'!$B28)</f>
        <v>[SUN]</v>
      </c>
      <c r="H2276" s="18" t="str">
        <f>HYPERLINK("https://www.twitch.tv/videos/392185318?collection=oQVne6T1iRWqEw",'Players&gt;List'!$B30)</f>
        <v>[TST]</v>
      </c>
      <c r="I2276" s="1"/>
      <c r="J2276" s="1"/>
      <c r="K2276" s="1"/>
      <c r="L2276" s="1"/>
      <c r="M2276" s="1"/>
      <c r="N2276" s="1"/>
      <c r="O2276" s="1"/>
      <c r="P2276" s="1"/>
    </row>
    <row r="2277">
      <c r="A2277" s="1"/>
      <c r="B2277" s="24" t="s">
        <v>4225</v>
      </c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"/>
    </row>
    <row r="2278">
      <c r="A2278" s="1"/>
      <c r="B2278" s="4" t="s">
        <v>4226</v>
      </c>
      <c r="D2278" s="9"/>
      <c r="E2278" s="17" t="s">
        <v>14</v>
      </c>
      <c r="F2278" s="18" t="str">
        <f>HYPERLINK("https://www.youtube.com/watch?v=Qa4wbWyTfX0",'Players&gt;List'!$B18)</f>
        <v>[HGB]</v>
      </c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>
      <c r="A2279" s="1"/>
      <c r="B2279" s="25" t="s">
        <v>2532</v>
      </c>
      <c r="E2279" s="26" t="s">
        <v>380</v>
      </c>
      <c r="F2279" s="18" t="str">
        <f>HYPERLINK("https://www.youtube.com/watch?v=_GScCn326UE",'Players&gt;List'!$B23)</f>
        <v>[MOL]</v>
      </c>
      <c r="G2279" s="18" t="str">
        <f>HYPERLINK("https://www.youtube.com/watch?v=3fItoZVQpPk",'Players&gt;List'!$B19)</f>
        <v>[HIT]</v>
      </c>
      <c r="H2279" s="18" t="str">
        <f>HYPERLINK("https://www.twitch.tv/videos/340284846",'Players&gt;List'!$B24)</f>
        <v>[NIM]</v>
      </c>
      <c r="I2279" s="18" t="str">
        <f>HYPERLINK("https://www.youtube.com/watch?v=dEJrB3N1PS4",'Players&gt;List'!$B11)</f>
        <v>[CHB]</v>
      </c>
      <c r="J2279" s="1"/>
      <c r="K2279" s="1"/>
      <c r="L2279" s="1"/>
      <c r="M2279" s="1"/>
      <c r="N2279" s="1"/>
      <c r="O2279" s="1"/>
      <c r="P2279" s="1"/>
    </row>
    <row r="2280">
      <c r="A2280" s="1"/>
      <c r="B2280" s="25" t="s">
        <v>2393</v>
      </c>
      <c r="E2280" s="26" t="s">
        <v>358</v>
      </c>
      <c r="F2280" s="18" t="str">
        <f>HYPERLINK("https://www.youtube.com/watch?v=AWqYKM4-7f4",'Players&gt;List'!$B18)</f>
        <v>[HGB]</v>
      </c>
      <c r="G2280" s="18" t="str">
        <f>HYPERLINK("https://www.twitch.tv/videos/340284845",'Players&gt;List'!$B24)</f>
        <v>[NIM]</v>
      </c>
      <c r="H2280" s="1"/>
      <c r="I2280" s="1"/>
      <c r="J2280" s="1"/>
      <c r="K2280" s="1"/>
      <c r="L2280" s="1"/>
      <c r="M2280" s="1"/>
      <c r="N2280" s="1"/>
      <c r="O2280" s="1"/>
      <c r="P2280" s="1"/>
    </row>
    <row r="2281">
      <c r="A2281" s="1"/>
      <c r="B2281" s="25" t="s">
        <v>2634</v>
      </c>
      <c r="E2281" s="26" t="s">
        <v>1418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>
      <c r="A2282" s="1"/>
      <c r="B2282" s="25" t="s">
        <v>649</v>
      </c>
      <c r="E2282" s="26" t="s">
        <v>147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>
      <c r="A2283" s="1"/>
      <c r="B2283" s="25" t="s">
        <v>2213</v>
      </c>
      <c r="E2283" s="26" t="s">
        <v>147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>
      <c r="A2284" s="1"/>
      <c r="B2284" s="24" t="s">
        <v>4235</v>
      </c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"/>
    </row>
    <row r="2285">
      <c r="A2285" s="1"/>
      <c r="B2285" s="4" t="s">
        <v>4237</v>
      </c>
      <c r="D2285" s="9"/>
      <c r="E2285" s="17" t="s">
        <v>14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>
      <c r="A2286" s="1"/>
      <c r="B2286" s="25" t="s">
        <v>117</v>
      </c>
      <c r="E2286" s="26" t="s">
        <v>110</v>
      </c>
      <c r="F2286" s="18" t="str">
        <f>HYPERLINK("https://www.twitch.tv/videos/337152204",'Players&gt;List'!$B24)</f>
        <v>[NIM]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>
      <c r="A2287" s="1"/>
      <c r="B2287" s="25" t="s">
        <v>157</v>
      </c>
      <c r="E2287" s="26" t="s">
        <v>132</v>
      </c>
      <c r="F2287" s="18" t="str">
        <f>HYPERLINK("https://www.twitch.tv/videos/337152206",'Players&gt;List'!$B24)</f>
        <v>[NIM]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>
      <c r="A2288" s="1"/>
      <c r="B2288" s="25" t="s">
        <v>88</v>
      </c>
      <c r="E2288" s="26" t="s">
        <v>147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>
      <c r="A2289" s="1"/>
      <c r="B2289" s="25" t="s">
        <v>149</v>
      </c>
      <c r="E2289" s="26" t="s">
        <v>147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>
      <c r="A2290" s="1"/>
      <c r="B2290" s="25" t="s">
        <v>197</v>
      </c>
      <c r="E2290" s="26" t="s">
        <v>147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>
      <c r="A2291" s="1"/>
      <c r="B2291" s="25" t="s">
        <v>108</v>
      </c>
      <c r="E2291" s="26" t="s">
        <v>132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>
      <c r="A2292" s="1"/>
      <c r="B2292" s="24" t="s">
        <v>4241</v>
      </c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"/>
    </row>
    <row r="2293">
      <c r="A2293" s="1"/>
      <c r="B2293" s="4" t="s">
        <v>4242</v>
      </c>
      <c r="D2293" s="9"/>
      <c r="E2293" s="17" t="s">
        <v>14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>
      <c r="A2294" s="1"/>
      <c r="B2294" s="25" t="s">
        <v>108</v>
      </c>
      <c r="E2294" s="26" t="s">
        <v>110</v>
      </c>
      <c r="F2294" s="18" t="str">
        <f>HYPERLINK("https://www.youtube.com/watch?v=uaunh7SOZ3A",'Players&gt;List'!$B18)</f>
        <v>[HGB]</v>
      </c>
      <c r="G2294" s="18" t="str">
        <f>HYPERLINK("https://www.youtube.com/watch?v=eATUG4C16s0&amp;t=0s",'Players&gt;List'!$B19)</f>
        <v>[HIT]</v>
      </c>
      <c r="H2294" s="18" t="str">
        <f>HYPERLINK("https://www.twitch.tv/videos/337793617",'Players&gt;List'!$B24)</f>
        <v>[NIM]</v>
      </c>
      <c r="I2294" s="18" t="str">
        <f>HYPERLINK("https://www.twitch.tv/videos/392184116?collection=oQVne6T1iRWqEw",'Players&gt;List'!$B30)</f>
        <v>[TST]</v>
      </c>
      <c r="J2294" s="1"/>
      <c r="K2294" s="1"/>
      <c r="L2294" s="1"/>
      <c r="M2294" s="1"/>
      <c r="N2294" s="1"/>
      <c r="O2294" s="1"/>
      <c r="P2294" s="1"/>
    </row>
    <row r="2295">
      <c r="A2295" s="1"/>
      <c r="B2295" s="25" t="s">
        <v>88</v>
      </c>
      <c r="E2295" s="26" t="s">
        <v>147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>
      <c r="A2296" s="1"/>
      <c r="B2296" s="25" t="s">
        <v>197</v>
      </c>
      <c r="E2296" s="26" t="s">
        <v>147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>
      <c r="A2297" s="1"/>
      <c r="B2297" s="25" t="s">
        <v>149</v>
      </c>
      <c r="E2297" s="26" t="s">
        <v>147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>
      <c r="A2298" s="1"/>
      <c r="B2298" s="25" t="s">
        <v>117</v>
      </c>
      <c r="E2298" s="26" t="s">
        <v>132</v>
      </c>
      <c r="F2298" s="18" t="str">
        <f>HYPERLINK("https://www.youtube.com/watch?v=Zbm3AZ1WJ94",'Players&gt;List'!$B18)</f>
        <v>[HGB]</v>
      </c>
      <c r="G2298" s="18" t="str">
        <f>HYPERLINK("https://www.twitch.tv/videos/337793618",'Players&gt;List'!$B24)</f>
        <v>[NIM]</v>
      </c>
      <c r="H2298" s="18" t="str">
        <f>HYPERLINK("https://www.twitch.tv/videos/392184680?collection=oQVne6T1iRWqEw",'Players&gt;List'!$B30)</f>
        <v>[TST]</v>
      </c>
      <c r="I2298" s="1"/>
      <c r="J2298" s="1"/>
      <c r="K2298" s="1"/>
      <c r="L2298" s="1"/>
      <c r="M2298" s="1"/>
      <c r="N2298" s="1"/>
      <c r="O2298" s="1"/>
      <c r="P2298" s="1"/>
    </row>
    <row r="2299">
      <c r="A2299" s="1"/>
      <c r="B2299" s="25" t="s">
        <v>157</v>
      </c>
      <c r="E2299" s="26" t="s">
        <v>132</v>
      </c>
      <c r="F2299" s="18" t="str">
        <f>HYPERLINK("https://www.twitch.tv/videos/337793619",'Players&gt;List'!$B24)</f>
        <v>[NIM]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>
      <c r="A2300" s="1"/>
      <c r="B2300" s="24" t="s">
        <v>4248</v>
      </c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"/>
    </row>
    <row r="2301">
      <c r="A2301" s="1"/>
      <c r="B2301" s="4" t="s">
        <v>4250</v>
      </c>
      <c r="D2301" s="9"/>
      <c r="E2301" s="17" t="s">
        <v>14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>
      <c r="A2302" s="1"/>
      <c r="B2302" s="25" t="s">
        <v>117</v>
      </c>
      <c r="E2302" s="26" t="s">
        <v>110</v>
      </c>
      <c r="F2302" s="18" t="str">
        <f>HYPERLINK("https://www.youtube.com/watch?v=dT4UnQJldzU",'Players&gt;List'!$B18)</f>
        <v>[HGB]</v>
      </c>
      <c r="G2302" s="18" t="str">
        <f>HYPERLINK("https://www.youtube.com/watch?v=6fQEydWTXX8",'Players&gt;List'!$B19)</f>
        <v>[HIT]</v>
      </c>
      <c r="H2302" s="18" t="str">
        <f>HYPERLINK("https://www.twitch.tv/videos/337273528",'Players&gt;List'!$B24)</f>
        <v>[NIM]</v>
      </c>
      <c r="I2302" s="1"/>
      <c r="J2302" s="1"/>
      <c r="K2302" s="1"/>
      <c r="L2302" s="1"/>
      <c r="M2302" s="1"/>
      <c r="N2302" s="1"/>
      <c r="O2302" s="1"/>
      <c r="P2302" s="1"/>
    </row>
    <row r="2303">
      <c r="A2303" s="1"/>
      <c r="B2303" s="25" t="s">
        <v>88</v>
      </c>
      <c r="E2303" s="26" t="s">
        <v>147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>
      <c r="A2304" s="1"/>
      <c r="B2304" s="25" t="s">
        <v>149</v>
      </c>
      <c r="E2304" s="26" t="s">
        <v>147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>
      <c r="A2305" s="1"/>
      <c r="B2305" s="25" t="s">
        <v>335</v>
      </c>
      <c r="E2305" s="26" t="s">
        <v>147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>
      <c r="A2306" s="1"/>
      <c r="B2306" s="25" t="s">
        <v>2183</v>
      </c>
      <c r="E2306" s="26" t="s">
        <v>1418</v>
      </c>
      <c r="F2306" s="18" t="str">
        <f>HYPERLINK("https://www.twitch.tv/videos/337270994",'Players&gt;List'!$B24)</f>
        <v>[NIM]</v>
      </c>
      <c r="G2306" s="18" t="str">
        <f>HYPERLINK("https://www.twitch.tv/videos/392187532?collection=oQVne6T1iRWqEw",'Players&gt;List'!$B30)</f>
        <v>[TST]</v>
      </c>
      <c r="H2306" s="1"/>
      <c r="I2306" s="1"/>
      <c r="J2306" s="1"/>
      <c r="K2306" s="1"/>
      <c r="L2306" s="1"/>
      <c r="M2306" s="1"/>
      <c r="N2306" s="1"/>
      <c r="O2306" s="1"/>
      <c r="P2306" s="1"/>
    </row>
    <row r="2307">
      <c r="A2307" s="1"/>
      <c r="B2307" s="25" t="s">
        <v>457</v>
      </c>
      <c r="E2307" s="26" t="s">
        <v>132</v>
      </c>
      <c r="F2307" s="18" t="str">
        <f>HYPERLINK("https://www.youtube.com/watch?v=ucWqc8PDFrE",'Players&gt;List'!$B26)</f>
        <v>[SCO]</v>
      </c>
      <c r="G2307" s="18" t="str">
        <f>HYPERLINK("https://youtu.be/ecAd0Dye0mU",'Players&gt;List'!$B23)</f>
        <v>[MOL]</v>
      </c>
      <c r="H2307" s="18" t="str">
        <f>HYPERLINK("https://www.youtube.com/watch?v=6fQEydWTXX8",'Players&gt;List'!$B19)</f>
        <v>[HIT]</v>
      </c>
      <c r="I2307" s="18" t="str">
        <f>HYPERLINK("https://www.twitch.tv/videos/337277385",'Players&gt;List'!$B24)</f>
        <v>[NIM]</v>
      </c>
      <c r="J2307" s="18" t="str">
        <f>HYPERLINK("https://www.youtube.com/watch?v=EYk82Fm6Q-M",'Players&gt;List'!$B8)</f>
        <v>[ABA]</v>
      </c>
      <c r="K2307" s="1"/>
      <c r="L2307" s="1"/>
      <c r="M2307" s="1"/>
      <c r="N2307" s="1"/>
      <c r="O2307" s="1"/>
      <c r="P2307" s="1"/>
    </row>
    <row r="2308">
      <c r="A2308" s="1"/>
      <c r="B2308" s="24" t="s">
        <v>4263</v>
      </c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"/>
    </row>
    <row r="2309">
      <c r="A2309" s="1"/>
      <c r="B2309" s="4" t="s">
        <v>4264</v>
      </c>
      <c r="D2309" s="9"/>
      <c r="E2309" s="17" t="s">
        <v>14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>
      <c r="A2310" s="1"/>
      <c r="B2310" s="25" t="s">
        <v>117</v>
      </c>
      <c r="E2310" s="26" t="s">
        <v>110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>
      <c r="A2311" s="1"/>
      <c r="B2311" s="25" t="s">
        <v>157</v>
      </c>
      <c r="E2311" s="26" t="s">
        <v>132</v>
      </c>
      <c r="F2311" s="18" t="str">
        <f>HYPERLINK("https://www.twitch.tv/videos/392188067?collection=oQVne6T1iRWqEw",'Players&gt;List'!$B30)</f>
        <v>[TST]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>
      <c r="A2312" s="1"/>
      <c r="B2312" s="25" t="s">
        <v>131</v>
      </c>
      <c r="E2312" s="26" t="s">
        <v>132</v>
      </c>
      <c r="F2312" s="18" t="str">
        <f>HYPERLINK("https://www.youtube.com/watch?v=szGmMsWmvZ4",'Players&gt;List'!$B18)</f>
        <v>[HGB]</v>
      </c>
      <c r="G2312" s="18" t="str">
        <f>HYPERLINK("https://www.twitch.tv/videos/337152205",'Players&gt;List'!$B24)</f>
        <v>[NIM]</v>
      </c>
      <c r="H2312" s="18" t="str">
        <f>HYPERLINK("https://www.twitch.tv/videos/392188490?collection=oQVne6T1iRWqEw",'Players&gt;List'!$B30)</f>
        <v>[TST]</v>
      </c>
      <c r="I2312" s="1"/>
      <c r="J2312" s="1"/>
      <c r="K2312" s="1"/>
      <c r="L2312" s="1"/>
      <c r="M2312" s="1"/>
      <c r="N2312" s="1"/>
      <c r="O2312" s="1"/>
      <c r="P2312" s="1"/>
    </row>
    <row r="2313">
      <c r="A2313" s="1"/>
      <c r="B2313" s="25" t="s">
        <v>108</v>
      </c>
      <c r="E2313" s="26" t="s">
        <v>132</v>
      </c>
      <c r="F2313" s="18" t="str">
        <f>HYPERLINK("https://www.twitch.tv/videos/337152207",'Players&gt;List'!$B24)</f>
        <v>[NIM]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>
      <c r="A2314" s="1"/>
      <c r="B2314" s="24" t="s">
        <v>4270</v>
      </c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"/>
    </row>
    <row r="2315">
      <c r="A2315" s="1"/>
      <c r="B2315" s="4" t="s">
        <v>4272</v>
      </c>
      <c r="D2315" s="9"/>
      <c r="E2315" s="17" t="s">
        <v>14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>
      <c r="A2316" s="1"/>
      <c r="B2316" s="25" t="s">
        <v>117</v>
      </c>
      <c r="E2316" s="26" t="s">
        <v>110</v>
      </c>
      <c r="F2316" s="18" t="str">
        <f>HYPERLINK("https://www.youtube.com/watch?v=fZxW2qqg5YI",'Players&gt;List'!$B9)</f>
        <v>[AWE]</v>
      </c>
      <c r="G2316" s="18" t="str">
        <f>HYPERLINK("https://www.twitch.tv/videos/392186827?collection=oQVne6T1iRWqEw",'Players&gt;List'!$B30)</f>
        <v>[TST]</v>
      </c>
      <c r="H2316" s="1"/>
      <c r="I2316" s="1"/>
      <c r="J2316" s="1"/>
      <c r="K2316" s="1"/>
      <c r="L2316" s="1"/>
      <c r="M2316" s="1"/>
      <c r="N2316" s="1"/>
      <c r="O2316" s="1"/>
      <c r="P2316" s="1"/>
    </row>
    <row r="2317">
      <c r="A2317" s="1"/>
      <c r="B2317" s="25" t="s">
        <v>88</v>
      </c>
      <c r="E2317" s="26" t="s">
        <v>147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>
      <c r="A2318" s="1"/>
      <c r="B2318" s="25" t="s">
        <v>149</v>
      </c>
      <c r="E2318" s="26" t="s">
        <v>147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>
      <c r="A2319" s="1"/>
      <c r="B2319" s="24" t="s">
        <v>4278</v>
      </c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"/>
    </row>
    <row r="2320">
      <c r="A2320" s="1"/>
      <c r="B2320" s="4" t="s">
        <v>4279</v>
      </c>
      <c r="D2320" s="9"/>
      <c r="E2320" s="17" t="s">
        <v>14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>
      <c r="A2321" s="1"/>
      <c r="B2321" s="25" t="s">
        <v>3484</v>
      </c>
      <c r="E2321" s="26" t="s">
        <v>234</v>
      </c>
      <c r="F2321" s="18" t="str">
        <f>HYPERLINK("https://www.youtube.com/watch?v=IoPqZa5U_lU",'Players&gt;List'!$B18)</f>
        <v>[HGB]</v>
      </c>
      <c r="G2321" s="18" t="str">
        <f>HYPERLINK("https://www.twitch.tv/videos/337270993",'Players&gt;List'!$B24)</f>
        <v>[NIM]</v>
      </c>
      <c r="H2321" s="1"/>
      <c r="I2321" s="1"/>
      <c r="J2321" s="1"/>
      <c r="K2321" s="1"/>
      <c r="L2321" s="1"/>
      <c r="M2321" s="1"/>
      <c r="N2321" s="1"/>
      <c r="O2321" s="1"/>
      <c r="P2321" s="1"/>
    </row>
    <row r="2322">
      <c r="A2322" s="1"/>
      <c r="B2322" s="25" t="s">
        <v>197</v>
      </c>
      <c r="E2322" s="26" t="s">
        <v>147</v>
      </c>
      <c r="F2322" s="18" t="str">
        <f>HYPERLINK("https://www.twitch.tv/videos/392190140?collection=oQVne6T1iRWqEw",'Players&gt;List'!$B30)</f>
        <v>[TST]</v>
      </c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>
      <c r="A2323" s="1"/>
      <c r="B2323" s="25" t="s">
        <v>149</v>
      </c>
      <c r="E2323" s="26" t="s">
        <v>147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>
      <c r="A2324" s="1"/>
      <c r="B2324" s="25" t="s">
        <v>649</v>
      </c>
      <c r="E2324" s="26" t="s">
        <v>147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>
      <c r="A2325" s="1"/>
      <c r="B2325" s="25" t="s">
        <v>2557</v>
      </c>
      <c r="E2325" s="26" t="s">
        <v>2185</v>
      </c>
      <c r="F2325" s="18" t="str">
        <f>HYPERLINK("https://www.youtube.com/watch?v=CKmla9NfkxA",'Players&gt;List'!$B18)</f>
        <v>[HGB]</v>
      </c>
      <c r="G2325" s="18" t="str">
        <f>HYPERLINK("https://www.twitch.tv/videos/337270992",'Players&gt;List'!$B24)</f>
        <v>[NIM]</v>
      </c>
      <c r="H2325" s="18" t="str">
        <f>HYPERLINK("https://www.twitch.tv/videos/392189342?collection=oQVne6T1iRWqEw",'Players&gt;List'!$B30)</f>
        <v>[TST]</v>
      </c>
      <c r="I2325" s="1"/>
      <c r="J2325" s="1"/>
      <c r="K2325" s="1"/>
      <c r="L2325" s="1"/>
      <c r="M2325" s="1"/>
      <c r="N2325" s="1"/>
      <c r="O2325" s="1"/>
      <c r="P2325" s="1"/>
    </row>
    <row r="2326">
      <c r="A2326" s="1"/>
      <c r="B2326" s="24" t="s">
        <v>4288</v>
      </c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"/>
    </row>
    <row r="2327">
      <c r="A2327" s="1"/>
      <c r="B2327" s="4" t="s">
        <v>4290</v>
      </c>
      <c r="D2327" s="9"/>
      <c r="E2327" s="17" t="s">
        <v>14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>
      <c r="A2328" s="1"/>
      <c r="B2328" s="25" t="s">
        <v>131</v>
      </c>
      <c r="E2328" s="26" t="s">
        <v>110</v>
      </c>
      <c r="F2328" s="18" t="str">
        <f>HYPERLINK("https://www.twitch.tv/videos/337277384",'Players&gt;List'!$B24)</f>
        <v>[NIM]</v>
      </c>
      <c r="G2328" s="18" t="str">
        <f>HYPERLINK("https://www.twitch.tv/videos/392186146?collection=oQVne6T1iRWqEw",'Players&gt;List'!$B30)</f>
        <v>[TST]</v>
      </c>
      <c r="H2328" s="1"/>
      <c r="I2328" s="1"/>
      <c r="J2328" s="1"/>
      <c r="K2328" s="1"/>
      <c r="L2328" s="1"/>
      <c r="M2328" s="1"/>
      <c r="N2328" s="1"/>
      <c r="O2328" s="1"/>
      <c r="P2328" s="1"/>
    </row>
    <row r="2329">
      <c r="A2329" s="30"/>
      <c r="B2329" s="24" t="s">
        <v>4292</v>
      </c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30"/>
    </row>
    <row r="2330">
      <c r="A2330" s="30"/>
      <c r="B2330" s="4" t="s">
        <v>4294</v>
      </c>
      <c r="D2330" s="32"/>
      <c r="E2330" s="27" t="s">
        <v>14</v>
      </c>
      <c r="F2330" s="30"/>
      <c r="G2330" s="30"/>
      <c r="H2330" s="30"/>
      <c r="I2330" s="30"/>
      <c r="J2330" s="30"/>
      <c r="K2330" s="30"/>
      <c r="L2330" s="30"/>
      <c r="M2330" s="30"/>
      <c r="N2330" s="30"/>
      <c r="O2330" s="30"/>
      <c r="P2330" s="30"/>
    </row>
    <row r="2331">
      <c r="A2331" s="30"/>
      <c r="B2331" s="25" t="s">
        <v>400</v>
      </c>
      <c r="E2331" s="26" t="s">
        <v>234</v>
      </c>
      <c r="F2331" s="30"/>
      <c r="G2331" s="30"/>
      <c r="H2331" s="30"/>
      <c r="I2331" s="30"/>
      <c r="J2331" s="30"/>
      <c r="K2331" s="30"/>
      <c r="L2331" s="30"/>
      <c r="M2331" s="30"/>
      <c r="N2331" s="30"/>
      <c r="O2331" s="30"/>
      <c r="P2331" s="30"/>
    </row>
    <row r="2332">
      <c r="A2332" s="30"/>
      <c r="B2332" s="25" t="s">
        <v>149</v>
      </c>
      <c r="E2332" s="26" t="s">
        <v>147</v>
      </c>
      <c r="F2332" s="30"/>
      <c r="G2332" s="30"/>
      <c r="H2332" s="30"/>
      <c r="I2332" s="30"/>
      <c r="J2332" s="30"/>
      <c r="K2332" s="30"/>
      <c r="L2332" s="30"/>
      <c r="M2332" s="30"/>
      <c r="N2332" s="30"/>
      <c r="O2332" s="30"/>
      <c r="P2332" s="30"/>
    </row>
    <row r="2333">
      <c r="A2333" s="30"/>
      <c r="B2333" s="25" t="s">
        <v>88</v>
      </c>
      <c r="E2333" s="26" t="s">
        <v>147</v>
      </c>
      <c r="F2333" s="30"/>
      <c r="G2333" s="30"/>
      <c r="H2333" s="30"/>
      <c r="I2333" s="30"/>
      <c r="J2333" s="30"/>
      <c r="K2333" s="30"/>
      <c r="L2333" s="30"/>
      <c r="M2333" s="30"/>
      <c r="N2333" s="30"/>
      <c r="O2333" s="30"/>
      <c r="P2333" s="30"/>
    </row>
    <row r="2334">
      <c r="A2334" s="30"/>
      <c r="B2334" s="25" t="s">
        <v>197</v>
      </c>
      <c r="E2334" s="26" t="s">
        <v>147</v>
      </c>
      <c r="F2334" s="30"/>
      <c r="G2334" s="30"/>
      <c r="H2334" s="30"/>
      <c r="I2334" s="30"/>
      <c r="J2334" s="30"/>
      <c r="K2334" s="30"/>
      <c r="L2334" s="30"/>
      <c r="M2334" s="30"/>
      <c r="N2334" s="30"/>
      <c r="O2334" s="30"/>
      <c r="P2334" s="30"/>
    </row>
    <row r="2335">
      <c r="A2335" s="30"/>
      <c r="B2335" s="25" t="s">
        <v>108</v>
      </c>
      <c r="E2335" s="26" t="s">
        <v>132</v>
      </c>
      <c r="F2335" s="30"/>
      <c r="G2335" s="30"/>
      <c r="H2335" s="30"/>
      <c r="I2335" s="30"/>
      <c r="J2335" s="30"/>
      <c r="K2335" s="30"/>
      <c r="L2335" s="30"/>
      <c r="M2335" s="30"/>
      <c r="N2335" s="30"/>
      <c r="O2335" s="30"/>
      <c r="P2335" s="30"/>
    </row>
    <row r="2336">
      <c r="A2336" s="30"/>
      <c r="B2336" s="25" t="s">
        <v>488</v>
      </c>
      <c r="E2336" s="26" t="s">
        <v>358</v>
      </c>
      <c r="F2336" s="18" t="str">
        <f>HYPERLINK("https://www.youtube.com/watch?v=W-Hst9xiuLI",'Players&gt;List'!$B18)</f>
        <v>[HGB]</v>
      </c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</row>
    <row r="2337">
      <c r="A2337" s="30"/>
      <c r="B2337" s="24" t="s">
        <v>4300</v>
      </c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30"/>
    </row>
    <row r="2338">
      <c r="A2338" s="30"/>
      <c r="B2338" s="4" t="s">
        <v>4301</v>
      </c>
      <c r="D2338" s="32"/>
      <c r="E2338" s="27" t="s">
        <v>14</v>
      </c>
      <c r="F2338" s="30"/>
      <c r="G2338" s="30"/>
      <c r="H2338" s="30"/>
      <c r="I2338" s="30"/>
      <c r="J2338" s="30"/>
      <c r="K2338" s="30"/>
      <c r="L2338" s="30"/>
      <c r="M2338" s="30"/>
      <c r="N2338" s="30"/>
      <c r="O2338" s="30"/>
      <c r="P2338" s="30"/>
    </row>
    <row r="2339">
      <c r="A2339" s="30"/>
      <c r="B2339" s="25" t="s">
        <v>117</v>
      </c>
      <c r="E2339" s="26" t="s">
        <v>110</v>
      </c>
      <c r="F2339" s="18" t="str">
        <f>HYPERLINK("https://www.twitch.tv/videos/298583541",'Players&gt;List'!$B24)</f>
        <v>[NIM]</v>
      </c>
      <c r="G2339" s="30"/>
      <c r="H2339" s="30"/>
      <c r="I2339" s="30"/>
      <c r="J2339" s="30"/>
      <c r="K2339" s="30"/>
      <c r="L2339" s="30"/>
      <c r="M2339" s="30"/>
      <c r="N2339" s="30"/>
      <c r="O2339" s="30"/>
      <c r="P2339" s="30"/>
    </row>
    <row r="2340">
      <c r="A2340" s="30"/>
      <c r="B2340" s="25" t="s">
        <v>88</v>
      </c>
      <c r="E2340" s="26" t="s">
        <v>147</v>
      </c>
      <c r="F2340" s="30"/>
      <c r="G2340" s="30"/>
      <c r="H2340" s="30"/>
      <c r="I2340" s="30"/>
      <c r="J2340" s="30"/>
      <c r="K2340" s="30"/>
      <c r="L2340" s="30"/>
      <c r="M2340" s="30"/>
      <c r="N2340" s="30"/>
      <c r="O2340" s="30"/>
      <c r="P2340" s="30"/>
    </row>
    <row r="2341">
      <c r="A2341" s="30"/>
      <c r="B2341" s="25" t="s">
        <v>149</v>
      </c>
      <c r="E2341" s="26" t="s">
        <v>147</v>
      </c>
      <c r="F2341" s="30"/>
      <c r="G2341" s="30"/>
      <c r="H2341" s="30"/>
      <c r="I2341" s="30"/>
      <c r="J2341" s="30"/>
      <c r="K2341" s="30"/>
      <c r="L2341" s="30"/>
      <c r="M2341" s="30"/>
      <c r="N2341" s="30"/>
      <c r="O2341" s="30"/>
      <c r="P2341" s="30"/>
    </row>
    <row r="2342">
      <c r="A2342" s="30"/>
      <c r="B2342" s="24" t="s">
        <v>4303</v>
      </c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30"/>
    </row>
    <row r="2343">
      <c r="A2343" s="30"/>
      <c r="B2343" s="4" t="s">
        <v>4305</v>
      </c>
      <c r="D2343" s="32"/>
      <c r="E2343" s="27" t="s">
        <v>14</v>
      </c>
      <c r="F2343" s="30"/>
      <c r="G2343" s="30"/>
      <c r="H2343" s="30"/>
      <c r="I2343" s="30"/>
      <c r="J2343" s="30"/>
      <c r="K2343" s="30"/>
      <c r="L2343" s="30"/>
      <c r="M2343" s="30"/>
      <c r="N2343" s="30"/>
      <c r="O2343" s="30"/>
      <c r="P2343" s="30"/>
    </row>
    <row r="2344">
      <c r="A2344" s="30"/>
      <c r="B2344" s="25" t="s">
        <v>131</v>
      </c>
      <c r="E2344" s="26" t="s">
        <v>110</v>
      </c>
      <c r="F2344" s="30"/>
      <c r="G2344" s="30"/>
      <c r="H2344" s="30"/>
      <c r="I2344" s="30"/>
      <c r="J2344" s="30"/>
      <c r="K2344" s="30"/>
      <c r="L2344" s="30"/>
      <c r="M2344" s="30"/>
      <c r="N2344" s="30"/>
      <c r="O2344" s="30"/>
      <c r="P2344" s="30"/>
    </row>
    <row r="2345">
      <c r="A2345" s="30"/>
      <c r="B2345" s="25" t="s">
        <v>88</v>
      </c>
      <c r="E2345" s="26" t="s">
        <v>147</v>
      </c>
      <c r="F2345" s="30"/>
      <c r="G2345" s="30"/>
      <c r="H2345" s="30"/>
      <c r="I2345" s="30"/>
      <c r="J2345" s="30"/>
      <c r="K2345" s="30"/>
      <c r="L2345" s="30"/>
      <c r="M2345" s="30"/>
      <c r="N2345" s="30"/>
      <c r="O2345" s="30"/>
      <c r="P2345" s="30"/>
    </row>
    <row r="2346">
      <c r="A2346" s="30"/>
      <c r="B2346" s="25" t="s">
        <v>157</v>
      </c>
      <c r="E2346" s="26" t="s">
        <v>132</v>
      </c>
      <c r="F2346" s="30"/>
      <c r="G2346" s="30"/>
      <c r="H2346" s="30"/>
      <c r="I2346" s="30"/>
      <c r="J2346" s="30"/>
      <c r="K2346" s="30"/>
      <c r="L2346" s="30"/>
      <c r="M2346" s="30"/>
      <c r="N2346" s="30"/>
      <c r="O2346" s="30"/>
      <c r="P2346" s="30"/>
    </row>
    <row r="2347">
      <c r="A2347" s="30"/>
      <c r="B2347" s="24" t="s">
        <v>4308</v>
      </c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30"/>
    </row>
    <row r="2348">
      <c r="A2348" s="30"/>
      <c r="B2348" s="4" t="s">
        <v>4309</v>
      </c>
      <c r="D2348" s="32"/>
      <c r="E2348" s="27" t="s">
        <v>14</v>
      </c>
      <c r="F2348" s="18" t="str">
        <f>HYPERLINK("https://www.youtube.com/watch?v=QP8Pm_4m5Sc",'Players&gt;List'!$B18)</f>
        <v>[HGB]</v>
      </c>
      <c r="G2348" s="30"/>
      <c r="H2348" s="30"/>
      <c r="I2348" s="30"/>
      <c r="J2348" s="30"/>
      <c r="K2348" s="30"/>
      <c r="L2348" s="30"/>
      <c r="M2348" s="30"/>
      <c r="N2348" s="30"/>
      <c r="O2348" s="30"/>
      <c r="P2348" s="30"/>
    </row>
    <row r="2349">
      <c r="A2349" s="30"/>
      <c r="B2349" s="25" t="s">
        <v>117</v>
      </c>
      <c r="E2349" s="26" t="s">
        <v>110</v>
      </c>
      <c r="F2349" s="18" t="str">
        <f>HYPERLINK("https://www.youtube.com/watch?v=4qVuJyOcKA8",'Players&gt;List'!$B18)</f>
        <v>[HGB]</v>
      </c>
      <c r="G2349" s="18" t="str">
        <f>HYPERLINK("https://www.youtube.com/watch?v=zeVa9JRRpFo",'Players&gt;List'!$B19)</f>
        <v>[HIT]</v>
      </c>
      <c r="H2349" s="18" t="str">
        <f>HYPERLINK("https://www.twitch.tv/videos/298583542",'Players&gt;List'!$B24)</f>
        <v>[NIM]</v>
      </c>
      <c r="I2349" s="30"/>
      <c r="J2349" s="30"/>
      <c r="K2349" s="30"/>
      <c r="L2349" s="30"/>
      <c r="M2349" s="30"/>
      <c r="N2349" s="30"/>
      <c r="O2349" s="30"/>
      <c r="P2349" s="30"/>
    </row>
    <row r="2350">
      <c r="A2350" s="30"/>
      <c r="B2350" s="25" t="s">
        <v>88</v>
      </c>
      <c r="E2350" s="26" t="s">
        <v>147</v>
      </c>
      <c r="F2350" s="30"/>
      <c r="G2350" s="30"/>
      <c r="H2350" s="30"/>
      <c r="I2350" s="30"/>
      <c r="J2350" s="30"/>
      <c r="K2350" s="30"/>
      <c r="L2350" s="30"/>
      <c r="M2350" s="30"/>
      <c r="N2350" s="30"/>
      <c r="O2350" s="30"/>
      <c r="P2350" s="30"/>
    </row>
    <row r="2351">
      <c r="A2351" s="30"/>
      <c r="B2351" s="24" t="s">
        <v>4313</v>
      </c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30"/>
    </row>
    <row r="2352">
      <c r="A2352" s="30"/>
      <c r="B2352" s="4" t="s">
        <v>4314</v>
      </c>
      <c r="D2352" s="32"/>
      <c r="E2352" s="27" t="s">
        <v>14</v>
      </c>
      <c r="F2352" s="30"/>
      <c r="G2352" s="30"/>
      <c r="H2352" s="30"/>
      <c r="I2352" s="30"/>
      <c r="J2352" s="30"/>
      <c r="K2352" s="30"/>
      <c r="L2352" s="30"/>
      <c r="M2352" s="30"/>
      <c r="N2352" s="30"/>
      <c r="O2352" s="30"/>
      <c r="P2352" s="30"/>
    </row>
    <row r="2353">
      <c r="A2353" s="30"/>
      <c r="B2353" s="25" t="s">
        <v>149</v>
      </c>
      <c r="E2353" s="26" t="s">
        <v>90</v>
      </c>
      <c r="F2353" s="30"/>
      <c r="G2353" s="30"/>
      <c r="H2353" s="30"/>
      <c r="I2353" s="30"/>
      <c r="J2353" s="30"/>
      <c r="K2353" s="30"/>
      <c r="L2353" s="30"/>
      <c r="M2353" s="30"/>
      <c r="N2353" s="30"/>
      <c r="O2353" s="30"/>
      <c r="P2353" s="30"/>
    </row>
    <row r="2354">
      <c r="A2354" s="30"/>
      <c r="B2354" s="25" t="s">
        <v>855</v>
      </c>
      <c r="E2354" s="26" t="s">
        <v>132</v>
      </c>
      <c r="F2354" s="30"/>
      <c r="G2354" s="30"/>
      <c r="H2354" s="30"/>
      <c r="I2354" s="30"/>
      <c r="J2354" s="30"/>
      <c r="K2354" s="30"/>
      <c r="L2354" s="30"/>
      <c r="M2354" s="30"/>
      <c r="N2354" s="30"/>
      <c r="O2354" s="30"/>
      <c r="P2354" s="30"/>
    </row>
    <row r="2355">
      <c r="A2355" s="30"/>
      <c r="B2355" s="25" t="s">
        <v>2177</v>
      </c>
      <c r="E2355" s="26" t="s">
        <v>1418</v>
      </c>
      <c r="F2355" s="18" t="str">
        <f>HYPERLINK("https://www.youtube.com/watch?v=XaYdCkiXv1k",'Players&gt;List'!$B18)</f>
        <v>[HGB]</v>
      </c>
      <c r="G2355" s="18" t="str">
        <f>HYPERLINK("https://www.twitch.tv/videos/298583543",'Players&gt;List'!$B24)</f>
        <v>[NIM]</v>
      </c>
      <c r="H2355" s="30"/>
      <c r="I2355" s="30"/>
      <c r="J2355" s="30"/>
      <c r="K2355" s="30"/>
      <c r="L2355" s="30"/>
      <c r="M2355" s="30"/>
      <c r="N2355" s="30"/>
      <c r="O2355" s="30"/>
      <c r="P2355" s="30"/>
    </row>
    <row r="2356">
      <c r="A2356" s="30"/>
      <c r="B2356" s="24" t="s">
        <v>4318</v>
      </c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30"/>
    </row>
    <row r="2357">
      <c r="A2357" s="30"/>
      <c r="B2357" s="4" t="s">
        <v>4320</v>
      </c>
      <c r="D2357" s="32"/>
      <c r="E2357" s="27" t="s">
        <v>14</v>
      </c>
      <c r="F2357" s="30"/>
      <c r="G2357" s="30"/>
      <c r="H2357" s="30"/>
      <c r="I2357" s="30"/>
      <c r="J2357" s="30"/>
      <c r="K2357" s="30"/>
      <c r="L2357" s="30"/>
      <c r="M2357" s="30"/>
      <c r="N2357" s="30"/>
      <c r="O2357" s="30"/>
      <c r="P2357" s="30"/>
    </row>
    <row r="2358">
      <c r="A2358" s="30"/>
      <c r="B2358" s="25" t="s">
        <v>400</v>
      </c>
      <c r="E2358" s="26" t="s">
        <v>234</v>
      </c>
      <c r="F2358" s="18" t="str">
        <f>HYPERLINK("https://www.youtube.com/watch?v=l9A20arfdJc",'Players&gt;List'!$B18)</f>
        <v>[HGB]</v>
      </c>
      <c r="G2358" s="18" t="str">
        <f>HYPERLINK("https://www.youtube.com/watch?v=96SRsTN9554",'Players&gt;List'!$B19)</f>
        <v>[HIT]</v>
      </c>
      <c r="H2358" s="18" t="str">
        <f>HYPERLINK("https://www.twitch.tv/videos/340169447",'Players&gt;List'!$B24)</f>
        <v>[NIM]</v>
      </c>
      <c r="I2358" s="30"/>
      <c r="J2358" s="30"/>
      <c r="K2358" s="30"/>
      <c r="L2358" s="30"/>
      <c r="M2358" s="30"/>
      <c r="N2358" s="30"/>
      <c r="O2358" s="30"/>
      <c r="P2358" s="30"/>
    </row>
    <row r="2359">
      <c r="A2359" s="30"/>
      <c r="B2359" s="25" t="s">
        <v>117</v>
      </c>
      <c r="E2359" s="26" t="s">
        <v>132</v>
      </c>
      <c r="F2359" s="30"/>
      <c r="G2359" s="30"/>
      <c r="H2359" s="30"/>
      <c r="I2359" s="30"/>
      <c r="J2359" s="30"/>
      <c r="K2359" s="30"/>
      <c r="L2359" s="30"/>
      <c r="M2359" s="30"/>
      <c r="N2359" s="30"/>
      <c r="O2359" s="30"/>
      <c r="P2359" s="30"/>
    </row>
    <row r="2360">
      <c r="A2360" s="30"/>
      <c r="B2360" s="25" t="s">
        <v>488</v>
      </c>
      <c r="E2360" s="26" t="s">
        <v>358</v>
      </c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</row>
    <row r="2361">
      <c r="A2361" s="30"/>
      <c r="B2361" s="24" t="s">
        <v>4324</v>
      </c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30"/>
    </row>
    <row r="2362">
      <c r="A2362" s="30"/>
      <c r="B2362" s="4" t="s">
        <v>4325</v>
      </c>
      <c r="D2362" s="32"/>
      <c r="E2362" s="27" t="s">
        <v>14</v>
      </c>
      <c r="F2362" s="30"/>
      <c r="G2362" s="30"/>
      <c r="H2362" s="30"/>
      <c r="I2362" s="30"/>
      <c r="J2362" s="30"/>
      <c r="K2362" s="30"/>
      <c r="L2362" s="30"/>
      <c r="M2362" s="30"/>
      <c r="N2362" s="30"/>
      <c r="O2362" s="30"/>
      <c r="P2362" s="30"/>
    </row>
    <row r="2363">
      <c r="A2363" s="30"/>
      <c r="B2363" s="25" t="s">
        <v>2557</v>
      </c>
      <c r="E2363" s="26" t="s">
        <v>915</v>
      </c>
      <c r="F2363" s="18" t="str">
        <f>HYPERLINK("https://www.youtube.com/watch?v=2bNUZg--t2E",'Players&gt;List'!$B9)</f>
        <v>[AWE]</v>
      </c>
      <c r="G2363" s="18" t="str">
        <f>HYPERLINK("https://www.youtube.com/watch?v=_JfqrqXyfL0&amp;t=0s",'Players&gt;List'!$B19)</f>
        <v>[HIT]</v>
      </c>
      <c r="H2363" s="30"/>
      <c r="I2363" s="30"/>
      <c r="J2363" s="30"/>
      <c r="K2363" s="30"/>
      <c r="L2363" s="30"/>
      <c r="M2363" s="30"/>
      <c r="N2363" s="30"/>
      <c r="O2363" s="30"/>
      <c r="P2363" s="30"/>
    </row>
    <row r="2364">
      <c r="A2364" s="30"/>
      <c r="B2364" s="25" t="s">
        <v>649</v>
      </c>
      <c r="E2364" s="26" t="s">
        <v>147</v>
      </c>
      <c r="F2364" s="30"/>
      <c r="G2364" s="30"/>
      <c r="H2364" s="30"/>
      <c r="I2364" s="30"/>
      <c r="J2364" s="30"/>
      <c r="K2364" s="30"/>
      <c r="L2364" s="30"/>
      <c r="M2364" s="30"/>
      <c r="N2364" s="30"/>
      <c r="O2364" s="30"/>
      <c r="P2364" s="30"/>
    </row>
    <row r="2365">
      <c r="A2365" s="30"/>
      <c r="B2365" s="24" t="s">
        <v>4329</v>
      </c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30"/>
    </row>
    <row r="2366">
      <c r="A2366" s="30"/>
      <c r="B2366" s="4" t="s">
        <v>4332</v>
      </c>
      <c r="D2366" s="32"/>
      <c r="E2366" s="27" t="s">
        <v>14</v>
      </c>
      <c r="F2366" s="30"/>
      <c r="G2366" s="30"/>
      <c r="H2366" s="30"/>
      <c r="I2366" s="30"/>
      <c r="J2366" s="30"/>
      <c r="K2366" s="30"/>
      <c r="L2366" s="30"/>
      <c r="M2366" s="30"/>
      <c r="N2366" s="30"/>
      <c r="O2366" s="30"/>
      <c r="P2366" s="30"/>
    </row>
    <row r="2367">
      <c r="A2367" s="30"/>
      <c r="B2367" s="25" t="s">
        <v>117</v>
      </c>
      <c r="E2367" s="26" t="s">
        <v>110</v>
      </c>
      <c r="F2367" s="18" t="str">
        <f>HYPERLINK("https://www.youtube.com/watch?v=fUBdZQ085lg",'Players&gt;List'!$B9)</f>
        <v>[AWE]</v>
      </c>
      <c r="G2367" s="18" t="str">
        <f>HYPERLINK("https://youtu.be/SCCma2U8IS0",'Players&gt;List'!$B10)</f>
        <v>[CAM]</v>
      </c>
      <c r="H2367" s="30"/>
      <c r="I2367" s="30"/>
      <c r="J2367" s="30"/>
      <c r="K2367" s="30"/>
      <c r="L2367" s="30"/>
      <c r="M2367" s="30"/>
      <c r="N2367" s="30"/>
      <c r="O2367" s="30"/>
      <c r="P2367" s="30"/>
    </row>
    <row r="2368">
      <c r="A2368" s="30"/>
      <c r="B2368" s="24" t="s">
        <v>4337</v>
      </c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30"/>
    </row>
    <row r="2369">
      <c r="A2369" s="30"/>
      <c r="B2369" s="4" t="s">
        <v>4338</v>
      </c>
      <c r="D2369" s="32"/>
      <c r="E2369" s="27" t="s">
        <v>14</v>
      </c>
      <c r="F2369" s="18" t="str">
        <f>HYPERLINK("https://www.youtube.com/watch?v=5e03Jur2LLM",'Players&gt;List'!$B18)</f>
        <v>[HGB]</v>
      </c>
      <c r="G2369" s="30"/>
      <c r="H2369" s="30"/>
      <c r="I2369" s="30"/>
      <c r="J2369" s="30"/>
      <c r="K2369" s="30"/>
      <c r="L2369" s="30"/>
      <c r="M2369" s="30"/>
      <c r="N2369" s="30"/>
      <c r="O2369" s="30"/>
      <c r="P2369" s="30"/>
    </row>
    <row r="2370">
      <c r="A2370" s="30"/>
      <c r="B2370" s="25" t="s">
        <v>913</v>
      </c>
      <c r="E2370" s="26" t="s">
        <v>915</v>
      </c>
      <c r="F2370" s="18" t="str">
        <f>HYPERLINK("https://www.youtube.com/watch?v=kdsZwwBNdE4",'Players&gt;List'!$B8)</f>
        <v>[ABA]</v>
      </c>
      <c r="G2370" s="18" t="str">
        <f>HYPERLINK("https://www.twitch.tv/videos/339286167",'Players&gt;List'!$B24)</f>
        <v>[NIM]</v>
      </c>
      <c r="H2370" s="30"/>
      <c r="I2370" s="30"/>
      <c r="J2370" s="30"/>
      <c r="K2370" s="30"/>
      <c r="L2370" s="30"/>
      <c r="M2370" s="30"/>
      <c r="N2370" s="30"/>
      <c r="O2370" s="30"/>
      <c r="P2370" s="30"/>
    </row>
    <row r="2371">
      <c r="A2371" s="30"/>
      <c r="B2371" s="25" t="s">
        <v>149</v>
      </c>
      <c r="E2371" s="26" t="s">
        <v>147</v>
      </c>
      <c r="F2371" s="30"/>
      <c r="G2371" s="30"/>
      <c r="H2371" s="30"/>
      <c r="I2371" s="30"/>
      <c r="J2371" s="30"/>
      <c r="K2371" s="30"/>
      <c r="L2371" s="30"/>
      <c r="M2371" s="30"/>
      <c r="N2371" s="30"/>
      <c r="O2371" s="30"/>
      <c r="P2371" s="30"/>
    </row>
    <row r="2372">
      <c r="A2372" s="30"/>
      <c r="B2372" s="25" t="s">
        <v>2213</v>
      </c>
      <c r="E2372" s="26" t="s">
        <v>147</v>
      </c>
      <c r="F2372" s="30"/>
      <c r="G2372" s="30"/>
      <c r="H2372" s="30"/>
      <c r="I2372" s="30"/>
      <c r="J2372" s="30"/>
      <c r="K2372" s="30"/>
      <c r="L2372" s="30"/>
      <c r="M2372" s="30"/>
      <c r="N2372" s="30"/>
      <c r="O2372" s="30"/>
      <c r="P2372" s="30"/>
    </row>
    <row r="2373">
      <c r="A2373" s="30"/>
      <c r="B2373" s="25" t="s">
        <v>649</v>
      </c>
      <c r="E2373" s="26" t="s">
        <v>147</v>
      </c>
      <c r="F2373" s="30"/>
      <c r="G2373" s="30"/>
      <c r="H2373" s="30"/>
      <c r="I2373" s="30"/>
      <c r="J2373" s="30"/>
      <c r="K2373" s="30"/>
      <c r="L2373" s="30"/>
      <c r="M2373" s="30"/>
      <c r="N2373" s="30"/>
      <c r="O2373" s="30"/>
      <c r="P2373" s="30"/>
    </row>
    <row r="2374">
      <c r="A2374" s="30"/>
      <c r="B2374" s="25" t="s">
        <v>2557</v>
      </c>
      <c r="E2374" s="26" t="s">
        <v>2185</v>
      </c>
      <c r="F2374" s="18" t="str">
        <f>HYPERLINK("https://www.youtube.com/watch?v=U43pI4H15og",'Players&gt;List'!$B8)</f>
        <v>[ABA]</v>
      </c>
      <c r="G2374" s="18" t="str">
        <f>HYPERLINK("https://www.youtube.com/watch?v=SsYXMKm36_0",'Players&gt;List'!$B19)</f>
        <v>[HIT]</v>
      </c>
      <c r="H2374" s="30"/>
      <c r="I2374" s="30"/>
      <c r="J2374" s="30"/>
      <c r="K2374" s="30"/>
      <c r="L2374" s="30"/>
      <c r="M2374" s="30"/>
      <c r="N2374" s="30"/>
      <c r="O2374" s="30"/>
      <c r="P2374" s="30"/>
    </row>
    <row r="2375">
      <c r="A2375" s="30"/>
      <c r="B2375" s="25" t="s">
        <v>3239</v>
      </c>
      <c r="E2375" s="26" t="s">
        <v>2185</v>
      </c>
      <c r="F2375" s="18" t="str">
        <f>HYPERLINK("https://www.youtube.com/watch?v=6jg28JK5YnY",'Players&gt;List'!$B18)</f>
        <v>[HGB]</v>
      </c>
      <c r="G2375" s="18" t="str">
        <f>HYPERLINK("https://www.twitch.tv/videos/339293130",'Players&gt;List'!$B24)</f>
        <v>[NIM]</v>
      </c>
      <c r="H2375" s="30"/>
      <c r="I2375" s="30"/>
      <c r="J2375" s="30"/>
      <c r="K2375" s="30"/>
      <c r="L2375" s="30"/>
      <c r="M2375" s="30"/>
      <c r="N2375" s="30"/>
      <c r="O2375" s="30"/>
      <c r="P2375" s="30"/>
    </row>
    <row r="2376">
      <c r="A2376" s="30"/>
      <c r="B2376" s="24" t="s">
        <v>4351</v>
      </c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30"/>
    </row>
    <row r="2377">
      <c r="A2377" s="30"/>
      <c r="B2377" s="4" t="s">
        <v>4352</v>
      </c>
      <c r="D2377" s="32"/>
      <c r="E2377" s="27" t="s">
        <v>14</v>
      </c>
      <c r="F2377" s="18" t="str">
        <f>HYPERLINK("https://youtu.be/xc0wNP__G58?t=13",'Players&gt;List'!$B23)</f>
        <v>[MOL]</v>
      </c>
      <c r="G2377" s="18" t="str">
        <f>HYPERLINK("https://www.youtube.com/watch?v=sb7efOWbvWE",'Players&gt;List'!$B18)</f>
        <v>[HGB]</v>
      </c>
      <c r="H2377" s="18" t="str">
        <f>HYPERLINK("https://www.twitch.tv/videos/90667095",'Players&gt;List'!$B17)</f>
        <v>[GOL]</v>
      </c>
      <c r="I2377" s="18" t="str">
        <f>HYPERLINK("https://youtu.be/2nL1LcSTZHU",'Players&gt;List'!$B32)</f>
        <v>[XEL]</v>
      </c>
      <c r="J2377" s="30"/>
      <c r="K2377" s="30"/>
      <c r="L2377" s="30"/>
      <c r="M2377" s="30"/>
      <c r="N2377" s="30"/>
      <c r="O2377" s="30"/>
      <c r="P2377" s="30"/>
    </row>
    <row r="2378">
      <c r="A2378" s="30"/>
      <c r="B2378" s="25" t="s">
        <v>131</v>
      </c>
      <c r="E2378" s="26" t="s">
        <v>110</v>
      </c>
      <c r="F2378" s="18" t="str">
        <f>HYPERLINK("https://www.youtube.com/watch?v=kqLqIQJWFFw",'Players&gt;List'!$B18)</f>
        <v>[HGB]</v>
      </c>
      <c r="G2378" s="18" t="str">
        <f>HYPERLINK("https://www.youtube.com/watch?v=-6g_g9d5ly0",'Players&gt;List'!$B19)</f>
        <v>[HIT]</v>
      </c>
      <c r="H2378" s="18" t="str">
        <f>HYPERLINK("https://youtu.be/SYQo1iz6RrM",'Players&gt;List'!$B8)</f>
        <v>[ABA]</v>
      </c>
      <c r="I2378" s="18" t="str">
        <f>HYPERLINK("https://www.twitch.tv/videos/277854126",'Players&gt;List'!$B24)</f>
        <v>[NIM]</v>
      </c>
      <c r="J2378" s="30"/>
      <c r="K2378" s="30"/>
      <c r="L2378" s="30"/>
      <c r="M2378" s="30"/>
      <c r="N2378" s="30"/>
      <c r="O2378" s="30"/>
      <c r="P2378" s="30"/>
    </row>
    <row r="2379">
      <c r="A2379" s="30"/>
      <c r="B2379" s="25" t="s">
        <v>108</v>
      </c>
      <c r="E2379" s="26" t="s">
        <v>132</v>
      </c>
      <c r="F2379" s="18" t="str">
        <f>HYPERLINK("https://www.youtube.com/watch?v=jMWfb4971aU",'Players&gt;List'!$B19)</f>
        <v>[HIT]</v>
      </c>
      <c r="G2379" s="18" t="str">
        <f>HYPERLINK("https://www.twitch.tv/videos/277854125",'Players&gt;List'!$B24)</f>
        <v>[NIM]</v>
      </c>
      <c r="H2379" s="30"/>
      <c r="I2379" s="30"/>
      <c r="J2379" s="30"/>
      <c r="K2379" s="30"/>
      <c r="L2379" s="30"/>
      <c r="M2379" s="30"/>
      <c r="N2379" s="30"/>
      <c r="O2379" s="30"/>
      <c r="P2379" s="30"/>
    </row>
    <row r="2380">
      <c r="A2380" s="30"/>
      <c r="B2380" s="25" t="s">
        <v>117</v>
      </c>
      <c r="E2380" s="26" t="s">
        <v>132</v>
      </c>
      <c r="F2380" s="18" t="str">
        <f>HYPERLINK("https://www.twitch.tv/videos/277854127",'Players&gt;List'!$B24)</f>
        <v>[NIM]</v>
      </c>
      <c r="G2380" s="30"/>
      <c r="H2380" s="30"/>
      <c r="I2380" s="30"/>
      <c r="J2380" s="30"/>
      <c r="K2380" s="30"/>
      <c r="L2380" s="30"/>
      <c r="M2380" s="30"/>
      <c r="N2380" s="30"/>
      <c r="O2380" s="30"/>
      <c r="P2380" s="30"/>
    </row>
    <row r="2381">
      <c r="A2381" s="30"/>
      <c r="B2381" s="25" t="s">
        <v>157</v>
      </c>
      <c r="E2381" s="26" t="s">
        <v>132</v>
      </c>
      <c r="F2381" s="18" t="str">
        <f>HYPERLINK("https://www.youtube.com/watch?v=XlqbTN5oaVk",'Players&gt;List'!$B18)</f>
        <v>[HGB]</v>
      </c>
      <c r="G2381" s="18" t="str">
        <f>HYPERLINK("https://youtu.be/FAynnG8OxyA",'Players&gt;List'!$B23)</f>
        <v>[MOL]</v>
      </c>
      <c r="H2381" s="18" t="str">
        <f>HYPERLINK("https://www.youtube.com/watch?v=wd6P7AcvtJs",'Players&gt;List'!$B19)</f>
        <v>[HIT]</v>
      </c>
      <c r="I2381" s="18" t="str">
        <f>HYPERLINK("https://www.twitch.tv/videos/277858585",'Players&gt;List'!$B24)</f>
        <v>[NIM]</v>
      </c>
      <c r="J2381" s="30"/>
      <c r="K2381" s="30"/>
      <c r="L2381" s="30"/>
      <c r="M2381" s="30"/>
      <c r="N2381" s="30"/>
      <c r="O2381" s="30"/>
      <c r="P2381" s="30"/>
    </row>
    <row r="2382">
      <c r="A2382" s="1"/>
      <c r="B2382" s="23"/>
      <c r="C2382" s="23"/>
      <c r="D2382" s="23"/>
      <c r="E2382" s="9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</sheetData>
  <customSheetViews>
    <customSheetView guid="{8E5E5341-2828-434D-9142-D9EF5A6E9D82}" filter="1" showAutoFilter="1">
      <autoFilter ref="$B$6:$O$2381"/>
    </customSheetView>
  </customSheetViews>
  <mergeCells count="2384">
    <mergeCell ref="B501:D501"/>
    <mergeCell ref="B471:O471"/>
    <mergeCell ref="B499:O499"/>
    <mergeCell ref="B497:D497"/>
    <mergeCell ref="B498:D498"/>
    <mergeCell ref="B500:C500"/>
    <mergeCell ref="B496:D496"/>
    <mergeCell ref="B509:C509"/>
    <mergeCell ref="B510:D510"/>
    <mergeCell ref="B526:O526"/>
    <mergeCell ref="B530:D530"/>
    <mergeCell ref="B529:D529"/>
    <mergeCell ref="B531:D531"/>
    <mergeCell ref="B532:D532"/>
    <mergeCell ref="B535:D535"/>
    <mergeCell ref="B534:C534"/>
    <mergeCell ref="B350:D350"/>
    <mergeCell ref="B430:O430"/>
    <mergeCell ref="B543:O543"/>
    <mergeCell ref="B464:O464"/>
    <mergeCell ref="B548:O548"/>
    <mergeCell ref="B584:O584"/>
    <mergeCell ref="B511:D511"/>
    <mergeCell ref="B507:D507"/>
    <mergeCell ref="B621:O621"/>
    <mergeCell ref="B617:O617"/>
    <mergeCell ref="B620:D620"/>
    <mergeCell ref="B632:D632"/>
    <mergeCell ref="B610:D610"/>
    <mergeCell ref="B603:O603"/>
    <mergeCell ref="B611:O611"/>
    <mergeCell ref="B587:O587"/>
    <mergeCell ref="B596:D596"/>
    <mergeCell ref="B595:D595"/>
    <mergeCell ref="B654:D654"/>
    <mergeCell ref="B653:D653"/>
    <mergeCell ref="B651:C651"/>
    <mergeCell ref="B649:D649"/>
    <mergeCell ref="B577:O577"/>
    <mergeCell ref="B580:O580"/>
    <mergeCell ref="B630:O630"/>
    <mergeCell ref="B655:O655"/>
    <mergeCell ref="B650:O650"/>
    <mergeCell ref="B640:O640"/>
    <mergeCell ref="B652:D652"/>
    <mergeCell ref="B648:D648"/>
    <mergeCell ref="B631:C631"/>
    <mergeCell ref="B647:C647"/>
    <mergeCell ref="B633:O633"/>
    <mergeCell ref="B636:O636"/>
    <mergeCell ref="B643:O643"/>
    <mergeCell ref="B646:O646"/>
    <mergeCell ref="B623:D623"/>
    <mergeCell ref="B622:C622"/>
    <mergeCell ref="B600:O600"/>
    <mergeCell ref="B597:O597"/>
    <mergeCell ref="B609:D609"/>
    <mergeCell ref="B607:O607"/>
    <mergeCell ref="B639:D639"/>
    <mergeCell ref="B638:D638"/>
    <mergeCell ref="B606:D606"/>
    <mergeCell ref="B614:O614"/>
    <mergeCell ref="B626:D626"/>
    <mergeCell ref="B627:O627"/>
    <mergeCell ref="B628:C628"/>
    <mergeCell ref="B634:C634"/>
    <mergeCell ref="B637:C637"/>
    <mergeCell ref="B635:D635"/>
    <mergeCell ref="B605:D605"/>
    <mergeCell ref="B673:O673"/>
    <mergeCell ref="B672:D672"/>
    <mergeCell ref="B666:D666"/>
    <mergeCell ref="B667:D667"/>
    <mergeCell ref="B669:D669"/>
    <mergeCell ref="B668:D668"/>
    <mergeCell ref="B665:D665"/>
    <mergeCell ref="B664:D664"/>
    <mergeCell ref="B671:C671"/>
    <mergeCell ref="B674:C674"/>
    <mergeCell ref="B658:O658"/>
    <mergeCell ref="B677:O677"/>
    <mergeCell ref="B670:O670"/>
    <mergeCell ref="B662:O662"/>
    <mergeCell ref="B657:D657"/>
    <mergeCell ref="B656:C656"/>
    <mergeCell ref="B663:C663"/>
    <mergeCell ref="B661:D661"/>
    <mergeCell ref="B560:O560"/>
    <mergeCell ref="B563:O563"/>
    <mergeCell ref="B568:O568"/>
    <mergeCell ref="B574:O574"/>
    <mergeCell ref="B571:O571"/>
    <mergeCell ref="B366:O366"/>
    <mergeCell ref="B361:O361"/>
    <mergeCell ref="B358:O358"/>
    <mergeCell ref="B355:O355"/>
    <mergeCell ref="B376:O376"/>
    <mergeCell ref="B379:O379"/>
    <mergeCell ref="B593:O593"/>
    <mergeCell ref="B590:O590"/>
    <mergeCell ref="B660:D660"/>
    <mergeCell ref="B659:C659"/>
    <mergeCell ref="B1077:C1077"/>
    <mergeCell ref="B1078:D1078"/>
    <mergeCell ref="B1092:C1092"/>
    <mergeCell ref="B1090:D1090"/>
    <mergeCell ref="B1104:D1104"/>
    <mergeCell ref="B1103:C1103"/>
    <mergeCell ref="B1079:D1079"/>
    <mergeCell ref="B1081:C1081"/>
    <mergeCell ref="B1084:C1084"/>
    <mergeCell ref="B1085:D1085"/>
    <mergeCell ref="B1086:D1086"/>
    <mergeCell ref="B1088:C1088"/>
    <mergeCell ref="B1100:D1100"/>
    <mergeCell ref="B1099:D1099"/>
    <mergeCell ref="B1093:D1093"/>
    <mergeCell ref="B1089:D1089"/>
    <mergeCell ref="B1123:D1123"/>
    <mergeCell ref="B1122:C1122"/>
    <mergeCell ref="B1114:D1114"/>
    <mergeCell ref="B1117:D1117"/>
    <mergeCell ref="B1110:C1110"/>
    <mergeCell ref="B1125:D1125"/>
    <mergeCell ref="B1124:D1124"/>
    <mergeCell ref="B1111:D1111"/>
    <mergeCell ref="B1132:D1132"/>
    <mergeCell ref="B1131:C1131"/>
    <mergeCell ref="B1142:C1142"/>
    <mergeCell ref="B1146:C1146"/>
    <mergeCell ref="B1101:D1101"/>
    <mergeCell ref="B1095:C1095"/>
    <mergeCell ref="B1096:D1096"/>
    <mergeCell ref="B1082:D1082"/>
    <mergeCell ref="B1098:C1098"/>
    <mergeCell ref="B1133:D1133"/>
    <mergeCell ref="B1109:O1109"/>
    <mergeCell ref="B1112:O1112"/>
    <mergeCell ref="B1130:O1130"/>
    <mergeCell ref="B1129:D1129"/>
    <mergeCell ref="B1135:O1135"/>
    <mergeCell ref="B1147:D1147"/>
    <mergeCell ref="B1150:C1150"/>
    <mergeCell ref="B1156:O1156"/>
    <mergeCell ref="B1160:O1160"/>
    <mergeCell ref="B1149:O1149"/>
    <mergeCell ref="B1152:O1152"/>
    <mergeCell ref="B1180:D1180"/>
    <mergeCell ref="B1179:D1179"/>
    <mergeCell ref="B1181:D1181"/>
    <mergeCell ref="B1176:D1176"/>
    <mergeCell ref="B1165:D1165"/>
    <mergeCell ref="B1164:C1164"/>
    <mergeCell ref="B1182:O1182"/>
    <mergeCell ref="B1189:O1189"/>
    <mergeCell ref="B1186:C1186"/>
    <mergeCell ref="B1185:O1185"/>
    <mergeCell ref="B1188:D1188"/>
    <mergeCell ref="B1187:D1187"/>
    <mergeCell ref="B1184:D1184"/>
    <mergeCell ref="B1074:C1074"/>
    <mergeCell ref="B1072:D1072"/>
    <mergeCell ref="B1052:D1052"/>
    <mergeCell ref="B1051:C1051"/>
    <mergeCell ref="B1053:D1053"/>
    <mergeCell ref="B1039:O1039"/>
    <mergeCell ref="B1042:O1042"/>
    <mergeCell ref="B1050:O1050"/>
    <mergeCell ref="B1046:O1046"/>
    <mergeCell ref="B1044:D1044"/>
    <mergeCell ref="B1047:C1047"/>
    <mergeCell ref="B1071:C1071"/>
    <mergeCell ref="B1075:D1075"/>
    <mergeCell ref="B1069:D1069"/>
    <mergeCell ref="B1068:C1068"/>
    <mergeCell ref="B1062:D1062"/>
    <mergeCell ref="B1065:D1065"/>
    <mergeCell ref="B1064:C1064"/>
    <mergeCell ref="B1010:O1010"/>
    <mergeCell ref="B1009:D1009"/>
    <mergeCell ref="B1066:D1066"/>
    <mergeCell ref="B1061:C1061"/>
    <mergeCell ref="B1008:C1008"/>
    <mergeCell ref="B1018:C1018"/>
    <mergeCell ref="B1025:C1025"/>
    <mergeCell ref="B1028:C1028"/>
    <mergeCell ref="B1036:C1036"/>
    <mergeCell ref="B1011:C1011"/>
    <mergeCell ref="B1014:O1014"/>
    <mergeCell ref="B1016:D1016"/>
    <mergeCell ref="B1012:D1012"/>
    <mergeCell ref="B1015:C1015"/>
    <mergeCell ref="B1013:D1013"/>
    <mergeCell ref="B978:O978"/>
    <mergeCell ref="B976:D976"/>
    <mergeCell ref="B977:D977"/>
    <mergeCell ref="B975:C975"/>
    <mergeCell ref="B972:C972"/>
    <mergeCell ref="B969:D969"/>
    <mergeCell ref="B970:D970"/>
    <mergeCell ref="B968:C968"/>
    <mergeCell ref="B964:C964"/>
    <mergeCell ref="B973:D973"/>
    <mergeCell ref="B979:C979"/>
    <mergeCell ref="B889:D889"/>
    <mergeCell ref="B886:D886"/>
    <mergeCell ref="B1002:D1002"/>
    <mergeCell ref="B1005:D1005"/>
    <mergeCell ref="B1004:C1004"/>
    <mergeCell ref="B981:D981"/>
    <mergeCell ref="B980:D980"/>
    <mergeCell ref="B991:D991"/>
    <mergeCell ref="B990:C990"/>
    <mergeCell ref="B988:D988"/>
    <mergeCell ref="B985:D985"/>
    <mergeCell ref="B992:D992"/>
    <mergeCell ref="B881:O881"/>
    <mergeCell ref="B1115:O1115"/>
    <mergeCell ref="B1127:O1127"/>
    <mergeCell ref="B1080:O1080"/>
    <mergeCell ref="B997:O997"/>
    <mergeCell ref="B1029:D1029"/>
    <mergeCell ref="B1006:D1006"/>
    <mergeCell ref="B959:D959"/>
    <mergeCell ref="B971:O971"/>
    <mergeCell ref="B974:O974"/>
    <mergeCell ref="B989:O989"/>
    <mergeCell ref="B986:O986"/>
    <mergeCell ref="B983:O983"/>
    <mergeCell ref="B994:O994"/>
    <mergeCell ref="B982:D982"/>
    <mergeCell ref="B882:C882"/>
    <mergeCell ref="B883:D883"/>
    <mergeCell ref="B891:C891"/>
    <mergeCell ref="B919:D919"/>
    <mergeCell ref="B918:D918"/>
    <mergeCell ref="B912:D912"/>
    <mergeCell ref="B908:C908"/>
    <mergeCell ref="B938:D938"/>
    <mergeCell ref="B958:D958"/>
    <mergeCell ref="B957:C957"/>
    <mergeCell ref="B995:C995"/>
    <mergeCell ref="B993:D993"/>
    <mergeCell ref="B1001:D1001"/>
    <mergeCell ref="B1000:D1000"/>
    <mergeCell ref="B999:D999"/>
    <mergeCell ref="B996:D996"/>
    <mergeCell ref="B984:C984"/>
    <mergeCell ref="B987:C987"/>
    <mergeCell ref="B708:D708"/>
    <mergeCell ref="B710:C710"/>
    <mergeCell ref="B684:C684"/>
    <mergeCell ref="B695:D695"/>
    <mergeCell ref="B694:C694"/>
    <mergeCell ref="B688:C688"/>
    <mergeCell ref="B689:D689"/>
    <mergeCell ref="B678:C678"/>
    <mergeCell ref="B679:D679"/>
    <mergeCell ref="B711:D711"/>
    <mergeCell ref="B714:D714"/>
    <mergeCell ref="B713:C713"/>
    <mergeCell ref="B717:D717"/>
    <mergeCell ref="B629:D629"/>
    <mergeCell ref="B641:C641"/>
    <mergeCell ref="B642:D642"/>
    <mergeCell ref="B675:D675"/>
    <mergeCell ref="B676:D676"/>
    <mergeCell ref="B680:D680"/>
    <mergeCell ref="B705:C705"/>
    <mergeCell ref="B645:D645"/>
    <mergeCell ref="B644:C644"/>
    <mergeCell ref="B700:D700"/>
    <mergeCell ref="B698:C698"/>
    <mergeCell ref="B699:D699"/>
    <mergeCell ref="B706:D706"/>
    <mergeCell ref="B707:D707"/>
    <mergeCell ref="B692:D692"/>
    <mergeCell ref="B691:C691"/>
    <mergeCell ref="B682:D682"/>
    <mergeCell ref="B681:D681"/>
    <mergeCell ref="B685:D685"/>
    <mergeCell ref="B686:D686"/>
    <mergeCell ref="B738:D738"/>
    <mergeCell ref="B735:D735"/>
    <mergeCell ref="B731:C731"/>
    <mergeCell ref="B729:D729"/>
    <mergeCell ref="B732:D732"/>
    <mergeCell ref="B743:C743"/>
    <mergeCell ref="B716:C716"/>
    <mergeCell ref="B776:C776"/>
    <mergeCell ref="B770:D770"/>
    <mergeCell ref="B772:C772"/>
    <mergeCell ref="B773:D773"/>
    <mergeCell ref="B774:D774"/>
    <mergeCell ref="B761:C761"/>
    <mergeCell ref="B765:D765"/>
    <mergeCell ref="B734:C734"/>
    <mergeCell ref="B740:C740"/>
    <mergeCell ref="B737:C737"/>
    <mergeCell ref="B759:D759"/>
    <mergeCell ref="B758:C758"/>
    <mergeCell ref="B747:D747"/>
    <mergeCell ref="B750:D750"/>
    <mergeCell ref="B749:C749"/>
    <mergeCell ref="B728:D728"/>
    <mergeCell ref="B724:D724"/>
    <mergeCell ref="B752:C752"/>
    <mergeCell ref="B744:D744"/>
    <mergeCell ref="B746:C746"/>
    <mergeCell ref="B764:C764"/>
    <mergeCell ref="B762:D762"/>
    <mergeCell ref="B753:D753"/>
    <mergeCell ref="B755:C755"/>
    <mergeCell ref="B1113:C1113"/>
    <mergeCell ref="B1091:O1091"/>
    <mergeCell ref="B1094:O1094"/>
    <mergeCell ref="B1102:O1102"/>
    <mergeCell ref="B1097:O1097"/>
    <mergeCell ref="B1105:O1105"/>
    <mergeCell ref="B1106:C1106"/>
    <mergeCell ref="B963:O963"/>
    <mergeCell ref="B960:O960"/>
    <mergeCell ref="B961:C961"/>
    <mergeCell ref="B946:O946"/>
    <mergeCell ref="B956:O956"/>
    <mergeCell ref="B1054:O1054"/>
    <mergeCell ref="B1038:D1038"/>
    <mergeCell ref="B1049:D1049"/>
    <mergeCell ref="B1048:D1048"/>
    <mergeCell ref="B1045:D1045"/>
    <mergeCell ref="B1037:D1037"/>
    <mergeCell ref="B1032:C1032"/>
    <mergeCell ref="B1033:D1033"/>
    <mergeCell ref="B1034:D1034"/>
    <mergeCell ref="B1087:O1087"/>
    <mergeCell ref="B1083:O1083"/>
    <mergeCell ref="B884:O884"/>
    <mergeCell ref="B901:O901"/>
    <mergeCell ref="B832:C832"/>
    <mergeCell ref="B843:D843"/>
    <mergeCell ref="B842:D842"/>
    <mergeCell ref="B841:C841"/>
    <mergeCell ref="B817:D817"/>
    <mergeCell ref="B816:D816"/>
    <mergeCell ref="B870:D870"/>
    <mergeCell ref="B867:D867"/>
    <mergeCell ref="B877:D877"/>
    <mergeCell ref="B815:C815"/>
    <mergeCell ref="B819:C819"/>
    <mergeCell ref="B830:D830"/>
    <mergeCell ref="B828:C828"/>
    <mergeCell ref="B820:D820"/>
    <mergeCell ref="B822:D822"/>
    <mergeCell ref="B866:C866"/>
    <mergeCell ref="B763:O763"/>
    <mergeCell ref="B766:D766"/>
    <mergeCell ref="B769:D769"/>
    <mergeCell ref="B768:C768"/>
    <mergeCell ref="B1020:O1020"/>
    <mergeCell ref="B1024:O1024"/>
    <mergeCell ref="B966:D966"/>
    <mergeCell ref="B942:O942"/>
    <mergeCell ref="B1035:O1035"/>
    <mergeCell ref="B1027:O1027"/>
    <mergeCell ref="B1031:O1031"/>
    <mergeCell ref="B1030:D1030"/>
    <mergeCell ref="B1073:O1073"/>
    <mergeCell ref="B1076:O1076"/>
    <mergeCell ref="B1070:O1070"/>
    <mergeCell ref="B1067:O1067"/>
    <mergeCell ref="B1056:D1056"/>
    <mergeCell ref="B892:D892"/>
    <mergeCell ref="B893:D893"/>
    <mergeCell ref="B879:C879"/>
    <mergeCell ref="B887:O887"/>
    <mergeCell ref="B898:O898"/>
    <mergeCell ref="B890:O890"/>
    <mergeCell ref="B894:O894"/>
    <mergeCell ref="B880:D880"/>
    <mergeCell ref="B873:D873"/>
    <mergeCell ref="B875:C875"/>
    <mergeCell ref="B812:D812"/>
    <mergeCell ref="B931:O931"/>
    <mergeCell ref="B934:O934"/>
    <mergeCell ref="B913:O913"/>
    <mergeCell ref="B910:O910"/>
    <mergeCell ref="B907:O907"/>
    <mergeCell ref="B921:O921"/>
    <mergeCell ref="B924:O924"/>
    <mergeCell ref="B927:O927"/>
    <mergeCell ref="B916:O916"/>
    <mergeCell ref="B1154:D1154"/>
    <mergeCell ref="B1159:D1159"/>
    <mergeCell ref="B1158:D1158"/>
    <mergeCell ref="B1162:D1162"/>
    <mergeCell ref="B1168:D1168"/>
    <mergeCell ref="B1116:C1116"/>
    <mergeCell ref="B1126:D1126"/>
    <mergeCell ref="B1134:D1134"/>
    <mergeCell ref="B1143:D1143"/>
    <mergeCell ref="B1137:D1137"/>
    <mergeCell ref="B1140:D1140"/>
    <mergeCell ref="B1144:D1144"/>
    <mergeCell ref="B1148:D1148"/>
    <mergeCell ref="B1157:C1157"/>
    <mergeCell ref="B1161:C1161"/>
    <mergeCell ref="B1119:C1119"/>
    <mergeCell ref="B1170:C1170"/>
    <mergeCell ref="B1167:C1167"/>
    <mergeCell ref="B1128:C1128"/>
    <mergeCell ref="B1136:C1136"/>
    <mergeCell ref="B1139:C1139"/>
    <mergeCell ref="B1153:C1153"/>
    <mergeCell ref="B967:O967"/>
    <mergeCell ref="B962:D962"/>
    <mergeCell ref="B965:D965"/>
    <mergeCell ref="B917:C917"/>
    <mergeCell ref="B929:D929"/>
    <mergeCell ref="B920:D920"/>
    <mergeCell ref="B926:D926"/>
    <mergeCell ref="B928:C928"/>
    <mergeCell ref="B925:C925"/>
    <mergeCell ref="B923:D923"/>
    <mergeCell ref="B902:C902"/>
    <mergeCell ref="B940:D940"/>
    <mergeCell ref="B932:C932"/>
    <mergeCell ref="B933:D933"/>
    <mergeCell ref="B1007:O1007"/>
    <mergeCell ref="B1003:O1003"/>
    <mergeCell ref="B953:O953"/>
    <mergeCell ref="B950:O950"/>
    <mergeCell ref="B897:D897"/>
    <mergeCell ref="B900:D900"/>
    <mergeCell ref="B998:C998"/>
    <mergeCell ref="B941:D941"/>
    <mergeCell ref="B1175:D1175"/>
    <mergeCell ref="B1174:C1174"/>
    <mergeCell ref="B1177:O1177"/>
    <mergeCell ref="B1173:O1173"/>
    <mergeCell ref="B1178:C1178"/>
    <mergeCell ref="B1166:O1166"/>
    <mergeCell ref="B1169:O1169"/>
    <mergeCell ref="B1171:D1171"/>
    <mergeCell ref="B1172:D1172"/>
    <mergeCell ref="B771:O771"/>
    <mergeCell ref="B795:D795"/>
    <mergeCell ref="B780:D780"/>
    <mergeCell ref="B792:O792"/>
    <mergeCell ref="B779:C779"/>
    <mergeCell ref="B782:C782"/>
    <mergeCell ref="B775:O775"/>
    <mergeCell ref="B868:O868"/>
    <mergeCell ref="B871:O871"/>
    <mergeCell ref="B874:O874"/>
    <mergeCell ref="B878:O878"/>
    <mergeCell ref="B760:O760"/>
    <mergeCell ref="B767:O767"/>
    <mergeCell ref="B796:O796"/>
    <mergeCell ref="B804:O804"/>
    <mergeCell ref="B807:O807"/>
    <mergeCell ref="B777:D777"/>
    <mergeCell ref="B778:O778"/>
    <mergeCell ref="B788:O788"/>
    <mergeCell ref="B781:O781"/>
    <mergeCell ref="B847:D847"/>
    <mergeCell ref="B848:D848"/>
    <mergeCell ref="B855:D855"/>
    <mergeCell ref="B854:D854"/>
    <mergeCell ref="B876:D876"/>
    <mergeCell ref="B844:D844"/>
    <mergeCell ref="B846:C846"/>
    <mergeCell ref="B851:D851"/>
    <mergeCell ref="B853:C853"/>
    <mergeCell ref="B850:C850"/>
    <mergeCell ref="B856:D856"/>
    <mergeCell ref="B859:D859"/>
    <mergeCell ref="B858:C858"/>
    <mergeCell ref="B808:C808"/>
    <mergeCell ref="B806:D806"/>
    <mergeCell ref="B797:C797"/>
    <mergeCell ref="B799:O799"/>
    <mergeCell ref="B802:D802"/>
    <mergeCell ref="B801:D801"/>
    <mergeCell ref="B803:D803"/>
    <mergeCell ref="B809:D809"/>
    <mergeCell ref="B798:D798"/>
    <mergeCell ref="B839:D839"/>
    <mergeCell ref="B834:O834"/>
    <mergeCell ref="B835:C835"/>
    <mergeCell ref="B836:D836"/>
    <mergeCell ref="B863:D863"/>
    <mergeCell ref="B862:C862"/>
    <mergeCell ref="B860:D860"/>
    <mergeCell ref="B864:D864"/>
    <mergeCell ref="B872:C872"/>
    <mergeCell ref="B869:C869"/>
    <mergeCell ref="B852:O852"/>
    <mergeCell ref="B857:O857"/>
    <mergeCell ref="B865:O865"/>
    <mergeCell ref="B861:O861"/>
    <mergeCell ref="B840:O840"/>
    <mergeCell ref="B823:O823"/>
    <mergeCell ref="B833:D833"/>
    <mergeCell ref="B849:O849"/>
    <mergeCell ref="B845:O845"/>
    <mergeCell ref="B838:C838"/>
    <mergeCell ref="B837:O837"/>
    <mergeCell ref="B831:O831"/>
    <mergeCell ref="B829:D829"/>
    <mergeCell ref="B827:O827"/>
    <mergeCell ref="B824:C824"/>
    <mergeCell ref="B825:D825"/>
    <mergeCell ref="B826:D826"/>
    <mergeCell ref="B814:O814"/>
    <mergeCell ref="B813:D813"/>
    <mergeCell ref="B821:D821"/>
    <mergeCell ref="B818:O818"/>
    <mergeCell ref="B787:D787"/>
    <mergeCell ref="B785:D785"/>
    <mergeCell ref="B786:D786"/>
    <mergeCell ref="B784:D784"/>
    <mergeCell ref="B783:D783"/>
    <mergeCell ref="B333:O333"/>
    <mergeCell ref="B337:O337"/>
    <mergeCell ref="B310:O310"/>
    <mergeCell ref="B306:O306"/>
    <mergeCell ref="B309:D309"/>
    <mergeCell ref="B288:O288"/>
    <mergeCell ref="B292:O292"/>
    <mergeCell ref="B296:O296"/>
    <mergeCell ref="B301:O301"/>
    <mergeCell ref="B322:O322"/>
    <mergeCell ref="B325:O325"/>
    <mergeCell ref="B330:O330"/>
    <mergeCell ref="B319:O319"/>
    <mergeCell ref="B342:O342"/>
    <mergeCell ref="B348:O348"/>
    <mergeCell ref="B313:O313"/>
    <mergeCell ref="B258:D258"/>
    <mergeCell ref="B259:D259"/>
    <mergeCell ref="B256:O256"/>
    <mergeCell ref="B261:O261"/>
    <mergeCell ref="B264:D264"/>
    <mergeCell ref="B263:D263"/>
    <mergeCell ref="B537:O537"/>
    <mergeCell ref="B533:O533"/>
    <mergeCell ref="B449:D449"/>
    <mergeCell ref="B447:O447"/>
    <mergeCell ref="B416:O416"/>
    <mergeCell ref="B420:O420"/>
    <mergeCell ref="B409:O409"/>
    <mergeCell ref="B412:O412"/>
    <mergeCell ref="B424:O424"/>
    <mergeCell ref="B513:O513"/>
    <mergeCell ref="B508:O508"/>
    <mergeCell ref="B468:O468"/>
    <mergeCell ref="B450:D450"/>
    <mergeCell ref="B486:O486"/>
    <mergeCell ref="B493:O493"/>
    <mergeCell ref="B519:O519"/>
    <mergeCell ref="B479:O479"/>
    <mergeCell ref="B482:O482"/>
    <mergeCell ref="B504:O504"/>
    <mergeCell ref="B284:O284"/>
    <mergeCell ref="B280:O280"/>
    <mergeCell ref="B267:C267"/>
    <mergeCell ref="B265:D265"/>
    <mergeCell ref="B275:O275"/>
    <mergeCell ref="B274:D274"/>
    <mergeCell ref="B269:O269"/>
    <mergeCell ref="B266:O266"/>
    <mergeCell ref="B272:O272"/>
    <mergeCell ref="B1063:O1063"/>
    <mergeCell ref="B1060:O1060"/>
    <mergeCell ref="B1057:O1057"/>
    <mergeCell ref="B1059:D1059"/>
    <mergeCell ref="B1058:C1058"/>
    <mergeCell ref="B1043:C1043"/>
    <mergeCell ref="B1040:C1040"/>
    <mergeCell ref="B1055:C1055"/>
    <mergeCell ref="B1041:D1041"/>
    <mergeCell ref="B1017:O1017"/>
    <mergeCell ref="B1022:D1022"/>
    <mergeCell ref="B1019:D1019"/>
    <mergeCell ref="B1021:C1021"/>
    <mergeCell ref="B1023:D1023"/>
    <mergeCell ref="B1026:D1026"/>
    <mergeCell ref="B951:C951"/>
    <mergeCell ref="B895:C895"/>
    <mergeCell ref="B885:C885"/>
    <mergeCell ref="B888:C888"/>
    <mergeCell ref="B1155:D1155"/>
    <mergeCell ref="B1151:D1151"/>
    <mergeCell ref="B1118:O1118"/>
    <mergeCell ref="B1121:O1121"/>
    <mergeCell ref="B1120:D1120"/>
    <mergeCell ref="B1145:O1145"/>
    <mergeCell ref="B1141:O1141"/>
    <mergeCell ref="B1138:O1138"/>
    <mergeCell ref="B1163:O1163"/>
    <mergeCell ref="B730:O730"/>
    <mergeCell ref="B726:O726"/>
    <mergeCell ref="B683:O683"/>
    <mergeCell ref="B693:O693"/>
    <mergeCell ref="B697:O697"/>
    <mergeCell ref="B690:O690"/>
    <mergeCell ref="B687:O687"/>
    <mergeCell ref="B712:O712"/>
    <mergeCell ref="B709:O709"/>
    <mergeCell ref="B715:O715"/>
    <mergeCell ref="B703:D703"/>
    <mergeCell ref="B748:O748"/>
    <mergeCell ref="B720:O720"/>
    <mergeCell ref="B733:O733"/>
    <mergeCell ref="B704:O704"/>
    <mergeCell ref="B701:O701"/>
    <mergeCell ref="B741:D741"/>
    <mergeCell ref="B719:D719"/>
    <mergeCell ref="B721:C721"/>
    <mergeCell ref="B718:D718"/>
    <mergeCell ref="B723:D723"/>
    <mergeCell ref="B722:D722"/>
    <mergeCell ref="B727:C727"/>
    <mergeCell ref="B725:D725"/>
    <mergeCell ref="B736:O736"/>
    <mergeCell ref="B739:O739"/>
    <mergeCell ref="B745:O745"/>
    <mergeCell ref="B742:O742"/>
    <mergeCell ref="B751:O751"/>
    <mergeCell ref="B757:O757"/>
    <mergeCell ref="B754:O754"/>
    <mergeCell ref="B756:D756"/>
    <mergeCell ref="B702:C702"/>
    <mergeCell ref="B696:D696"/>
    <mergeCell ref="B805:C805"/>
    <mergeCell ref="B811:C811"/>
    <mergeCell ref="B810:O810"/>
    <mergeCell ref="B800:C800"/>
    <mergeCell ref="B791:D791"/>
    <mergeCell ref="B789:C789"/>
    <mergeCell ref="B790:D790"/>
    <mergeCell ref="B794:D794"/>
    <mergeCell ref="B793:C793"/>
    <mergeCell ref="B1249:D1249"/>
    <mergeCell ref="B1253:D1253"/>
    <mergeCell ref="B1252:D1252"/>
    <mergeCell ref="B1266:O1266"/>
    <mergeCell ref="B1263:O1263"/>
    <mergeCell ref="B1255:O1255"/>
    <mergeCell ref="B1250:O1250"/>
    <mergeCell ref="B1243:O1243"/>
    <mergeCell ref="B1259:O1259"/>
    <mergeCell ref="B1256:C1256"/>
    <mergeCell ref="B1198:O1198"/>
    <mergeCell ref="B1206:D1206"/>
    <mergeCell ref="B1205:C1205"/>
    <mergeCell ref="B1217:O1217"/>
    <mergeCell ref="B1218:C1218"/>
    <mergeCell ref="B1214:C1214"/>
    <mergeCell ref="B1208:C1208"/>
    <mergeCell ref="B1211:C1211"/>
    <mergeCell ref="B1209:D1209"/>
    <mergeCell ref="B1212:D1212"/>
    <mergeCell ref="B1215:D1215"/>
    <mergeCell ref="B1216:D1216"/>
    <mergeCell ref="B1225:D1225"/>
    <mergeCell ref="B1224:C1224"/>
    <mergeCell ref="B551:O551"/>
    <mergeCell ref="B554:O554"/>
    <mergeCell ref="B1235:O1235"/>
    <mergeCell ref="B1232:O1232"/>
    <mergeCell ref="B1220:O1220"/>
    <mergeCell ref="B1192:O1192"/>
    <mergeCell ref="B1229:C1229"/>
    <mergeCell ref="B1228:O1228"/>
    <mergeCell ref="B1223:O1223"/>
    <mergeCell ref="B1204:O1204"/>
    <mergeCell ref="B1201:O1201"/>
    <mergeCell ref="B1199:C1199"/>
    <mergeCell ref="B1200:D1200"/>
    <mergeCell ref="B1213:O1213"/>
    <mergeCell ref="B1207:O1207"/>
    <mergeCell ref="B1210:O1210"/>
    <mergeCell ref="B1195:O1195"/>
    <mergeCell ref="B1196:C1196"/>
    <mergeCell ref="B1197:D1197"/>
    <mergeCell ref="B1190:C1190"/>
    <mergeCell ref="B1191:D1191"/>
    <mergeCell ref="B1221:C1221"/>
    <mergeCell ref="B1222:D1222"/>
    <mergeCell ref="B1227:D1227"/>
    <mergeCell ref="B1226:D1226"/>
    <mergeCell ref="B1241:D1241"/>
    <mergeCell ref="B1242:D1242"/>
    <mergeCell ref="B1203:D1203"/>
    <mergeCell ref="B1202:C1202"/>
    <mergeCell ref="B1219:D1219"/>
    <mergeCell ref="B1231:D1231"/>
    <mergeCell ref="B1230:D1230"/>
    <mergeCell ref="B461:O461"/>
    <mergeCell ref="B451:O451"/>
    <mergeCell ref="B455:O455"/>
    <mergeCell ref="B390:O390"/>
    <mergeCell ref="B402:O402"/>
    <mergeCell ref="B398:O398"/>
    <mergeCell ref="B394:O394"/>
    <mergeCell ref="B444:O444"/>
    <mergeCell ref="B441:O441"/>
    <mergeCell ref="B434:O434"/>
    <mergeCell ref="B438:O438"/>
    <mergeCell ref="B384:O384"/>
    <mergeCell ref="B369:O369"/>
    <mergeCell ref="B372:O372"/>
    <mergeCell ref="B427:O427"/>
    <mergeCell ref="B406:O406"/>
    <mergeCell ref="B1239:O1239"/>
    <mergeCell ref="B1237:D1237"/>
    <mergeCell ref="B1236:C1236"/>
    <mergeCell ref="B1240:C1240"/>
    <mergeCell ref="B1238:D1238"/>
    <mergeCell ref="B1234:D1234"/>
    <mergeCell ref="B1233:C1233"/>
    <mergeCell ref="B1390:O1390"/>
    <mergeCell ref="B1364:O1364"/>
    <mergeCell ref="B1374:O1374"/>
    <mergeCell ref="B1367:O1367"/>
    <mergeCell ref="B1371:O1371"/>
    <mergeCell ref="B1384:O1384"/>
    <mergeCell ref="B1387:O1387"/>
    <mergeCell ref="B1329:D1329"/>
    <mergeCell ref="B1324:D1324"/>
    <mergeCell ref="B1318:D1318"/>
    <mergeCell ref="B1317:C1317"/>
    <mergeCell ref="B1320:C1320"/>
    <mergeCell ref="B1321:D1321"/>
    <mergeCell ref="B1356:D1356"/>
    <mergeCell ref="B1359:D1359"/>
    <mergeCell ref="B1403:O1403"/>
    <mergeCell ref="B1393:O1393"/>
    <mergeCell ref="B1319:O1319"/>
    <mergeCell ref="B1322:O1322"/>
    <mergeCell ref="B1316:O1316"/>
    <mergeCell ref="B1399:O1399"/>
    <mergeCell ref="B1330:D1330"/>
    <mergeCell ref="B1360:D1360"/>
    <mergeCell ref="B1395:D1395"/>
    <mergeCell ref="B1396:O1396"/>
    <mergeCell ref="B1398:D1398"/>
    <mergeCell ref="B1401:D1401"/>
    <mergeCell ref="B1333:C1333"/>
    <mergeCell ref="B1328:C1328"/>
    <mergeCell ref="B1323:C1323"/>
    <mergeCell ref="B1325:D1325"/>
    <mergeCell ref="B1327:O1327"/>
    <mergeCell ref="B1326:D1326"/>
    <mergeCell ref="B1331:D1331"/>
    <mergeCell ref="B1336:C1336"/>
    <mergeCell ref="B1337:D1337"/>
    <mergeCell ref="B1341:D1341"/>
    <mergeCell ref="B1342:D1342"/>
    <mergeCell ref="B1340:D1340"/>
    <mergeCell ref="B1332:O1332"/>
    <mergeCell ref="B1351:O1351"/>
    <mergeCell ref="B1346:O1346"/>
    <mergeCell ref="B1344:D1344"/>
    <mergeCell ref="B1343:D1343"/>
    <mergeCell ref="B1347:C1347"/>
    <mergeCell ref="B1339:C1339"/>
    <mergeCell ref="B1378:O1378"/>
    <mergeCell ref="B1381:O1381"/>
    <mergeCell ref="B1379:C1379"/>
    <mergeCell ref="B1380:D1380"/>
    <mergeCell ref="B1373:D1373"/>
    <mergeCell ref="B1372:C1372"/>
    <mergeCell ref="B1369:D1369"/>
    <mergeCell ref="B1370:D1370"/>
    <mergeCell ref="B1375:C1375"/>
    <mergeCell ref="B1377:D1377"/>
    <mergeCell ref="B1376:D1376"/>
    <mergeCell ref="B1389:D1389"/>
    <mergeCell ref="B1392:D1392"/>
    <mergeCell ref="B1388:C1388"/>
    <mergeCell ref="B1382:C1382"/>
    <mergeCell ref="B1385:C1385"/>
    <mergeCell ref="B1386:D1386"/>
    <mergeCell ref="B1383:D1383"/>
    <mergeCell ref="B1348:D1348"/>
    <mergeCell ref="B1353:D1353"/>
    <mergeCell ref="B253:C253"/>
    <mergeCell ref="B247:D247"/>
    <mergeCell ref="B251:D251"/>
    <mergeCell ref="B250:D250"/>
    <mergeCell ref="B249:C249"/>
    <mergeCell ref="B252:O252"/>
    <mergeCell ref="B248:O248"/>
    <mergeCell ref="B255:D255"/>
    <mergeCell ref="B231:D231"/>
    <mergeCell ref="B237:D237"/>
    <mergeCell ref="B232:D232"/>
    <mergeCell ref="B254:D254"/>
    <mergeCell ref="B234:C234"/>
    <mergeCell ref="B235:D235"/>
    <mergeCell ref="B188:C188"/>
    <mergeCell ref="B192:C192"/>
    <mergeCell ref="B181:C181"/>
    <mergeCell ref="B183:D183"/>
    <mergeCell ref="B182:D182"/>
    <mergeCell ref="B186:D186"/>
    <mergeCell ref="B185:C185"/>
    <mergeCell ref="B190:D190"/>
    <mergeCell ref="B195:D195"/>
    <mergeCell ref="B193:D193"/>
    <mergeCell ref="B194:D194"/>
    <mergeCell ref="B208:D208"/>
    <mergeCell ref="B217:D217"/>
    <mergeCell ref="B211:D211"/>
    <mergeCell ref="B230:C230"/>
    <mergeCell ref="B220:D220"/>
    <mergeCell ref="B225:C225"/>
    <mergeCell ref="B223:D223"/>
    <mergeCell ref="B222:C222"/>
    <mergeCell ref="B240:D240"/>
    <mergeCell ref="B239:C239"/>
    <mergeCell ref="B118:D118"/>
    <mergeCell ref="B119:O119"/>
    <mergeCell ref="B123:C123"/>
    <mergeCell ref="B121:D121"/>
    <mergeCell ref="B120:C120"/>
    <mergeCell ref="B117:D117"/>
    <mergeCell ref="B116:D116"/>
    <mergeCell ref="B115:C115"/>
    <mergeCell ref="B122:O122"/>
    <mergeCell ref="B88:O88"/>
    <mergeCell ref="B91:O91"/>
    <mergeCell ref="B112:D112"/>
    <mergeCell ref="B113:D113"/>
    <mergeCell ref="B98:O98"/>
    <mergeCell ref="B114:O114"/>
    <mergeCell ref="B101:O101"/>
    <mergeCell ref="B109:O109"/>
    <mergeCell ref="B82:O82"/>
    <mergeCell ref="B271:D271"/>
    <mergeCell ref="B276:C276"/>
    <mergeCell ref="B349:C349"/>
    <mergeCell ref="B268:D268"/>
    <mergeCell ref="B246:D246"/>
    <mergeCell ref="B257:C257"/>
    <mergeCell ref="B260:D260"/>
    <mergeCell ref="B262:C262"/>
    <mergeCell ref="B426:D426"/>
    <mergeCell ref="B179:D179"/>
    <mergeCell ref="B178:D178"/>
    <mergeCell ref="B201:D201"/>
    <mergeCell ref="B198:D198"/>
    <mergeCell ref="B204:D204"/>
    <mergeCell ref="B205:D205"/>
    <mergeCell ref="B174:D174"/>
    <mergeCell ref="B187:O187"/>
    <mergeCell ref="B191:O191"/>
    <mergeCell ref="B196:O196"/>
    <mergeCell ref="B199:O199"/>
    <mergeCell ref="B202:O202"/>
    <mergeCell ref="B184:O184"/>
    <mergeCell ref="B180:O180"/>
    <mergeCell ref="B1287:O1287"/>
    <mergeCell ref="B1290:O1290"/>
    <mergeCell ref="B1301:C1301"/>
    <mergeCell ref="B1302:D1302"/>
    <mergeCell ref="B1308:D1308"/>
    <mergeCell ref="B1304:C1304"/>
    <mergeCell ref="B1305:D1305"/>
    <mergeCell ref="B1307:C1307"/>
    <mergeCell ref="B1298:D1298"/>
    <mergeCell ref="B1297:C1297"/>
    <mergeCell ref="B1299:D1299"/>
    <mergeCell ref="B1294:C1294"/>
    <mergeCell ref="B1295:D1295"/>
    <mergeCell ref="B1284:O1284"/>
    <mergeCell ref="B1296:O1296"/>
    <mergeCell ref="B1281:O1281"/>
    <mergeCell ref="B1306:O1306"/>
    <mergeCell ref="B1309:O1309"/>
    <mergeCell ref="B1312:O1312"/>
    <mergeCell ref="B1313:C1313"/>
    <mergeCell ref="B1338:O1338"/>
    <mergeCell ref="B1335:O1335"/>
    <mergeCell ref="B1300:O1300"/>
    <mergeCell ref="B1303:O1303"/>
    <mergeCell ref="B1269:O1269"/>
    <mergeCell ref="B1272:O1272"/>
    <mergeCell ref="B1276:O1276"/>
    <mergeCell ref="B1361:O1361"/>
    <mergeCell ref="B1354:O1354"/>
    <mergeCell ref="B1357:O1357"/>
    <mergeCell ref="B1365:C1365"/>
    <mergeCell ref="B1366:D1366"/>
    <mergeCell ref="B1293:O1293"/>
    <mergeCell ref="B1291:C1291"/>
    <mergeCell ref="B1292:D1292"/>
    <mergeCell ref="B1311:D1311"/>
    <mergeCell ref="B1310:C1310"/>
    <mergeCell ref="B1315:D1315"/>
    <mergeCell ref="B1314:D1314"/>
    <mergeCell ref="B1443:D1443"/>
    <mergeCell ref="B1444:D1444"/>
    <mergeCell ref="B1439:D1439"/>
    <mergeCell ref="B1440:D1440"/>
    <mergeCell ref="B1442:C1442"/>
    <mergeCell ref="B1438:C1438"/>
    <mergeCell ref="B1462:C1462"/>
    <mergeCell ref="B1466:D1466"/>
    <mergeCell ref="B1447:D1447"/>
    <mergeCell ref="B1448:D1448"/>
    <mergeCell ref="B1498:D1498"/>
    <mergeCell ref="B1497:C1497"/>
    <mergeCell ref="B1482:D1482"/>
    <mergeCell ref="B1485:D1485"/>
    <mergeCell ref="B1787:C1787"/>
    <mergeCell ref="B1804:D1804"/>
    <mergeCell ref="B1803:C1803"/>
    <mergeCell ref="B1812:D1812"/>
    <mergeCell ref="B1813:D1813"/>
    <mergeCell ref="B1791:D1791"/>
    <mergeCell ref="B1800:C1800"/>
    <mergeCell ref="B1743:D1743"/>
    <mergeCell ref="B1737:D1737"/>
    <mergeCell ref="B1746:D1746"/>
    <mergeCell ref="B1759:D1759"/>
    <mergeCell ref="B1749:C1749"/>
    <mergeCell ref="B1758:C1758"/>
    <mergeCell ref="B1747:D1747"/>
    <mergeCell ref="B1753:D1753"/>
    <mergeCell ref="B1755:C1755"/>
    <mergeCell ref="B1761:C1761"/>
    <mergeCell ref="B1765:C1765"/>
    <mergeCell ref="B1763:D1763"/>
    <mergeCell ref="B1762:D1762"/>
    <mergeCell ref="B1785:D1785"/>
    <mergeCell ref="B1715:D1715"/>
    <mergeCell ref="B1727:D1727"/>
    <mergeCell ref="B1726:C1726"/>
    <mergeCell ref="B1745:C1745"/>
    <mergeCell ref="B1728:D1728"/>
    <mergeCell ref="B1736:C1736"/>
    <mergeCell ref="B1710:C1710"/>
    <mergeCell ref="B1706:C1706"/>
    <mergeCell ref="B1700:D1700"/>
    <mergeCell ref="B1699:C1699"/>
    <mergeCell ref="B1686:D1686"/>
    <mergeCell ref="B1690:D1690"/>
    <mergeCell ref="B1714:D1714"/>
    <mergeCell ref="B1722:D1722"/>
    <mergeCell ref="B1721:D1721"/>
    <mergeCell ref="B1719:D1719"/>
    <mergeCell ref="B1718:C1718"/>
    <mergeCell ref="B1697:D1697"/>
    <mergeCell ref="B1701:O1701"/>
    <mergeCell ref="B1683:O1683"/>
    <mergeCell ref="B1687:O1687"/>
    <mergeCell ref="B1645:O1645"/>
    <mergeCell ref="B1641:O1641"/>
    <mergeCell ref="B1781:D1781"/>
    <mergeCell ref="B1784:C1784"/>
    <mergeCell ref="B1807:C1807"/>
    <mergeCell ref="B1806:O1806"/>
    <mergeCell ref="B1810:D1810"/>
    <mergeCell ref="B1811:D1811"/>
    <mergeCell ref="B1809:D1809"/>
    <mergeCell ref="B1808:D1808"/>
    <mergeCell ref="B1713:C1713"/>
    <mergeCell ref="B1711:D1711"/>
    <mergeCell ref="B1661:O1661"/>
    <mergeCell ref="B1735:O1735"/>
    <mergeCell ref="B1732:O1732"/>
    <mergeCell ref="B1717:O1717"/>
    <mergeCell ref="B1712:O1712"/>
    <mergeCell ref="B1709:O1709"/>
    <mergeCell ref="B1705:O1705"/>
    <mergeCell ref="B1621:C1621"/>
    <mergeCell ref="B1578:C1578"/>
    <mergeCell ref="B1584:C1584"/>
    <mergeCell ref="B1449:O1449"/>
    <mergeCell ref="B1433:C1433"/>
    <mergeCell ref="B1437:O1437"/>
    <mergeCell ref="B1461:O1461"/>
    <mergeCell ref="B1615:O1615"/>
    <mergeCell ref="B1883:O1883"/>
    <mergeCell ref="B1502:D1502"/>
    <mergeCell ref="B1881:C1881"/>
    <mergeCell ref="B1479:O1479"/>
    <mergeCell ref="B1478:D1478"/>
    <mergeCell ref="B1484:C1484"/>
    <mergeCell ref="B1480:C1480"/>
    <mergeCell ref="B1487:C1487"/>
    <mergeCell ref="B1481:D1481"/>
    <mergeCell ref="B1707:D1707"/>
    <mergeCell ref="B1708:D1708"/>
    <mergeCell ref="B1716:D1716"/>
    <mergeCell ref="B1720:D1720"/>
    <mergeCell ref="B1742:C1742"/>
    <mergeCell ref="B1739:C1739"/>
    <mergeCell ref="B1723:D1723"/>
    <mergeCell ref="B1724:D1724"/>
    <mergeCell ref="B1696:D1696"/>
    <mergeCell ref="B1695:C1695"/>
    <mergeCell ref="B1798:D1798"/>
    <mergeCell ref="B1799:O1799"/>
    <mergeCell ref="B1702:C1702"/>
    <mergeCell ref="B1656:C1656"/>
    <mergeCell ref="B1654:D1654"/>
    <mergeCell ref="B1668:D1668"/>
    <mergeCell ref="B1669:D1669"/>
    <mergeCell ref="B1532:O1532"/>
    <mergeCell ref="B1508:O1508"/>
    <mergeCell ref="B1525:O1525"/>
    <mergeCell ref="B1520:O1520"/>
    <mergeCell ref="B1528:O1528"/>
    <mergeCell ref="B1512:O1512"/>
    <mergeCell ref="B1516:O1516"/>
    <mergeCell ref="B1897:C1897"/>
    <mergeCell ref="B1888:O1888"/>
    <mergeCell ref="B1891:O1891"/>
    <mergeCell ref="B1899:O1899"/>
    <mergeCell ref="B1896:O1896"/>
    <mergeCell ref="B1886:D1886"/>
    <mergeCell ref="B1905:D1905"/>
    <mergeCell ref="B1903:O1903"/>
    <mergeCell ref="B1867:O1867"/>
    <mergeCell ref="B1870:O1870"/>
    <mergeCell ref="B1868:C1868"/>
    <mergeCell ref="B1866:D1866"/>
    <mergeCell ref="B1871:C1871"/>
    <mergeCell ref="B1865:D1865"/>
    <mergeCell ref="B1860:O1860"/>
    <mergeCell ref="B1863:O1863"/>
    <mergeCell ref="B1861:C1861"/>
    <mergeCell ref="B1862:D1862"/>
    <mergeCell ref="B1873:O1873"/>
    <mergeCell ref="B1877:O1877"/>
    <mergeCell ref="B1879:D1879"/>
    <mergeCell ref="B1876:D1876"/>
    <mergeCell ref="B1667:D1667"/>
    <mergeCell ref="B1666:C1666"/>
    <mergeCell ref="B1589:D1589"/>
    <mergeCell ref="B1588:D1588"/>
    <mergeCell ref="B1598:D1598"/>
    <mergeCell ref="B1597:D1597"/>
    <mergeCell ref="B1603:O1603"/>
    <mergeCell ref="B1608:O1608"/>
    <mergeCell ref="B1599:O1599"/>
    <mergeCell ref="B1594:O1594"/>
    <mergeCell ref="B1591:C1591"/>
    <mergeCell ref="B1593:D1593"/>
    <mergeCell ref="B1590:O1590"/>
    <mergeCell ref="B1592:D1592"/>
    <mergeCell ref="B1587:C1587"/>
    <mergeCell ref="B1611:D1611"/>
    <mergeCell ref="B1566:D1566"/>
    <mergeCell ref="B1605:D1605"/>
    <mergeCell ref="B1595:C1595"/>
    <mergeCell ref="B1596:D1596"/>
    <mergeCell ref="B1601:D1601"/>
    <mergeCell ref="B1600:C1600"/>
    <mergeCell ref="B1488:D1488"/>
    <mergeCell ref="B1544:O1544"/>
    <mergeCell ref="B1549:C1549"/>
    <mergeCell ref="B1541:D1541"/>
    <mergeCell ref="B1574:O1574"/>
    <mergeCell ref="B1577:O1577"/>
    <mergeCell ref="B1583:O1583"/>
    <mergeCell ref="B1586:O1586"/>
    <mergeCell ref="B1551:O1551"/>
    <mergeCell ref="B1548:O1548"/>
    <mergeCell ref="B1561:O1561"/>
    <mergeCell ref="B1568:O1568"/>
    <mergeCell ref="B1564:O1564"/>
    <mergeCell ref="B1554:O1554"/>
    <mergeCell ref="B1557:O1557"/>
    <mergeCell ref="B1585:D1585"/>
    <mergeCell ref="B1518:D1518"/>
    <mergeCell ref="B1524:D1524"/>
    <mergeCell ref="B1523:D1523"/>
    <mergeCell ref="B1522:D1522"/>
    <mergeCell ref="B1552:C1552"/>
    <mergeCell ref="B1550:D1550"/>
    <mergeCell ref="B1539:O1539"/>
    <mergeCell ref="B1536:O1536"/>
    <mergeCell ref="B1467:O1467"/>
    <mergeCell ref="B1473:O1473"/>
    <mergeCell ref="B1470:O1470"/>
    <mergeCell ref="B1503:O1503"/>
    <mergeCell ref="B1492:O1492"/>
    <mergeCell ref="B1496:O1496"/>
    <mergeCell ref="B1499:O1499"/>
    <mergeCell ref="B1486:O1486"/>
    <mergeCell ref="B1483:O1483"/>
    <mergeCell ref="B1445:O1445"/>
    <mergeCell ref="B1441:O1441"/>
    <mergeCell ref="B1452:O1452"/>
    <mergeCell ref="B1455:O1455"/>
    <mergeCell ref="B1632:O1632"/>
    <mergeCell ref="B1637:O1637"/>
    <mergeCell ref="B1680:D1680"/>
    <mergeCell ref="B1677:O1677"/>
    <mergeCell ref="B1628:O1628"/>
    <mergeCell ref="B1624:O1624"/>
    <mergeCell ref="B1620:O1620"/>
    <mergeCell ref="B1649:O1649"/>
    <mergeCell ref="B1652:O1652"/>
    <mergeCell ref="B1655:O1655"/>
    <mergeCell ref="B1658:O1658"/>
    <mergeCell ref="B1692:C1692"/>
    <mergeCell ref="B1688:C1688"/>
    <mergeCell ref="B1684:C1684"/>
    <mergeCell ref="B1691:O1691"/>
    <mergeCell ref="B1675:C1675"/>
    <mergeCell ref="B1693:D1693"/>
    <mergeCell ref="B1694:O1694"/>
    <mergeCell ref="B1698:O1698"/>
    <mergeCell ref="B1825:D1825"/>
    <mergeCell ref="B1824:C1824"/>
    <mergeCell ref="B1834:D1834"/>
    <mergeCell ref="B1835:D1835"/>
    <mergeCell ref="B1790:C1790"/>
    <mergeCell ref="B1788:D1788"/>
    <mergeCell ref="B1789:O1789"/>
    <mergeCell ref="B1802:O1802"/>
    <mergeCell ref="B1796:O1796"/>
    <mergeCell ref="B1792:O1792"/>
    <mergeCell ref="B1795:D1795"/>
    <mergeCell ref="B1794:D1794"/>
    <mergeCell ref="B1801:D1801"/>
    <mergeCell ref="B1489:O1489"/>
    <mergeCell ref="B1612:O1612"/>
    <mergeCell ref="B1816:D1816"/>
    <mergeCell ref="B1822:D1822"/>
    <mergeCell ref="B1823:O1823"/>
    <mergeCell ref="B1851:O1851"/>
    <mergeCell ref="B1827:O1827"/>
    <mergeCell ref="B1833:D1833"/>
    <mergeCell ref="B1831:O1831"/>
    <mergeCell ref="B1829:D1829"/>
    <mergeCell ref="B1830:D1830"/>
    <mergeCell ref="B1663:D1663"/>
    <mergeCell ref="B1674:O1674"/>
    <mergeCell ref="B1670:O1670"/>
    <mergeCell ref="B1665:O1665"/>
    <mergeCell ref="B1678:C1678"/>
    <mergeCell ref="B1703:D1703"/>
    <mergeCell ref="B1815:C1815"/>
    <mergeCell ref="B1826:D1826"/>
    <mergeCell ref="B1880:O1880"/>
    <mergeCell ref="B1814:O1814"/>
    <mergeCell ref="B1817:O1817"/>
    <mergeCell ref="B1839:O1839"/>
    <mergeCell ref="B1842:O1842"/>
    <mergeCell ref="B1836:O1836"/>
    <mergeCell ref="B1847:O1847"/>
    <mergeCell ref="B1783:O1783"/>
    <mergeCell ref="B1782:D1782"/>
    <mergeCell ref="B1857:O1857"/>
    <mergeCell ref="B1854:O1854"/>
    <mergeCell ref="B1704:D1704"/>
    <mergeCell ref="B1681:D1681"/>
    <mergeCell ref="B1685:D1685"/>
    <mergeCell ref="B1689:D1689"/>
    <mergeCell ref="B1682:D1682"/>
    <mergeCell ref="B1738:O1738"/>
    <mergeCell ref="B1729:O1729"/>
    <mergeCell ref="B1647:D1647"/>
    <mergeCell ref="B1757:O1757"/>
    <mergeCell ref="B1764:O1764"/>
    <mergeCell ref="B1760:O1760"/>
    <mergeCell ref="B1767:O1767"/>
    <mergeCell ref="B1770:O1770"/>
    <mergeCell ref="B1725:O1725"/>
    <mergeCell ref="B1640:D1640"/>
    <mergeCell ref="B1650:C1650"/>
    <mergeCell ref="B1653:C1653"/>
    <mergeCell ref="B1662:C1662"/>
    <mergeCell ref="B1660:D1660"/>
    <mergeCell ref="B1659:C1659"/>
    <mergeCell ref="B1657:D1657"/>
    <mergeCell ref="B1776:O1776"/>
    <mergeCell ref="B1779:O1779"/>
    <mergeCell ref="B1778:D1778"/>
    <mergeCell ref="B1786:O1786"/>
    <mergeCell ref="B1741:O1741"/>
    <mergeCell ref="B1748:O1748"/>
    <mergeCell ref="B1744:O1744"/>
    <mergeCell ref="B1751:O1751"/>
    <mergeCell ref="B1754:O1754"/>
    <mergeCell ref="B1646:C1646"/>
    <mergeCell ref="B1671:C1671"/>
    <mergeCell ref="B1673:D1673"/>
    <mergeCell ref="B1672:D1672"/>
    <mergeCell ref="B1676:D1676"/>
    <mergeCell ref="B1679:D1679"/>
    <mergeCell ref="B2263:D2263"/>
    <mergeCell ref="B2267:C2267"/>
    <mergeCell ref="B2268:D2268"/>
    <mergeCell ref="B2264:D2264"/>
    <mergeCell ref="B2265:D2265"/>
    <mergeCell ref="B2262:C2262"/>
    <mergeCell ref="B2256:D2256"/>
    <mergeCell ref="B2259:D2259"/>
    <mergeCell ref="B2260:D2260"/>
    <mergeCell ref="B2285:C2285"/>
    <mergeCell ref="B2283:D2283"/>
    <mergeCell ref="B2276:D2276"/>
    <mergeCell ref="B2278:C2278"/>
    <mergeCell ref="B2279:D2279"/>
    <mergeCell ref="B2280:D2280"/>
    <mergeCell ref="B2281:D2281"/>
    <mergeCell ref="B2337:O2337"/>
    <mergeCell ref="B2332:D2332"/>
    <mergeCell ref="B2333:D2333"/>
    <mergeCell ref="B2334:D2334"/>
    <mergeCell ref="B2298:D2298"/>
    <mergeCell ref="B2331:D2331"/>
    <mergeCell ref="B2307:D2307"/>
    <mergeCell ref="B2299:D2299"/>
    <mergeCell ref="B2305:D2305"/>
    <mergeCell ref="B2303:D2303"/>
    <mergeCell ref="B2304:D2304"/>
    <mergeCell ref="B2288:D2288"/>
    <mergeCell ref="B2287:D2287"/>
    <mergeCell ref="B2286:D2286"/>
    <mergeCell ref="B2296:D2296"/>
    <mergeCell ref="B2297:D2297"/>
    <mergeCell ref="B2295:D2295"/>
    <mergeCell ref="B2291:D2291"/>
    <mergeCell ref="B2289:D2289"/>
    <mergeCell ref="B2290:D2290"/>
    <mergeCell ref="B2294:D2294"/>
    <mergeCell ref="B2316:D2316"/>
    <mergeCell ref="B2315:C2315"/>
    <mergeCell ref="B2308:O2308"/>
    <mergeCell ref="B2300:O2300"/>
    <mergeCell ref="B2317:D2317"/>
    <mergeCell ref="B2322:D2322"/>
    <mergeCell ref="B2321:D2321"/>
    <mergeCell ref="B2318:D2318"/>
    <mergeCell ref="B2320:C2320"/>
    <mergeCell ref="B2215:O2215"/>
    <mergeCell ref="B2219:O2219"/>
    <mergeCell ref="B2226:O2226"/>
    <mergeCell ref="B2232:O2232"/>
    <mergeCell ref="B2229:O2229"/>
    <mergeCell ref="B2205:O2205"/>
    <mergeCell ref="B2212:O2212"/>
    <mergeCell ref="B2209:O2209"/>
    <mergeCell ref="B2223:O2223"/>
    <mergeCell ref="B2206:C2206"/>
    <mergeCell ref="B2277:O2277"/>
    <mergeCell ref="B2274:O2274"/>
    <mergeCell ref="B2261:O2261"/>
    <mergeCell ref="B2266:O2266"/>
    <mergeCell ref="B2257:O2257"/>
    <mergeCell ref="B2269:D2269"/>
    <mergeCell ref="B2324:D2324"/>
    <mergeCell ref="B2323:D2323"/>
    <mergeCell ref="B2237:O2237"/>
    <mergeCell ref="B2236:D2236"/>
    <mergeCell ref="B2241:C2241"/>
    <mergeCell ref="B2238:C2238"/>
    <mergeCell ref="B2239:D2239"/>
    <mergeCell ref="B2207:D2207"/>
    <mergeCell ref="B2208:D2208"/>
    <mergeCell ref="B2346:D2346"/>
    <mergeCell ref="B2349:D2349"/>
    <mergeCell ref="B2363:D2363"/>
    <mergeCell ref="B2362:C2362"/>
    <mergeCell ref="B2344:D2344"/>
    <mergeCell ref="B2343:C2343"/>
    <mergeCell ref="B2345:D2345"/>
    <mergeCell ref="B2355:D2355"/>
    <mergeCell ref="B2354:D2354"/>
    <mergeCell ref="B2353:D2353"/>
    <mergeCell ref="B2356:O2356"/>
    <mergeCell ref="B2357:C2357"/>
    <mergeCell ref="B2368:O2368"/>
    <mergeCell ref="B2365:O2365"/>
    <mergeCell ref="B2376:O2376"/>
    <mergeCell ref="B2347:O2347"/>
    <mergeCell ref="B2351:O2351"/>
    <mergeCell ref="B2361:O2361"/>
    <mergeCell ref="B2369:C2369"/>
    <mergeCell ref="B2364:D2364"/>
    <mergeCell ref="B2360:D2360"/>
    <mergeCell ref="B2367:D2367"/>
    <mergeCell ref="B2366:C2366"/>
    <mergeCell ref="B2375:D2375"/>
    <mergeCell ref="B2374:D2374"/>
    <mergeCell ref="B2373:D2373"/>
    <mergeCell ref="B2372:D2372"/>
    <mergeCell ref="B2379:D2379"/>
    <mergeCell ref="B2377:C2377"/>
    <mergeCell ref="B2378:D2378"/>
    <mergeCell ref="B2381:D2381"/>
    <mergeCell ref="B2380:D2380"/>
    <mergeCell ref="B2348:C2348"/>
    <mergeCell ref="B2350:D2350"/>
    <mergeCell ref="B2352:C2352"/>
    <mergeCell ref="B2359:D2359"/>
    <mergeCell ref="B2358:D2358"/>
    <mergeCell ref="B2370:D2370"/>
    <mergeCell ref="B2371:D2371"/>
    <mergeCell ref="B2292:O2292"/>
    <mergeCell ref="B2314:O2314"/>
    <mergeCell ref="B2302:D2302"/>
    <mergeCell ref="B2301:C2301"/>
    <mergeCell ref="B2293:C2293"/>
    <mergeCell ref="B2306:D2306"/>
    <mergeCell ref="B2309:C2309"/>
    <mergeCell ref="B2342:O2342"/>
    <mergeCell ref="B2284:O2284"/>
    <mergeCell ref="B2250:O2250"/>
    <mergeCell ref="B2253:O2253"/>
    <mergeCell ref="B2247:O2247"/>
    <mergeCell ref="B2319:O2319"/>
    <mergeCell ref="B2282:D2282"/>
    <mergeCell ref="B2330:C2330"/>
    <mergeCell ref="B2325:D2325"/>
    <mergeCell ref="B2328:D2328"/>
    <mergeCell ref="B2327:C2327"/>
    <mergeCell ref="B2272:C2272"/>
    <mergeCell ref="B2273:D2273"/>
    <mergeCell ref="B2340:D2340"/>
    <mergeCell ref="B2341:D2341"/>
    <mergeCell ref="B2336:D2336"/>
    <mergeCell ref="B2335:D2335"/>
    <mergeCell ref="B2338:C2338"/>
    <mergeCell ref="B2339:D2339"/>
    <mergeCell ref="B2311:D2311"/>
    <mergeCell ref="B2310:D2310"/>
    <mergeCell ref="B2312:D2312"/>
    <mergeCell ref="B2313:D2313"/>
    <mergeCell ref="B2033:D2033"/>
    <mergeCell ref="B2032:D2032"/>
    <mergeCell ref="B2042:D2042"/>
    <mergeCell ref="B2044:C2044"/>
    <mergeCell ref="B2128:D2128"/>
    <mergeCell ref="B2126:D2126"/>
    <mergeCell ref="B2127:D2127"/>
    <mergeCell ref="B2121:D2121"/>
    <mergeCell ref="B2123:C2123"/>
    <mergeCell ref="B2119:D2119"/>
    <mergeCell ref="B2115:D2115"/>
    <mergeCell ref="B2114:D2114"/>
    <mergeCell ref="B2111:D2111"/>
    <mergeCell ref="B2102:D2102"/>
    <mergeCell ref="B2103:D2103"/>
    <mergeCell ref="B2092:D2092"/>
    <mergeCell ref="B2093:D2093"/>
    <mergeCell ref="B2094:D2094"/>
    <mergeCell ref="B2030:D2030"/>
    <mergeCell ref="B2029:C2029"/>
    <mergeCell ref="B2038:D2038"/>
    <mergeCell ref="B2037:D2037"/>
    <mergeCell ref="B2015:O2015"/>
    <mergeCell ref="B2018:O2018"/>
    <mergeCell ref="B2028:O2028"/>
    <mergeCell ref="B2025:O2025"/>
    <mergeCell ref="B2034:O2034"/>
    <mergeCell ref="B2021:O2021"/>
    <mergeCell ref="B2045:D2045"/>
    <mergeCell ref="B2001:O2001"/>
    <mergeCell ref="B1998:O1998"/>
    <mergeCell ref="B1995:O1995"/>
    <mergeCell ref="B2006:O2006"/>
    <mergeCell ref="B1977:D1977"/>
    <mergeCell ref="B1976:D1976"/>
    <mergeCell ref="B1975:D1975"/>
    <mergeCell ref="B1974:D1974"/>
    <mergeCell ref="B1986:D1986"/>
    <mergeCell ref="B1955:O1955"/>
    <mergeCell ref="B1958:O1958"/>
    <mergeCell ref="B2061:O2061"/>
    <mergeCell ref="B2057:O2057"/>
    <mergeCell ref="B2095:O2095"/>
    <mergeCell ref="B2112:O2112"/>
    <mergeCell ref="B2116:O2116"/>
    <mergeCell ref="B2122:O2122"/>
    <mergeCell ref="B2105:C2105"/>
    <mergeCell ref="B1973:D1973"/>
    <mergeCell ref="B1972:C1972"/>
    <mergeCell ref="B1962:C1962"/>
    <mergeCell ref="B1963:D1963"/>
    <mergeCell ref="B1985:D1985"/>
    <mergeCell ref="B1984:D1984"/>
    <mergeCell ref="B1988:D1988"/>
    <mergeCell ref="B1987:D1987"/>
    <mergeCell ref="B1980:C1980"/>
    <mergeCell ref="B1983:C1983"/>
    <mergeCell ref="B2158:D2158"/>
    <mergeCell ref="B2098:O2098"/>
    <mergeCell ref="B2109:O2109"/>
    <mergeCell ref="B2104:O2104"/>
    <mergeCell ref="B2134:O2134"/>
    <mergeCell ref="B2137:O2137"/>
    <mergeCell ref="B2156:O2156"/>
    <mergeCell ref="B2124:D2124"/>
    <mergeCell ref="B2191:D2191"/>
    <mergeCell ref="B2192:D2192"/>
    <mergeCell ref="B2185:D2185"/>
    <mergeCell ref="B2186:D2186"/>
    <mergeCell ref="B2187:D2187"/>
    <mergeCell ref="B2188:D2188"/>
    <mergeCell ref="B2195:D2195"/>
    <mergeCell ref="B2190:C2190"/>
    <mergeCell ref="B2194:C2194"/>
    <mergeCell ref="B2202:C2202"/>
    <mergeCell ref="B1992:O1992"/>
    <mergeCell ref="B1989:O1989"/>
    <mergeCell ref="B2012:O2012"/>
    <mergeCell ref="B2177:O2177"/>
    <mergeCell ref="B2201:O2201"/>
    <mergeCell ref="B2170:C2170"/>
    <mergeCell ref="B2178:C2178"/>
    <mergeCell ref="B2164:D2164"/>
    <mergeCell ref="B2163:C2163"/>
    <mergeCell ref="B1994:D1994"/>
    <mergeCell ref="B2002:C2002"/>
    <mergeCell ref="B2022:C2022"/>
    <mergeCell ref="B2003:D2003"/>
    <mergeCell ref="B2110:C2110"/>
    <mergeCell ref="B2113:C2113"/>
    <mergeCell ref="B2120:D2120"/>
    <mergeCell ref="B2125:D2125"/>
    <mergeCell ref="B2097:D2097"/>
    <mergeCell ref="B2096:C2096"/>
    <mergeCell ref="B2063:D2063"/>
    <mergeCell ref="B2062:C2062"/>
    <mergeCell ref="B1940:O1940"/>
    <mergeCell ref="B1936:O1936"/>
    <mergeCell ref="B1937:C1937"/>
    <mergeCell ref="B1938:D1938"/>
    <mergeCell ref="B1939:D1939"/>
    <mergeCell ref="B1951:D1951"/>
    <mergeCell ref="B1952:D1952"/>
    <mergeCell ref="B1954:D1954"/>
    <mergeCell ref="B1956:C1956"/>
    <mergeCell ref="B1967:O1967"/>
    <mergeCell ref="B1968:C1968"/>
    <mergeCell ref="B1957:D1957"/>
    <mergeCell ref="B1953:D1953"/>
    <mergeCell ref="B1965:C1965"/>
    <mergeCell ref="B1959:C1959"/>
    <mergeCell ref="B1942:D1942"/>
    <mergeCell ref="B1941:C1941"/>
    <mergeCell ref="B1961:O1961"/>
    <mergeCell ref="B1964:O1964"/>
    <mergeCell ref="B1971:O1971"/>
    <mergeCell ref="B1943:O1943"/>
    <mergeCell ref="B1949:O1949"/>
    <mergeCell ref="B1929:O1929"/>
    <mergeCell ref="B1944:C1944"/>
    <mergeCell ref="B1945:D1945"/>
    <mergeCell ref="B2148:D2148"/>
    <mergeCell ref="B2147:C2147"/>
    <mergeCell ref="B2150:D2150"/>
    <mergeCell ref="B2144:D2144"/>
    <mergeCell ref="B2155:D2155"/>
    <mergeCell ref="B2157:C2157"/>
    <mergeCell ref="B2160:C2160"/>
    <mergeCell ref="B2161:D2161"/>
    <mergeCell ref="B2162:O2162"/>
    <mergeCell ref="B2159:O2159"/>
    <mergeCell ref="B2130:O2130"/>
    <mergeCell ref="B2140:O2140"/>
    <mergeCell ref="B2153:C2153"/>
    <mergeCell ref="B2154:D2154"/>
    <mergeCell ref="B2133:D2133"/>
    <mergeCell ref="B2019:C2019"/>
    <mergeCell ref="B2020:D2020"/>
    <mergeCell ref="B2014:D2014"/>
    <mergeCell ref="B2005:D2005"/>
    <mergeCell ref="B2008:D2008"/>
    <mergeCell ref="B2009:D2009"/>
    <mergeCell ref="B2007:C2007"/>
    <mergeCell ref="B2010:D2010"/>
    <mergeCell ref="B2011:D2011"/>
    <mergeCell ref="B2013:C2013"/>
    <mergeCell ref="B1993:C1993"/>
    <mergeCell ref="B2004:D2004"/>
    <mergeCell ref="B1996:C1996"/>
    <mergeCell ref="B1997:D1997"/>
    <mergeCell ref="B1990:C1990"/>
    <mergeCell ref="B1991:D1991"/>
    <mergeCell ref="B2023:D2023"/>
    <mergeCell ref="B2017:D2017"/>
    <mergeCell ref="B2016:C2016"/>
    <mergeCell ref="B2068:D2068"/>
    <mergeCell ref="B2067:D2067"/>
    <mergeCell ref="B2143:D2143"/>
    <mergeCell ref="B2142:D2142"/>
    <mergeCell ref="B2149:D2149"/>
    <mergeCell ref="B2151:D2151"/>
    <mergeCell ref="B2152:O2152"/>
    <mergeCell ref="B2146:O2146"/>
    <mergeCell ref="B2138:C2138"/>
    <mergeCell ref="B2139:D2139"/>
    <mergeCell ref="B2141:C2141"/>
    <mergeCell ref="B2135:C2135"/>
    <mergeCell ref="B2129:D2129"/>
    <mergeCell ref="B2166:O2166"/>
    <mergeCell ref="B2169:O2169"/>
    <mergeCell ref="B2180:O2180"/>
    <mergeCell ref="B2183:O2183"/>
    <mergeCell ref="B2197:D2197"/>
    <mergeCell ref="B2189:O2189"/>
    <mergeCell ref="B2193:O2193"/>
    <mergeCell ref="B2199:C2199"/>
    <mergeCell ref="B2198:O2198"/>
    <mergeCell ref="B2043:O2043"/>
    <mergeCell ref="B2046:O2046"/>
    <mergeCell ref="B2039:O2039"/>
    <mergeCell ref="B2054:O2054"/>
    <mergeCell ref="B2106:D2106"/>
    <mergeCell ref="B2082:C2082"/>
    <mergeCell ref="B2083:D2083"/>
    <mergeCell ref="B2182:D2182"/>
    <mergeCell ref="B2184:C2184"/>
    <mergeCell ref="B2175:D2175"/>
    <mergeCell ref="B2176:D2176"/>
    <mergeCell ref="B2171:D2171"/>
    <mergeCell ref="B2168:D2168"/>
    <mergeCell ref="B2167:C2167"/>
    <mergeCell ref="B2172:D2172"/>
    <mergeCell ref="B2174:D2174"/>
    <mergeCell ref="B2173:D2173"/>
    <mergeCell ref="B2181:C2181"/>
    <mergeCell ref="B2165:D2165"/>
    <mergeCell ref="B2179:D2179"/>
    <mergeCell ref="B2200:D2200"/>
    <mergeCell ref="B2196:D2196"/>
    <mergeCell ref="B2078:O2078"/>
    <mergeCell ref="B2077:D2077"/>
    <mergeCell ref="B2065:O2065"/>
    <mergeCell ref="B2069:O2069"/>
    <mergeCell ref="B2073:O2073"/>
    <mergeCell ref="B2081:O2081"/>
    <mergeCell ref="B2088:O2088"/>
    <mergeCell ref="B2084:O2084"/>
    <mergeCell ref="B2064:D2064"/>
    <mergeCell ref="B1922:D1922"/>
    <mergeCell ref="B1921:D1921"/>
    <mergeCell ref="B1926:D1926"/>
    <mergeCell ref="B1925:C1925"/>
    <mergeCell ref="B1931:D1931"/>
    <mergeCell ref="B1930:C1930"/>
    <mergeCell ref="B1933:D1933"/>
    <mergeCell ref="B1932:D1932"/>
    <mergeCell ref="B1927:D1927"/>
    <mergeCell ref="B1935:D1935"/>
    <mergeCell ref="B1476:D1476"/>
    <mergeCell ref="B1477:D1477"/>
    <mergeCell ref="B1572:D1572"/>
    <mergeCell ref="B1567:D1567"/>
    <mergeCell ref="B1639:D1639"/>
    <mergeCell ref="B1636:D1636"/>
    <mergeCell ref="B1573:D1573"/>
    <mergeCell ref="B1638:C1638"/>
    <mergeCell ref="B1909:D1909"/>
    <mergeCell ref="B1908:D1908"/>
    <mergeCell ref="B1904:C1904"/>
    <mergeCell ref="B1902:D1902"/>
    <mergeCell ref="B1771:C1771"/>
    <mergeCell ref="B1772:D1772"/>
    <mergeCell ref="B1910:D1910"/>
    <mergeCell ref="B1913:D1913"/>
    <mergeCell ref="B1907:C1907"/>
    <mergeCell ref="B1858:C1858"/>
    <mergeCell ref="B1882:D1882"/>
    <mergeCell ref="B1872:D1872"/>
    <mergeCell ref="B1874:C1874"/>
    <mergeCell ref="B1875:D1875"/>
    <mergeCell ref="B1878:C1878"/>
    <mergeCell ref="B1845:D1845"/>
    <mergeCell ref="B1846:D1846"/>
    <mergeCell ref="B1856:D1856"/>
    <mergeCell ref="B1852:C1852"/>
    <mergeCell ref="B1853:D1853"/>
    <mergeCell ref="B1821:D1821"/>
    <mergeCell ref="B1820:D1820"/>
    <mergeCell ref="B1642:C1642"/>
    <mergeCell ref="B1644:D1644"/>
    <mergeCell ref="B1643:D1643"/>
    <mergeCell ref="B1627:D1627"/>
    <mergeCell ref="B1626:D1626"/>
    <mergeCell ref="B1651:D1651"/>
    <mergeCell ref="B1648:D1648"/>
    <mergeCell ref="B1664:D1664"/>
    <mergeCell ref="B1635:D1635"/>
    <mergeCell ref="B1634:D1634"/>
    <mergeCell ref="B2075:D2075"/>
    <mergeCell ref="B2074:C2074"/>
    <mergeCell ref="B2071:D2071"/>
    <mergeCell ref="B2072:D2072"/>
    <mergeCell ref="B2132:D2132"/>
    <mergeCell ref="B2131:C2131"/>
    <mergeCell ref="B2079:C2079"/>
    <mergeCell ref="B2089:C2089"/>
    <mergeCell ref="B2086:D2086"/>
    <mergeCell ref="B2087:D2087"/>
    <mergeCell ref="B2076:D2076"/>
    <mergeCell ref="B2024:D2024"/>
    <mergeCell ref="B2031:D2031"/>
    <mergeCell ref="B1623:D1623"/>
    <mergeCell ref="B1625:C1625"/>
    <mergeCell ref="B1619:D1619"/>
    <mergeCell ref="B1618:D1618"/>
    <mergeCell ref="B1633:C1633"/>
    <mergeCell ref="B1630:D1630"/>
    <mergeCell ref="B1622:D1622"/>
    <mergeCell ref="B1631:D1631"/>
    <mergeCell ref="B1629:C1629"/>
    <mergeCell ref="B1774:D1774"/>
    <mergeCell ref="B1773:D1773"/>
    <mergeCell ref="B1924:O1924"/>
    <mergeCell ref="B1734:D1734"/>
    <mergeCell ref="B1733:C1733"/>
    <mergeCell ref="B1740:D1740"/>
    <mergeCell ref="B1768:C1768"/>
    <mergeCell ref="B1769:D1769"/>
    <mergeCell ref="B1766:D1766"/>
    <mergeCell ref="B1775:D1775"/>
    <mergeCell ref="B1415:C1415"/>
    <mergeCell ref="B1413:D1413"/>
    <mergeCell ref="B1418:O1418"/>
    <mergeCell ref="B1420:D1420"/>
    <mergeCell ref="B1411:O1411"/>
    <mergeCell ref="B1414:O1414"/>
    <mergeCell ref="B1408:O1408"/>
    <mergeCell ref="B1409:C1409"/>
    <mergeCell ref="B1410:D1410"/>
    <mergeCell ref="B1412:C1412"/>
    <mergeCell ref="B1421:O1421"/>
    <mergeCell ref="B1424:O1424"/>
    <mergeCell ref="B1426:D1426"/>
    <mergeCell ref="B1428:O1428"/>
    <mergeCell ref="B1432:O1432"/>
    <mergeCell ref="B1425:C1425"/>
    <mergeCell ref="B1450:C1450"/>
    <mergeCell ref="B1446:C1446"/>
    <mergeCell ref="B1464:O1464"/>
    <mergeCell ref="B1458:O1458"/>
    <mergeCell ref="B1460:D1460"/>
    <mergeCell ref="B1459:C1459"/>
    <mergeCell ref="B1469:D1469"/>
    <mergeCell ref="B1468:C1468"/>
    <mergeCell ref="B1451:D1451"/>
    <mergeCell ref="B1475:D1475"/>
    <mergeCell ref="B1474:C1474"/>
    <mergeCell ref="B1456:C1456"/>
    <mergeCell ref="B1463:D1463"/>
    <mergeCell ref="B1465:C1465"/>
    <mergeCell ref="B1457:D1457"/>
    <mergeCell ref="B1606:D1606"/>
    <mergeCell ref="B1610:D1610"/>
    <mergeCell ref="B1609:C1609"/>
    <mergeCell ref="B1607:D1607"/>
    <mergeCell ref="B1417:D1417"/>
    <mergeCell ref="B1416:D1416"/>
    <mergeCell ref="B2258:C2258"/>
    <mergeCell ref="B2235:D2235"/>
    <mergeCell ref="B2244:D2244"/>
    <mergeCell ref="B2242:D2242"/>
    <mergeCell ref="B2243:D2243"/>
    <mergeCell ref="B2246:D2246"/>
    <mergeCell ref="B2245:D2245"/>
    <mergeCell ref="B2055:C2055"/>
    <mergeCell ref="B2056:D2056"/>
    <mergeCell ref="B2060:D2060"/>
    <mergeCell ref="B2058:C2058"/>
    <mergeCell ref="B2059:D2059"/>
    <mergeCell ref="B2275:C2275"/>
    <mergeCell ref="B2270:D2270"/>
    <mergeCell ref="B2203:D2203"/>
    <mergeCell ref="B2204:D2204"/>
    <mergeCell ref="B2211:D2211"/>
    <mergeCell ref="B2210:C2210"/>
    <mergeCell ref="B2228:D2228"/>
    <mergeCell ref="B2227:C2227"/>
    <mergeCell ref="B2220:C2220"/>
    <mergeCell ref="B2234:D2234"/>
    <mergeCell ref="B2225:D2225"/>
    <mergeCell ref="B2230:C2230"/>
    <mergeCell ref="B2224:C2224"/>
    <mergeCell ref="B2233:C2233"/>
    <mergeCell ref="B2231:D2231"/>
    <mergeCell ref="B2249:D2249"/>
    <mergeCell ref="B2248:C2248"/>
    <mergeCell ref="B2070:C2070"/>
    <mergeCell ref="B2091:D2091"/>
    <mergeCell ref="B2090:D2090"/>
    <mergeCell ref="B2100:D2100"/>
    <mergeCell ref="B2099:C2099"/>
    <mergeCell ref="B1948:D1948"/>
    <mergeCell ref="B1947:D1947"/>
    <mergeCell ref="B1934:D1934"/>
    <mergeCell ref="B1920:C1920"/>
    <mergeCell ref="B1928:D1928"/>
    <mergeCell ref="B1950:C1950"/>
    <mergeCell ref="B1960:D1960"/>
    <mergeCell ref="B1966:D1966"/>
    <mergeCell ref="B1970:D1970"/>
    <mergeCell ref="B1969:D1969"/>
    <mergeCell ref="B2000:D2000"/>
    <mergeCell ref="B1999:C1999"/>
    <mergeCell ref="B34:C34"/>
    <mergeCell ref="B35:D35"/>
    <mergeCell ref="B31:C31"/>
    <mergeCell ref="B28:C28"/>
    <mergeCell ref="B17:D17"/>
    <mergeCell ref="B18:D18"/>
    <mergeCell ref="B32:D32"/>
    <mergeCell ref="B16:C16"/>
    <mergeCell ref="B23:D23"/>
    <mergeCell ref="B20:C20"/>
    <mergeCell ref="B37:D37"/>
    <mergeCell ref="B36:D36"/>
    <mergeCell ref="B29:D29"/>
    <mergeCell ref="B83:C83"/>
    <mergeCell ref="B80:C80"/>
    <mergeCell ref="B78:D78"/>
    <mergeCell ref="B77:D77"/>
    <mergeCell ref="B84:D84"/>
    <mergeCell ref="B81:D81"/>
    <mergeCell ref="B102:C102"/>
    <mergeCell ref="B99:C99"/>
    <mergeCell ref="B92:C92"/>
    <mergeCell ref="B93:D93"/>
    <mergeCell ref="B96:D96"/>
    <mergeCell ref="B95:D95"/>
    <mergeCell ref="B97:D97"/>
    <mergeCell ref="B103:D103"/>
    <mergeCell ref="B100:D100"/>
    <mergeCell ref="B94:D94"/>
    <mergeCell ref="B104:D104"/>
    <mergeCell ref="B105:D105"/>
    <mergeCell ref="B106:D106"/>
    <mergeCell ref="B107:D107"/>
    <mergeCell ref="B108:D108"/>
    <mergeCell ref="B111:D111"/>
    <mergeCell ref="B110:C110"/>
    <mergeCell ref="B73:D73"/>
    <mergeCell ref="B72:C72"/>
    <mergeCell ref="B74:D74"/>
    <mergeCell ref="B89:C89"/>
    <mergeCell ref="B87:D87"/>
    <mergeCell ref="B86:D86"/>
    <mergeCell ref="B76:C76"/>
    <mergeCell ref="B85:D85"/>
    <mergeCell ref="B90:D90"/>
    <mergeCell ref="B170:C170"/>
    <mergeCell ref="B166:D166"/>
    <mergeCell ref="B167:D167"/>
    <mergeCell ref="B168:D168"/>
    <mergeCell ref="B158:D158"/>
    <mergeCell ref="B157:D157"/>
    <mergeCell ref="B154:D154"/>
    <mergeCell ref="B156:C156"/>
    <mergeCell ref="B149:D149"/>
    <mergeCell ref="B150:D150"/>
    <mergeCell ref="B144:D144"/>
    <mergeCell ref="B143:C143"/>
    <mergeCell ref="B159:D159"/>
    <mergeCell ref="B161:C161"/>
    <mergeCell ref="B165:C165"/>
    <mergeCell ref="B163:D163"/>
    <mergeCell ref="B173:D173"/>
    <mergeCell ref="B146:D146"/>
    <mergeCell ref="B148:C148"/>
    <mergeCell ref="B145:D145"/>
    <mergeCell ref="B138:D138"/>
    <mergeCell ref="B172:D172"/>
    <mergeCell ref="B171:D171"/>
    <mergeCell ref="B162:D162"/>
    <mergeCell ref="B134:D134"/>
    <mergeCell ref="B136:C136"/>
    <mergeCell ref="B124:D124"/>
    <mergeCell ref="B127:D127"/>
    <mergeCell ref="B126:C126"/>
    <mergeCell ref="B128:D128"/>
    <mergeCell ref="B129:D129"/>
    <mergeCell ref="B130:D130"/>
    <mergeCell ref="B133:D133"/>
    <mergeCell ref="B132:C132"/>
    <mergeCell ref="B43:D43"/>
    <mergeCell ref="B42:D42"/>
    <mergeCell ref="B52:D52"/>
    <mergeCell ref="B51:D51"/>
    <mergeCell ref="B48:D48"/>
    <mergeCell ref="B47:D47"/>
    <mergeCell ref="B44:D44"/>
    <mergeCell ref="B46:C46"/>
    <mergeCell ref="B50:C50"/>
    <mergeCell ref="B68:C68"/>
    <mergeCell ref="B69:D69"/>
    <mergeCell ref="B65:C65"/>
    <mergeCell ref="B61:C61"/>
    <mergeCell ref="B57:C57"/>
    <mergeCell ref="B66:D66"/>
    <mergeCell ref="B70:D70"/>
    <mergeCell ref="B58:D58"/>
    <mergeCell ref="B59:D59"/>
    <mergeCell ref="B63:D63"/>
    <mergeCell ref="B62:D62"/>
    <mergeCell ref="B22:D22"/>
    <mergeCell ref="B21:D21"/>
    <mergeCell ref="B10:C10"/>
    <mergeCell ref="B11:D11"/>
    <mergeCell ref="B13:C13"/>
    <mergeCell ref="B14:D14"/>
    <mergeCell ref="B8:D8"/>
    <mergeCell ref="B7:C7"/>
    <mergeCell ref="B4:C4"/>
    <mergeCell ref="B25:C25"/>
    <mergeCell ref="B26:D26"/>
    <mergeCell ref="B41:D41"/>
    <mergeCell ref="B38:D38"/>
    <mergeCell ref="B40:C40"/>
    <mergeCell ref="B55:D55"/>
    <mergeCell ref="B54:C54"/>
    <mergeCell ref="B300:D300"/>
    <mergeCell ref="B302:C302"/>
    <mergeCell ref="B308:D308"/>
    <mergeCell ref="B299:D299"/>
    <mergeCell ref="B297:C297"/>
    <mergeCell ref="B298:D298"/>
    <mergeCell ref="B291:D291"/>
    <mergeCell ref="B287:D287"/>
    <mergeCell ref="B286:D286"/>
    <mergeCell ref="B295:D295"/>
    <mergeCell ref="B219:C219"/>
    <mergeCell ref="B270:C270"/>
    <mergeCell ref="B281:C281"/>
    <mergeCell ref="B285:C285"/>
    <mergeCell ref="B283:D283"/>
    <mergeCell ref="B282:D282"/>
    <mergeCell ref="B279:D279"/>
    <mergeCell ref="B278:D278"/>
    <mergeCell ref="B277:D277"/>
    <mergeCell ref="B200:C200"/>
    <mergeCell ref="B207:C207"/>
    <mergeCell ref="B203:C203"/>
    <mergeCell ref="B177:C177"/>
    <mergeCell ref="B189:D189"/>
    <mergeCell ref="B197:C197"/>
    <mergeCell ref="B273:C273"/>
    <mergeCell ref="B290:D290"/>
    <mergeCell ref="B289:C289"/>
    <mergeCell ref="B307:C307"/>
    <mergeCell ref="B305:D305"/>
    <mergeCell ref="B304:D304"/>
    <mergeCell ref="B303:D303"/>
    <mergeCell ref="B294:D294"/>
    <mergeCell ref="B293:C293"/>
    <mergeCell ref="B550:D550"/>
    <mergeCell ref="B552:C552"/>
    <mergeCell ref="B558:D558"/>
    <mergeCell ref="B561:C561"/>
    <mergeCell ref="B559:D559"/>
    <mergeCell ref="B541:D541"/>
    <mergeCell ref="B542:D542"/>
    <mergeCell ref="B544:C544"/>
    <mergeCell ref="B553:D553"/>
    <mergeCell ref="B549:C549"/>
    <mergeCell ref="B489:D489"/>
    <mergeCell ref="B488:D488"/>
    <mergeCell ref="B492:D492"/>
    <mergeCell ref="B475:D475"/>
    <mergeCell ref="B490:D490"/>
    <mergeCell ref="B476:D476"/>
    <mergeCell ref="B478:D478"/>
    <mergeCell ref="B477:D477"/>
    <mergeCell ref="B480:C480"/>
    <mergeCell ref="B329:D329"/>
    <mergeCell ref="B362:C362"/>
    <mergeCell ref="B367:C367"/>
    <mergeCell ref="B368:D368"/>
    <mergeCell ref="B365:D365"/>
    <mergeCell ref="B364:D364"/>
    <mergeCell ref="B463:D463"/>
    <mergeCell ref="B429:D429"/>
    <mergeCell ref="B457:D457"/>
    <mergeCell ref="B456:C456"/>
    <mergeCell ref="B311:C311"/>
    <mergeCell ref="B312:D312"/>
    <mergeCell ref="B327:D327"/>
    <mergeCell ref="B328:D328"/>
    <mergeCell ref="B494:C494"/>
    <mergeCell ref="B317:D317"/>
    <mergeCell ref="B363:D363"/>
    <mergeCell ref="B413:C413"/>
    <mergeCell ref="B431:C431"/>
    <mergeCell ref="B448:C448"/>
    <mergeCell ref="B446:D446"/>
    <mergeCell ref="B445:C445"/>
    <mergeCell ref="B432:D432"/>
    <mergeCell ref="B437:D437"/>
    <mergeCell ref="B469:C469"/>
    <mergeCell ref="B467:D467"/>
    <mergeCell ref="B381:D381"/>
    <mergeCell ref="B380:C380"/>
    <mergeCell ref="B370:C370"/>
    <mergeCell ref="B382:D382"/>
    <mergeCell ref="B374:D374"/>
    <mergeCell ref="B373:C373"/>
    <mergeCell ref="B371:D371"/>
    <mergeCell ref="B377:C377"/>
    <mergeCell ref="B378:D378"/>
    <mergeCell ref="B375:D375"/>
    <mergeCell ref="B383:D383"/>
    <mergeCell ref="B387:D387"/>
    <mergeCell ref="B316:D316"/>
    <mergeCell ref="B318:D318"/>
    <mergeCell ref="B314:C314"/>
    <mergeCell ref="B315:D315"/>
    <mergeCell ref="B323:C323"/>
    <mergeCell ref="B324:D324"/>
    <mergeCell ref="B321:D321"/>
    <mergeCell ref="B326:C326"/>
    <mergeCell ref="B320:C320"/>
    <mergeCell ref="B353:D353"/>
    <mergeCell ref="B352:D352"/>
    <mergeCell ref="B360:D360"/>
    <mergeCell ref="B356:C356"/>
    <mergeCell ref="B359:C359"/>
    <mergeCell ref="B331:C331"/>
    <mergeCell ref="B340:D340"/>
    <mergeCell ref="B336:D336"/>
    <mergeCell ref="B334:C334"/>
    <mergeCell ref="B335:D335"/>
    <mergeCell ref="B332:D332"/>
    <mergeCell ref="B338:C338"/>
    <mergeCell ref="B339:D339"/>
    <mergeCell ref="B594:C594"/>
    <mergeCell ref="B592:D592"/>
    <mergeCell ref="B588:C588"/>
    <mergeCell ref="B569:C569"/>
    <mergeCell ref="B576:D576"/>
    <mergeCell ref="B575:C575"/>
    <mergeCell ref="B388:D388"/>
    <mergeCell ref="B389:D389"/>
    <mergeCell ref="B408:D408"/>
    <mergeCell ref="B418:D418"/>
    <mergeCell ref="B417:C417"/>
    <mergeCell ref="B415:D415"/>
    <mergeCell ref="B414:D414"/>
    <mergeCell ref="B385:C385"/>
    <mergeCell ref="B386:D386"/>
    <mergeCell ref="B528:D528"/>
    <mergeCell ref="B521:D521"/>
    <mergeCell ref="B523:D523"/>
    <mergeCell ref="B525:D525"/>
    <mergeCell ref="B512:D512"/>
    <mergeCell ref="B527:C527"/>
    <mergeCell ref="B505:C505"/>
    <mergeCell ref="B545:D545"/>
    <mergeCell ref="B547:D547"/>
    <mergeCell ref="B546:D546"/>
    <mergeCell ref="B538:C538"/>
    <mergeCell ref="B536:D536"/>
    <mergeCell ref="B540:D540"/>
    <mergeCell ref="B539:D539"/>
    <mergeCell ref="B140:C140"/>
    <mergeCell ref="B141:D141"/>
    <mergeCell ref="B137:D137"/>
    <mergeCell ref="B135:O135"/>
    <mergeCell ref="B139:O139"/>
    <mergeCell ref="B142:O142"/>
    <mergeCell ref="B125:O125"/>
    <mergeCell ref="B131:O131"/>
    <mergeCell ref="B152:C152"/>
    <mergeCell ref="B153:D153"/>
    <mergeCell ref="B155:O155"/>
    <mergeCell ref="B160:O160"/>
    <mergeCell ref="B151:O151"/>
    <mergeCell ref="B164:O164"/>
    <mergeCell ref="B169:O169"/>
    <mergeCell ref="B147:O147"/>
    <mergeCell ref="B226:D226"/>
    <mergeCell ref="B216:D216"/>
    <mergeCell ref="B212:D212"/>
    <mergeCell ref="B213:D213"/>
    <mergeCell ref="B210:C210"/>
    <mergeCell ref="B215:C215"/>
    <mergeCell ref="B227:D227"/>
    <mergeCell ref="B218:O218"/>
    <mergeCell ref="B214:O214"/>
    <mergeCell ref="B221:O221"/>
    <mergeCell ref="B209:O209"/>
    <mergeCell ref="B206:O206"/>
    <mergeCell ref="B224:O224"/>
    <mergeCell ref="B175:D175"/>
    <mergeCell ref="B176:O176"/>
    <mergeCell ref="J4:K4"/>
    <mergeCell ref="D4:E4"/>
    <mergeCell ref="F4:G4"/>
    <mergeCell ref="H4:I4"/>
    <mergeCell ref="B236:D236"/>
    <mergeCell ref="B233:O233"/>
    <mergeCell ref="B245:C245"/>
    <mergeCell ref="B228:D228"/>
    <mergeCell ref="B241:D241"/>
    <mergeCell ref="B243:D243"/>
    <mergeCell ref="B242:D242"/>
    <mergeCell ref="B244:O244"/>
    <mergeCell ref="B238:O238"/>
    <mergeCell ref="B229:O229"/>
    <mergeCell ref="B45:O45"/>
    <mergeCell ref="B56:O56"/>
    <mergeCell ref="B79:O79"/>
    <mergeCell ref="B75:O75"/>
    <mergeCell ref="N4:O4"/>
    <mergeCell ref="L4:M4"/>
    <mergeCell ref="B9:O9"/>
    <mergeCell ref="B1:O3"/>
    <mergeCell ref="B6:O6"/>
    <mergeCell ref="B12:O12"/>
    <mergeCell ref="B15:O15"/>
    <mergeCell ref="B24:O24"/>
    <mergeCell ref="B27:O27"/>
    <mergeCell ref="B39:O39"/>
    <mergeCell ref="B33:O33"/>
    <mergeCell ref="B19:O19"/>
    <mergeCell ref="B30:O30"/>
    <mergeCell ref="B67:O67"/>
    <mergeCell ref="B71:O71"/>
    <mergeCell ref="B53:O53"/>
    <mergeCell ref="B49:O49"/>
    <mergeCell ref="B64:O64"/>
    <mergeCell ref="B60:O60"/>
    <mergeCell ref="B514:C514"/>
    <mergeCell ref="B506:D506"/>
    <mergeCell ref="B516:D516"/>
    <mergeCell ref="B515:D515"/>
    <mergeCell ref="B524:D524"/>
    <mergeCell ref="B522:D522"/>
    <mergeCell ref="B518:D518"/>
    <mergeCell ref="B517:D517"/>
    <mergeCell ref="B520:C520"/>
    <mergeCell ref="B351:D351"/>
    <mergeCell ref="B341:D341"/>
    <mergeCell ref="B345:D345"/>
    <mergeCell ref="B344:D344"/>
    <mergeCell ref="B343:C343"/>
    <mergeCell ref="B346:D346"/>
    <mergeCell ref="B347:D347"/>
    <mergeCell ref="B465:C465"/>
    <mergeCell ref="B466:D466"/>
    <mergeCell ref="B470:D470"/>
    <mergeCell ref="B473:D473"/>
    <mergeCell ref="B472:C472"/>
    <mergeCell ref="B462:C462"/>
    <mergeCell ref="B458:D458"/>
    <mergeCell ref="B436:D436"/>
    <mergeCell ref="B440:D440"/>
    <mergeCell ref="B439:C439"/>
    <mergeCell ref="B423:D423"/>
    <mergeCell ref="B421:C421"/>
    <mergeCell ref="B422:D422"/>
    <mergeCell ref="B419:D419"/>
    <mergeCell ref="B484:D484"/>
    <mergeCell ref="B487:C487"/>
    <mergeCell ref="B485:D485"/>
    <mergeCell ref="B491:D491"/>
    <mergeCell ref="B481:D481"/>
    <mergeCell ref="B483:C483"/>
    <mergeCell ref="B401:D401"/>
    <mergeCell ref="B399:C399"/>
    <mergeCell ref="B354:D354"/>
    <mergeCell ref="B357:D357"/>
    <mergeCell ref="B405:D405"/>
    <mergeCell ref="B403:C403"/>
    <mergeCell ref="B404:D404"/>
    <mergeCell ref="B407:C407"/>
    <mergeCell ref="B396:D396"/>
    <mergeCell ref="B589:D589"/>
    <mergeCell ref="B583:D583"/>
    <mergeCell ref="B585:C585"/>
    <mergeCell ref="B586:D586"/>
    <mergeCell ref="B555:C555"/>
    <mergeCell ref="B602:D602"/>
    <mergeCell ref="B604:C604"/>
    <mergeCell ref="B573:D573"/>
    <mergeCell ref="B591:C591"/>
    <mergeCell ref="B601:C601"/>
    <mergeCell ref="B608:C608"/>
    <mergeCell ref="B400:D400"/>
    <mergeCell ref="B397:D397"/>
    <mergeCell ref="B392:D392"/>
    <mergeCell ref="B393:D393"/>
    <mergeCell ref="B391:C391"/>
    <mergeCell ref="B395:C395"/>
    <mergeCell ref="B443:D443"/>
    <mergeCell ref="B442:C442"/>
    <mergeCell ref="B435:C435"/>
    <mergeCell ref="B433:D433"/>
    <mergeCell ref="B428:C428"/>
    <mergeCell ref="B425:C425"/>
    <mergeCell ref="B411:D411"/>
    <mergeCell ref="B410:C410"/>
    <mergeCell ref="B503:D503"/>
    <mergeCell ref="B502:D502"/>
    <mergeCell ref="B460:D460"/>
    <mergeCell ref="B459:D459"/>
    <mergeCell ref="B474:D474"/>
    <mergeCell ref="B452:C452"/>
    <mergeCell ref="B454:D454"/>
    <mergeCell ref="B453:D453"/>
    <mergeCell ref="B495:D495"/>
    <mergeCell ref="B599:D599"/>
    <mergeCell ref="B598:C598"/>
    <mergeCell ref="B562:D562"/>
    <mergeCell ref="B566:D566"/>
    <mergeCell ref="B565:D565"/>
    <mergeCell ref="B564:C564"/>
    <mergeCell ref="B581:C581"/>
    <mergeCell ref="B582:D582"/>
    <mergeCell ref="B557:D557"/>
    <mergeCell ref="B556:D556"/>
    <mergeCell ref="B572:C572"/>
    <mergeCell ref="B567:D567"/>
    <mergeCell ref="B570:D570"/>
    <mergeCell ref="B578:C578"/>
    <mergeCell ref="B579:D579"/>
    <mergeCell ref="B615:C615"/>
    <mergeCell ref="B613:D613"/>
    <mergeCell ref="B624:D624"/>
    <mergeCell ref="B618:C618"/>
    <mergeCell ref="B619:D619"/>
    <mergeCell ref="B616:D616"/>
    <mergeCell ref="B612:C612"/>
    <mergeCell ref="B1345:D1345"/>
    <mergeCell ref="B1350:D1350"/>
    <mergeCell ref="B1355:C1355"/>
    <mergeCell ref="B1352:C1352"/>
    <mergeCell ref="B1363:D1363"/>
    <mergeCell ref="B1362:C1362"/>
    <mergeCell ref="B1358:C1358"/>
    <mergeCell ref="B1368:C1368"/>
    <mergeCell ref="B1289:D1289"/>
    <mergeCell ref="B1283:D1283"/>
    <mergeCell ref="B1288:C1288"/>
    <mergeCell ref="B1282:C1282"/>
    <mergeCell ref="B1275:D1275"/>
    <mergeCell ref="B1274:D1274"/>
    <mergeCell ref="B1273:C1273"/>
    <mergeCell ref="B1264:C1264"/>
    <mergeCell ref="B1265:D1265"/>
    <mergeCell ref="B1258:D1258"/>
    <mergeCell ref="B1271:D1271"/>
    <mergeCell ref="B1268:D1268"/>
    <mergeCell ref="B1270:C1270"/>
    <mergeCell ref="B1267:C1267"/>
    <mergeCell ref="B1260:C1260"/>
    <mergeCell ref="B1262:D1262"/>
    <mergeCell ref="B1434:D1434"/>
    <mergeCell ref="B1406:D1406"/>
    <mergeCell ref="B1407:D1407"/>
    <mergeCell ref="B1560:D1560"/>
    <mergeCell ref="B1565:C1565"/>
    <mergeCell ref="B1563:D1563"/>
    <mergeCell ref="B1562:C1562"/>
    <mergeCell ref="B1558:C1558"/>
    <mergeCell ref="B1556:D1556"/>
    <mergeCell ref="B1533:C1533"/>
    <mergeCell ref="B1529:C1529"/>
    <mergeCell ref="B1402:D1402"/>
    <mergeCell ref="B1546:D1546"/>
    <mergeCell ref="B1545:C1545"/>
    <mergeCell ref="B1534:D1534"/>
    <mergeCell ref="B1537:C1537"/>
    <mergeCell ref="B1519:D1519"/>
    <mergeCell ref="B1436:D1436"/>
    <mergeCell ref="B1553:D1553"/>
    <mergeCell ref="B1527:D1527"/>
    <mergeCell ref="B1559:D1559"/>
    <mergeCell ref="B1555:C1555"/>
    <mergeCell ref="B625:D625"/>
    <mergeCell ref="B1915:C1915"/>
    <mergeCell ref="B1918:D1918"/>
    <mergeCell ref="B1916:D1916"/>
    <mergeCell ref="B1917:D1917"/>
    <mergeCell ref="B1946:D1946"/>
    <mergeCell ref="B1923:D1923"/>
    <mergeCell ref="B922:C922"/>
    <mergeCell ref="B1108:D1108"/>
    <mergeCell ref="B1107:D1107"/>
    <mergeCell ref="B1285:C1285"/>
    <mergeCell ref="B1286:D1286"/>
    <mergeCell ref="B1391:C1391"/>
    <mergeCell ref="B1397:C1397"/>
    <mergeCell ref="B1394:C1394"/>
    <mergeCell ref="B1405:D1405"/>
    <mergeCell ref="B1404:C1404"/>
    <mergeCell ref="B1261:D1261"/>
    <mergeCell ref="B1257:D1257"/>
    <mergeCell ref="B1194:D1194"/>
    <mergeCell ref="B1193:C1193"/>
    <mergeCell ref="B1517:C1517"/>
    <mergeCell ref="B1471:C1471"/>
    <mergeCell ref="B1430:D1430"/>
    <mergeCell ref="B1429:C1429"/>
    <mergeCell ref="B1334:D1334"/>
    <mergeCell ref="B1349:D1349"/>
    <mergeCell ref="B1400:C1400"/>
    <mergeCell ref="B1422:C1422"/>
    <mergeCell ref="B1423:D1423"/>
    <mergeCell ref="B1427:D1427"/>
    <mergeCell ref="B1419:C1419"/>
    <mergeCell ref="B1493:C1493"/>
    <mergeCell ref="B1540:C1540"/>
    <mergeCell ref="B1526:C1526"/>
    <mergeCell ref="B1521:C1521"/>
    <mergeCell ref="B1509:C1509"/>
    <mergeCell ref="B1472:D1472"/>
    <mergeCell ref="B1453:C1453"/>
    <mergeCell ref="B1454:D1454"/>
    <mergeCell ref="B896:D896"/>
    <mergeCell ref="B899:C899"/>
    <mergeCell ref="B905:D905"/>
    <mergeCell ref="B904:D904"/>
    <mergeCell ref="B945:D945"/>
    <mergeCell ref="B949:D949"/>
    <mergeCell ref="B948:D948"/>
    <mergeCell ref="B947:C947"/>
    <mergeCell ref="B1183:C1183"/>
    <mergeCell ref="B1254:D1254"/>
    <mergeCell ref="B1251:C1251"/>
    <mergeCell ref="B1246:D1246"/>
    <mergeCell ref="B1245:D1245"/>
    <mergeCell ref="B1247:D1247"/>
    <mergeCell ref="B1248:D1248"/>
    <mergeCell ref="B1244:C1244"/>
    <mergeCell ref="B1278:D1278"/>
    <mergeCell ref="B1279:D1279"/>
    <mergeCell ref="B1277:C1277"/>
    <mergeCell ref="B1280:D1280"/>
    <mergeCell ref="B1431:D1431"/>
    <mergeCell ref="B1435:D1435"/>
    <mergeCell ref="B2027:D2027"/>
    <mergeCell ref="B2026:C2026"/>
    <mergeCell ref="B2035:C2035"/>
    <mergeCell ref="B2036:D2036"/>
    <mergeCell ref="B2050:D2050"/>
    <mergeCell ref="B2049:D2049"/>
    <mergeCell ref="B2041:D2041"/>
    <mergeCell ref="B2040:C2040"/>
    <mergeCell ref="B1981:D1981"/>
    <mergeCell ref="B1978:D1978"/>
    <mergeCell ref="B2053:D2053"/>
    <mergeCell ref="B2052:D2052"/>
    <mergeCell ref="B2047:C2047"/>
    <mergeCell ref="B2048:D2048"/>
    <mergeCell ref="B2051:D2051"/>
    <mergeCell ref="B1613:C1613"/>
    <mergeCell ref="B1614:D1614"/>
    <mergeCell ref="B1616:C1616"/>
    <mergeCell ref="B1617:D1617"/>
    <mergeCell ref="B1602:D1602"/>
    <mergeCell ref="B1604:C1604"/>
    <mergeCell ref="B1730:C1730"/>
    <mergeCell ref="B1731:D1731"/>
    <mergeCell ref="B1576:D1576"/>
    <mergeCell ref="B1575:C1575"/>
    <mergeCell ref="B1570:D1570"/>
    <mergeCell ref="B1547:D1547"/>
    <mergeCell ref="B1580:D1580"/>
    <mergeCell ref="B1579:D1579"/>
    <mergeCell ref="B1581:D1581"/>
    <mergeCell ref="B1582:D1582"/>
    <mergeCell ref="B1490:C1490"/>
    <mergeCell ref="B1491:D1491"/>
    <mergeCell ref="B1501:D1501"/>
    <mergeCell ref="B1500:C1500"/>
    <mergeCell ref="B1504:C1504"/>
    <mergeCell ref="B1507:D1507"/>
    <mergeCell ref="B1513:C1513"/>
    <mergeCell ref="B1832:C1832"/>
    <mergeCell ref="B1828:C1828"/>
    <mergeCell ref="B1495:D1495"/>
    <mergeCell ref="B1494:D1494"/>
    <mergeCell ref="B1538:D1538"/>
    <mergeCell ref="B1514:D1514"/>
    <mergeCell ref="B1530:D1530"/>
    <mergeCell ref="B1515:D1515"/>
    <mergeCell ref="B1531:D1531"/>
    <mergeCell ref="B1535:D1535"/>
    <mergeCell ref="B1543:D1543"/>
    <mergeCell ref="B1542:D1542"/>
    <mergeCell ref="B1505:D1505"/>
    <mergeCell ref="B1506:D1506"/>
    <mergeCell ref="B1511:D1511"/>
    <mergeCell ref="B1510:D1510"/>
    <mergeCell ref="B1571:D1571"/>
    <mergeCell ref="B1569:C1569"/>
    <mergeCell ref="B1805:D1805"/>
    <mergeCell ref="B1850:D1850"/>
    <mergeCell ref="B1819:D1819"/>
    <mergeCell ref="B1841:D1841"/>
    <mergeCell ref="B1840:C1840"/>
    <mergeCell ref="B1843:C1843"/>
    <mergeCell ref="B1844:D1844"/>
    <mergeCell ref="B1895:D1895"/>
    <mergeCell ref="B1750:D1750"/>
    <mergeCell ref="B1884:C1884"/>
    <mergeCell ref="B1797:C1797"/>
    <mergeCell ref="B1818:C1818"/>
    <mergeCell ref="B1885:D1885"/>
    <mergeCell ref="B1777:C1777"/>
    <mergeCell ref="B1889:C1889"/>
    <mergeCell ref="B1887:D1887"/>
    <mergeCell ref="B1793:C1793"/>
    <mergeCell ref="B1780:C1780"/>
    <mergeCell ref="B1752:C1752"/>
    <mergeCell ref="B1756:D1756"/>
    <mergeCell ref="B1838:D1838"/>
    <mergeCell ref="B1837:C1837"/>
    <mergeCell ref="B1849:D1849"/>
    <mergeCell ref="B1848:C1848"/>
    <mergeCell ref="B1869:D1869"/>
    <mergeCell ref="B1864:C1864"/>
    <mergeCell ref="B1859:D1859"/>
    <mergeCell ref="B1855:C1855"/>
    <mergeCell ref="B1894:D1894"/>
    <mergeCell ref="B1893:D1893"/>
    <mergeCell ref="B1912:D1912"/>
    <mergeCell ref="B1911:D1911"/>
    <mergeCell ref="B1901:D1901"/>
    <mergeCell ref="B1898:D1898"/>
    <mergeCell ref="B1900:C1900"/>
    <mergeCell ref="B1892:C1892"/>
    <mergeCell ref="B1890:D1890"/>
    <mergeCell ref="B903:D903"/>
    <mergeCell ref="B906:D906"/>
    <mergeCell ref="B909:D909"/>
    <mergeCell ref="B911:C911"/>
    <mergeCell ref="B914:C914"/>
    <mergeCell ref="B915:D915"/>
    <mergeCell ref="B939:D939"/>
    <mergeCell ref="B936:D936"/>
    <mergeCell ref="B937:D937"/>
    <mergeCell ref="B935:C935"/>
    <mergeCell ref="B930:D930"/>
    <mergeCell ref="B952:D952"/>
    <mergeCell ref="B955:D955"/>
    <mergeCell ref="B954:C954"/>
    <mergeCell ref="B944:D944"/>
    <mergeCell ref="B943:C943"/>
    <mergeCell ref="B1919:O1919"/>
    <mergeCell ref="B1914:O1914"/>
    <mergeCell ref="B2066:C2066"/>
    <mergeCell ref="B2108:D2108"/>
    <mergeCell ref="B2080:D2080"/>
    <mergeCell ref="B2085:C2085"/>
    <mergeCell ref="B2107:D2107"/>
    <mergeCell ref="B2101:D2101"/>
    <mergeCell ref="B1906:O1906"/>
    <mergeCell ref="B2118:D2118"/>
    <mergeCell ref="B2117:C2117"/>
    <mergeCell ref="B2145:D2145"/>
    <mergeCell ref="B2136:D2136"/>
    <mergeCell ref="B2216:C2216"/>
    <mergeCell ref="B2218:D2218"/>
    <mergeCell ref="B2217:D2217"/>
    <mergeCell ref="B2213:C2213"/>
    <mergeCell ref="B2214:D2214"/>
    <mergeCell ref="B2222:D2222"/>
    <mergeCell ref="B2221:D2221"/>
    <mergeCell ref="B2255:D2255"/>
    <mergeCell ref="B2251:C2251"/>
    <mergeCell ref="B2252:D2252"/>
    <mergeCell ref="B2254:C2254"/>
    <mergeCell ref="B2326:O2326"/>
    <mergeCell ref="B2240:O2240"/>
    <mergeCell ref="B2271:O2271"/>
    <mergeCell ref="B2329:O2329"/>
    <mergeCell ref="B1982:O1982"/>
    <mergeCell ref="B1979:O1979"/>
  </mergeCells>
  <hyperlinks>
    <hyperlink display="N++&gt;Solo&gt;Levels" location="Main Menu!A1" ref="B1"/>
    <hyperlink display="Intro" location="Solo&gt;Levels&gt;Intro!A1" ref="B4"/>
    <hyperlink display="Ultimate" location="Solo&gt;Levels&gt;Ultimate!A1" ref="F4"/>
    <hyperlink display="Legacy" location="Solo&gt;Levels&gt;Legacy!A1" ref="H4"/>
    <hyperlink display="?" location="Solo&gt;Levels&gt;!A1" ref="J4"/>
    <hyperlink display="!" location="Solo&gt;Levels&gt;!!A1" ref="L4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1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7" t="s">
        <v>3</v>
      </c>
      <c r="E4" s="6"/>
      <c r="F4" s="5" t="s">
        <v>4</v>
      </c>
      <c r="G4" s="6"/>
      <c r="H4" s="7" t="s">
        <v>5</v>
      </c>
      <c r="I4" s="6"/>
      <c r="J4" s="8" t="s">
        <v>6</v>
      </c>
      <c r="K4" s="6"/>
      <c r="L4" s="7" t="s">
        <v>7</v>
      </c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268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270</v>
      </c>
      <c r="D7" s="9"/>
      <c r="E7" s="17" t="s">
        <v>14</v>
      </c>
      <c r="F7" s="18" t="str">
        <f>HYPERLINK("https://youtu.be/JU5bbXVi0c4?t=53",'Players&gt;List'!$B10)</f>
        <v>[CAM]</v>
      </c>
      <c r="G7" s="18" t="str">
        <f>HYPERLINK("https://www.youtube.com/watch?v=SpRH1pIZ8NA",'Players&gt;List'!$B16)</f>
        <v>[GEA]</v>
      </c>
      <c r="H7" s="1"/>
      <c r="I7" s="1"/>
      <c r="J7" s="1"/>
      <c r="K7" s="1"/>
      <c r="L7" s="1"/>
      <c r="M7" s="1"/>
      <c r="N7" s="1"/>
    </row>
    <row r="8">
      <c r="A8" s="1"/>
      <c r="B8" s="25" t="s">
        <v>88</v>
      </c>
      <c r="E8" s="26" t="s">
        <v>90</v>
      </c>
      <c r="F8" s="18" t="str">
        <f>HYPERLINK("https://www.youtube.com/watch?v=DeJoHMF0Ork",'Players&gt;List'!$B28)</f>
        <v>[SUN]</v>
      </c>
      <c r="G8" s="18" t="str">
        <f>HYPERLINK("https://youtu.be/SpRH1pIZ8NA?t=10",'Players&gt;List'!$B16)</f>
        <v>[GEA]</v>
      </c>
      <c r="H8" s="1"/>
      <c r="I8" s="1"/>
      <c r="J8" s="1"/>
      <c r="K8" s="1"/>
      <c r="L8" s="1"/>
      <c r="M8" s="1"/>
      <c r="N8" s="1"/>
    </row>
    <row r="9">
      <c r="A9" s="1"/>
      <c r="B9" s="14" t="s">
        <v>279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4"/>
    </row>
    <row r="10">
      <c r="A10" s="1"/>
      <c r="B10" s="4" t="s">
        <v>281</v>
      </c>
      <c r="D10" s="9"/>
      <c r="E10" s="17" t="s">
        <v>14</v>
      </c>
      <c r="F10" s="18" t="str">
        <f>HYPERLINK("https://youtu.be/JU5bbXVi0c4?t=66",'Players&gt;List'!$B10)</f>
        <v>[CAM]</v>
      </c>
      <c r="G10" s="18" t="str">
        <f>HYPERLINK("https://youtu.be/SpRH1pIZ8NA?t=16",'Players&gt;List'!$B16)</f>
        <v>[GEA]</v>
      </c>
      <c r="H10" s="1"/>
      <c r="I10" s="1"/>
      <c r="J10" s="1"/>
      <c r="K10" s="1"/>
      <c r="L10" s="1"/>
      <c r="M10" s="1"/>
      <c r="N10" s="1"/>
    </row>
    <row r="11">
      <c r="A11" s="1"/>
      <c r="B11" s="25" t="s">
        <v>117</v>
      </c>
      <c r="E11" s="26" t="s">
        <v>110</v>
      </c>
      <c r="F11" s="18" t="str">
        <f>HYPERLINK("https://www.twitch.tv/videos/307193610",'Players&gt;List'!$B24)</f>
        <v>[NIM]</v>
      </c>
      <c r="G11" s="18" t="str">
        <f>HYPERLINK("https://youtu.be/SpRH1pIZ8NA?t=44",'Players&gt;List'!$B16)</f>
        <v>[GEA]</v>
      </c>
      <c r="H11" s="1"/>
      <c r="I11" s="1"/>
      <c r="J11" s="1"/>
      <c r="K11" s="1"/>
      <c r="L11" s="1"/>
      <c r="M11" s="1"/>
      <c r="N11" s="1"/>
    </row>
    <row r="12">
      <c r="A12" s="1"/>
      <c r="B12" s="14" t="s">
        <v>290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292</v>
      </c>
      <c r="D13" s="9"/>
      <c r="E13" s="17" t="s">
        <v>14</v>
      </c>
      <c r="F13" s="18" t="str">
        <f>HYPERLINK("https://youtu.be/JU5bbXVi0c4?t=102",'Players&gt;List'!$B10)</f>
        <v>[CAM]</v>
      </c>
      <c r="G13" s="18" t="str">
        <f>HYPERLINK("https://youtu.be/SpRH1pIZ8NA?t=105",'Players&gt;List'!$B16)</f>
        <v>[GEA]</v>
      </c>
      <c r="H13" s="1"/>
      <c r="I13" s="1"/>
      <c r="J13" s="1"/>
      <c r="K13" s="1"/>
      <c r="L13" s="1"/>
      <c r="M13" s="1"/>
      <c r="N13" s="1"/>
    </row>
    <row r="14">
      <c r="A14" s="1"/>
      <c r="B14" s="25" t="s">
        <v>117</v>
      </c>
      <c r="E14" s="26" t="s">
        <v>110</v>
      </c>
      <c r="F14" s="18" t="str">
        <f>HYPERLINK("https://youtu.be/SpRH1pIZ8NA?t=140",'Players&gt;List'!$B16)</f>
        <v>[GEA]</v>
      </c>
      <c r="G14" s="1"/>
      <c r="H14" s="1"/>
      <c r="I14" s="1"/>
      <c r="J14" s="1"/>
      <c r="K14" s="1"/>
      <c r="L14" s="1"/>
      <c r="M14" s="1"/>
      <c r="N14" s="1"/>
    </row>
    <row r="15">
      <c r="A15" s="1"/>
      <c r="B15" s="14" t="s">
        <v>300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4"/>
    </row>
    <row r="16">
      <c r="A16" s="1"/>
      <c r="B16" s="4" t="s">
        <v>305</v>
      </c>
      <c r="D16" s="9"/>
      <c r="E16" s="17" t="s">
        <v>14</v>
      </c>
      <c r="F16" s="18" t="str">
        <f>HYPERLINK("https://youtu.be/JU5bbXVi0c4?t=160",'Players&gt;List'!$B10)</f>
        <v>[CAM]</v>
      </c>
      <c r="G16" s="18" t="str">
        <f>HYPERLINK("https://youtu.be/SpRH1pIZ8NA?t=149",'Players&gt;List'!$B16)</f>
        <v>[GEA]</v>
      </c>
      <c r="H16" s="1"/>
      <c r="I16" s="1"/>
      <c r="J16" s="1"/>
      <c r="K16" s="1"/>
      <c r="L16" s="1"/>
      <c r="M16" s="1"/>
      <c r="N16" s="1"/>
    </row>
    <row r="17">
      <c r="A17" s="1"/>
      <c r="B17" s="25" t="s">
        <v>88</v>
      </c>
      <c r="E17" s="26" t="s">
        <v>90</v>
      </c>
      <c r="F17" s="18" t="str">
        <f>HYPERLINK("https://youtu.be/SpRH1pIZ8NA?t=180",'Players&gt;List'!$B16)</f>
        <v>[GEA]</v>
      </c>
      <c r="G17" s="1"/>
      <c r="H17" s="1"/>
      <c r="I17" s="1"/>
      <c r="J17" s="1"/>
      <c r="K17" s="1"/>
      <c r="L17" s="1"/>
      <c r="M17" s="1"/>
      <c r="N17" s="1"/>
    </row>
    <row r="18">
      <c r="A18" s="1"/>
      <c r="B18" s="25" t="s">
        <v>149</v>
      </c>
      <c r="E18" s="26" t="s">
        <v>147</v>
      </c>
      <c r="F18" s="18" t="str">
        <f>HYPERLINK("https://www.youtube.com/watch?v=RLDjeIOpRS8",'Players&gt;List'!$B32)</f>
        <v>[XEL]</v>
      </c>
      <c r="G18" s="18" t="str">
        <f>HYPERLINK("https://youtu.be/7rZ-M48rycY",'Players&gt;List'!$B14)</f>
        <v>[ESP]</v>
      </c>
      <c r="H18" s="18" t="str">
        <f>HYPERLINK("https://www.youtube.com/watch?v=4tbsG0CDE1U",'Players&gt;List'!$B19)</f>
        <v>[HIT]</v>
      </c>
      <c r="I18" s="18" t="str">
        <f>HYPERLINK("https://www.youtube.com/watch?v=SpRH1pIZ8NA&amp;t=202s",'Players&gt;List'!$B16)</f>
        <v>[GEA]</v>
      </c>
      <c r="J18" s="1"/>
      <c r="K18" s="1"/>
      <c r="L18" s="1"/>
      <c r="M18" s="1"/>
      <c r="N18" s="1"/>
    </row>
    <row r="19">
      <c r="A19" s="1"/>
      <c r="B19" s="14" t="s">
        <v>319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4"/>
    </row>
    <row r="20">
      <c r="A20" s="1"/>
      <c r="B20" s="4" t="s">
        <v>322</v>
      </c>
      <c r="D20" s="9"/>
      <c r="E20" s="17" t="s">
        <v>14</v>
      </c>
      <c r="F20" s="18" t="str">
        <f>HYPERLINK("https://youtu.be/JU5bbXVi0c4?t=208",'Players&gt;List'!$B10)</f>
        <v>[CAM]</v>
      </c>
      <c r="G20" s="18" t="str">
        <f>HYPERLINK("https://youtu.be/SpRH1pIZ8NA?t=362",'Players&gt;List'!$B16)</f>
        <v>[GEA]</v>
      </c>
      <c r="H20" s="1"/>
      <c r="I20" s="1"/>
      <c r="J20" s="1"/>
      <c r="K20" s="1"/>
      <c r="L20" s="1"/>
      <c r="M20" s="1"/>
      <c r="N20" s="1"/>
    </row>
    <row r="21">
      <c r="A21" s="1"/>
      <c r="B21" s="25" t="s">
        <v>327</v>
      </c>
      <c r="E21" s="26" t="s">
        <v>110</v>
      </c>
      <c r="F21" s="18" t="str">
        <f>HYPERLINK("https://youtu.be/SpRH1pIZ8NA?t=400",'Players&gt;List'!$B16)</f>
        <v>[GEA]</v>
      </c>
      <c r="G21" s="1"/>
      <c r="H21" s="1"/>
      <c r="I21" s="1"/>
      <c r="J21" s="1"/>
      <c r="K21" s="1"/>
      <c r="L21" s="1"/>
      <c r="M21" s="1"/>
      <c r="N21" s="1"/>
    </row>
    <row r="22">
      <c r="A22" s="1"/>
      <c r="B22" s="25" t="s">
        <v>149</v>
      </c>
      <c r="E22" s="26" t="s">
        <v>147</v>
      </c>
      <c r="F22" s="18" t="str">
        <f>HYPERLINK("https://youtu.be/SpRH1pIZ8NA?t=449",'Players&gt;List'!$B16)</f>
        <v>[GEA]</v>
      </c>
      <c r="G22" s="1"/>
      <c r="H22" s="1"/>
      <c r="I22" s="1"/>
      <c r="J22" s="1"/>
      <c r="K22" s="1"/>
      <c r="L22" s="1"/>
      <c r="M22" s="1"/>
      <c r="N22" s="1"/>
    </row>
    <row r="23">
      <c r="A23" s="1"/>
      <c r="B23" s="25" t="s">
        <v>335</v>
      </c>
      <c r="E23" s="26" t="s">
        <v>147</v>
      </c>
      <c r="F23" s="18" t="str">
        <f>HYPERLINK("https://youtu.be/SpRH1pIZ8NA?t=479",'Players&gt;List'!$B16)</f>
        <v>[GEA]</v>
      </c>
      <c r="G23" s="1"/>
      <c r="H23" s="1"/>
      <c r="I23" s="1"/>
      <c r="J23" s="1"/>
      <c r="K23" s="1"/>
      <c r="L23" s="1"/>
      <c r="M23" s="1"/>
      <c r="N23" s="1"/>
    </row>
    <row r="24">
      <c r="A24" s="1"/>
      <c r="B24" s="14" t="s">
        <v>339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4"/>
    </row>
    <row r="25">
      <c r="A25" s="1"/>
      <c r="B25" s="4" t="s">
        <v>341</v>
      </c>
      <c r="D25" s="9"/>
      <c r="E25" s="17" t="s">
        <v>14</v>
      </c>
      <c r="F25" s="18" t="str">
        <f>HYPERLINK("https://youtu.be/JU5bbXVi0c4?t=283",'Players&gt;List'!$B10)</f>
        <v>[CAM]</v>
      </c>
      <c r="G25" s="18" t="str">
        <f>HYPERLINK("https://www.youtube.com/watch?v=e8KOI6ziCbU",'Players&gt;List'!$B16)</f>
        <v>[GEA]</v>
      </c>
      <c r="H25" s="1"/>
      <c r="I25" s="1"/>
      <c r="J25" s="1"/>
      <c r="K25" s="1"/>
      <c r="L25" s="1"/>
      <c r="M25" s="1"/>
      <c r="N25" s="1"/>
    </row>
    <row r="26">
      <c r="A26" s="1"/>
      <c r="B26" s="25" t="s">
        <v>88</v>
      </c>
      <c r="E26" s="26" t="s">
        <v>90</v>
      </c>
      <c r="F26" s="18" t="str">
        <f>HYPERLINK("https://www.youtube.com/watch?v=IiPc6ijygHI",'Players&gt;List'!$B28)</f>
        <v>[SUN]</v>
      </c>
      <c r="G26" s="18" t="str">
        <f>HYPERLINK("https://youtu.be/e8KOI6ziCbU?t=6",'Players&gt;List'!$B16)</f>
        <v>[GEA]</v>
      </c>
      <c r="H26" s="1"/>
      <c r="I26" s="1"/>
      <c r="J26" s="1"/>
      <c r="K26" s="1"/>
      <c r="L26" s="1"/>
      <c r="M26" s="1"/>
      <c r="N26" s="1"/>
    </row>
    <row r="27">
      <c r="A27" s="1"/>
      <c r="B27" s="14" t="s">
        <v>348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4"/>
    </row>
    <row r="28">
      <c r="A28" s="1"/>
      <c r="B28" s="4" t="s">
        <v>350</v>
      </c>
      <c r="D28" s="9"/>
      <c r="E28" s="17" t="s">
        <v>14</v>
      </c>
      <c r="F28" s="18" t="str">
        <f>HYPERLINK("https://youtu.be/JU5bbXVi0c4?t=343",'Players&gt;List'!$B10)</f>
        <v>[CAM]</v>
      </c>
      <c r="G28" s="18" t="str">
        <f>HYPERLINK("https://youtu.be/e8KOI6ziCbU?t=15",'Players&gt;List'!$B16)</f>
        <v>[GEA]</v>
      </c>
      <c r="H28" s="1"/>
      <c r="I28" s="1"/>
      <c r="J28" s="1"/>
      <c r="K28" s="1"/>
      <c r="L28" s="1"/>
      <c r="M28" s="1"/>
      <c r="N28" s="1"/>
    </row>
    <row r="29">
      <c r="A29" s="1"/>
      <c r="B29" s="25" t="s">
        <v>117</v>
      </c>
      <c r="E29" s="26" t="s">
        <v>110</v>
      </c>
      <c r="F29" s="18" t="str">
        <f>HYPERLINK("https://youtu.be/e8KOI6ziCbU?t=41",'Players&gt;List'!$B16)</f>
        <v>[GEA]</v>
      </c>
      <c r="G29" s="1"/>
      <c r="H29" s="1"/>
      <c r="I29" s="1"/>
      <c r="J29" s="1"/>
      <c r="K29" s="1"/>
      <c r="L29" s="1"/>
      <c r="M29" s="1"/>
      <c r="N29" s="1"/>
    </row>
    <row r="30">
      <c r="A30" s="1"/>
      <c r="B30" s="25" t="s">
        <v>149</v>
      </c>
      <c r="E30" s="26" t="s">
        <v>147</v>
      </c>
      <c r="F30" s="18" t="str">
        <f>HYPERLINK("https://youtu.be/e8KOI6ziCbU?t=104",'Players&gt;List'!$B16)</f>
        <v>[GEA]</v>
      </c>
      <c r="G30" s="1"/>
      <c r="H30" s="1"/>
      <c r="I30" s="1"/>
      <c r="J30" s="1"/>
      <c r="K30" s="1"/>
      <c r="L30" s="1"/>
      <c r="M30" s="1"/>
      <c r="N30" s="1"/>
    </row>
    <row r="31">
      <c r="A31" s="1"/>
      <c r="B31" s="14" t="s">
        <v>353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4"/>
    </row>
    <row r="32">
      <c r="A32" s="1"/>
      <c r="B32" s="4" t="s">
        <v>355</v>
      </c>
      <c r="D32" s="9"/>
      <c r="E32" s="17" t="s">
        <v>14</v>
      </c>
      <c r="F32" s="18" t="str">
        <f>HYPERLINK("https://youtu.be/JU5bbXVi0c4?t=371",'Players&gt;List'!$B10)</f>
        <v>[CAM]</v>
      </c>
      <c r="G32" s="18" t="str">
        <f>HYPERLINK("https://youtu.be/e8KOI6ziCbU?t=169",'Players&gt;List'!$B16)</f>
        <v>[GEA]</v>
      </c>
      <c r="H32" s="1"/>
      <c r="I32" s="1"/>
      <c r="J32" s="1"/>
      <c r="K32" s="1"/>
      <c r="L32" s="1"/>
      <c r="M32" s="1"/>
      <c r="N32" s="1"/>
    </row>
    <row r="33">
      <c r="A33" s="1"/>
      <c r="B33" s="25" t="s">
        <v>356</v>
      </c>
      <c r="E33" s="26" t="s">
        <v>234</v>
      </c>
      <c r="F33" s="18" t="str">
        <f>HYPERLINK("https://youtu.be/e8KOI6ziCbU?t=178",'Players&gt;List'!$B16)</f>
        <v>[GEA]</v>
      </c>
      <c r="G33" s="1"/>
      <c r="H33" s="1"/>
      <c r="I33" s="1"/>
      <c r="J33" s="1"/>
      <c r="K33" s="1"/>
      <c r="L33" s="1"/>
      <c r="M33" s="1"/>
      <c r="N33" s="1"/>
    </row>
    <row r="34">
      <c r="A34" s="1"/>
      <c r="B34" s="25" t="s">
        <v>357</v>
      </c>
      <c r="E34" s="26" t="s">
        <v>358</v>
      </c>
      <c r="F34" s="18" t="str">
        <f>HYPERLINK("https://youtu.be/e8KOI6ziCbU?t=207",'Players&gt;List'!$B16)</f>
        <v>[GEA]</v>
      </c>
      <c r="G34" s="1"/>
      <c r="H34" s="1"/>
      <c r="I34" s="1"/>
      <c r="J34" s="1"/>
      <c r="K34" s="1"/>
      <c r="L34" s="1"/>
      <c r="M34" s="1"/>
      <c r="N34" s="1"/>
    </row>
    <row r="35">
      <c r="A35" s="1"/>
      <c r="B35" s="14" t="s">
        <v>359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4"/>
    </row>
    <row r="36">
      <c r="A36" s="1"/>
      <c r="B36" s="4" t="s">
        <v>360</v>
      </c>
      <c r="D36" s="9"/>
      <c r="E36" s="17" t="s">
        <v>14</v>
      </c>
      <c r="F36" s="18" t="str">
        <f>HYPERLINK("https://youtu.be/JU5bbXVi0c4?t=400",'Players&gt;List'!$B10)</f>
        <v>[CAM]</v>
      </c>
      <c r="G36" s="18" t="str">
        <f>HYPERLINK("https://youtu.be/e8KOI6ziCbU?t=222",'Players&gt;List'!$B16)</f>
        <v>[GEA]</v>
      </c>
      <c r="H36" s="1"/>
      <c r="I36" s="1"/>
      <c r="J36" s="1"/>
      <c r="K36" s="1"/>
      <c r="L36" s="1"/>
      <c r="M36" s="1"/>
      <c r="N36" s="1"/>
    </row>
    <row r="37">
      <c r="A37" s="1"/>
      <c r="B37" s="25" t="s">
        <v>117</v>
      </c>
      <c r="E37" s="26" t="s">
        <v>110</v>
      </c>
      <c r="F37" s="18" t="str">
        <f>HYPERLINK("https://www.youtube.com/watch?v=JKuXOPmyjr8",'Players&gt;List'!$B28)</f>
        <v>[SUN]</v>
      </c>
      <c r="G37" s="18" t="str">
        <f>HYPERLINK("https://youtu.be/e8KOI6ziCbU?t=233",'Players&gt;List'!$B16)</f>
        <v>[GEA]</v>
      </c>
      <c r="H37" s="1"/>
      <c r="I37" s="1"/>
      <c r="J37" s="1"/>
      <c r="K37" s="1"/>
      <c r="L37" s="1"/>
      <c r="M37" s="1"/>
      <c r="N37" s="1"/>
    </row>
    <row r="38">
      <c r="A38" s="1"/>
      <c r="B38" s="25" t="s">
        <v>108</v>
      </c>
      <c r="E38" s="26" t="s">
        <v>132</v>
      </c>
      <c r="F38" s="18" t="str">
        <f>HYPERLINK("https://youtu.be/e8KOI6ziCbU?t=244",'Players&gt;List'!$B16)</f>
        <v>[GEA]</v>
      </c>
      <c r="G38" s="1"/>
      <c r="H38" s="1"/>
      <c r="I38" s="1"/>
      <c r="J38" s="1"/>
      <c r="K38" s="1"/>
      <c r="L38" s="1"/>
      <c r="M38" s="1"/>
      <c r="N38" s="1"/>
    </row>
    <row r="39">
      <c r="A39" s="1"/>
      <c r="B39" s="14" t="s">
        <v>363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4"/>
    </row>
    <row r="40">
      <c r="A40" s="1"/>
      <c r="B40" s="4" t="s">
        <v>364</v>
      </c>
      <c r="D40" s="9"/>
      <c r="E40" s="17" t="s">
        <v>14</v>
      </c>
      <c r="F40" s="18" t="str">
        <f>HYPERLINK("https://youtu.be/JU5bbXVi0c4?t=534",'Players&gt;List'!$B10)</f>
        <v>[CAM]</v>
      </c>
      <c r="G40" s="18" t="str">
        <f>HYPERLINK("https://youtu.be/e8KOI6ziCbU?t=256",'Players&gt;List'!$B16)</f>
        <v>[GEA]</v>
      </c>
      <c r="H40" s="1"/>
      <c r="I40" s="1"/>
      <c r="J40" s="1"/>
      <c r="K40" s="1"/>
      <c r="L40" s="1"/>
      <c r="M40" s="1"/>
      <c r="N40" s="1"/>
    </row>
    <row r="41">
      <c r="A41" s="1"/>
      <c r="B41" s="25" t="s">
        <v>117</v>
      </c>
      <c r="E41" s="26" t="s">
        <v>110</v>
      </c>
      <c r="F41" s="18" t="str">
        <f>HYPERLINK("https://youtu.be/e8KOI6ziCbU?t=274",'Players&gt;List'!$B16)</f>
        <v>[GEA]</v>
      </c>
      <c r="G41" s="1"/>
      <c r="H41" s="1"/>
      <c r="I41" s="1"/>
      <c r="J41" s="1"/>
      <c r="K41" s="1"/>
      <c r="L41" s="1"/>
      <c r="M41" s="1"/>
      <c r="N41" s="1"/>
    </row>
    <row r="42">
      <c r="A42" s="1"/>
      <c r="B42" s="14" t="s">
        <v>367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4"/>
    </row>
    <row r="43">
      <c r="A43" s="1"/>
      <c r="B43" s="4" t="s">
        <v>368</v>
      </c>
      <c r="D43" s="9"/>
      <c r="E43" s="17" t="s">
        <v>14</v>
      </c>
      <c r="F43" s="18" t="str">
        <f>HYPERLINK("https://youtu.be/JU5bbXVi0c4?t=597",'Players&gt;List'!$B10)</f>
        <v>[CAM]</v>
      </c>
      <c r="G43" s="18" t="str">
        <f>HYPERLINK("https://www.youtube.com/watch?v=u3K_rtl6nz8",'Players&gt;List'!$B16)</f>
        <v>[GEA]</v>
      </c>
      <c r="H43" s="1"/>
      <c r="I43" s="1"/>
      <c r="J43" s="1"/>
      <c r="K43" s="1"/>
      <c r="L43" s="1"/>
      <c r="M43" s="1"/>
      <c r="N43" s="1"/>
    </row>
    <row r="44">
      <c r="A44" s="1"/>
      <c r="B44" s="25" t="s">
        <v>117</v>
      </c>
      <c r="E44" s="26" t="s">
        <v>110</v>
      </c>
      <c r="F44" s="18" t="str">
        <f>HYPERLINK("https://youtu.be/u3K_rtl6nz8?t=8",'Players&gt;List'!$B16)</f>
        <v>[GEA]</v>
      </c>
      <c r="G44" s="1"/>
      <c r="H44" s="1"/>
      <c r="I44" s="1"/>
      <c r="J44" s="1"/>
      <c r="K44" s="1"/>
      <c r="L44" s="1"/>
      <c r="M44" s="1"/>
      <c r="N44" s="1"/>
    </row>
    <row r="45">
      <c r="A45" s="1"/>
      <c r="B45" s="25" t="s">
        <v>108</v>
      </c>
      <c r="E45" s="26" t="s">
        <v>132</v>
      </c>
      <c r="F45" s="18" t="str">
        <f>HYPERLINK("https://youtu.be/u3K_rtl6nz8?t=42",'Players&gt;List'!$B16)</f>
        <v>[GEA]</v>
      </c>
      <c r="G45" s="1"/>
      <c r="H45" s="1"/>
      <c r="I45" s="1"/>
      <c r="J45" s="1"/>
      <c r="K45" s="1"/>
      <c r="L45" s="1"/>
      <c r="M45" s="1"/>
      <c r="N45" s="1"/>
    </row>
    <row r="46">
      <c r="A46" s="1"/>
      <c r="B46" s="14" t="s">
        <v>369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370</v>
      </c>
      <c r="D47" s="9"/>
      <c r="E47" s="17" t="s">
        <v>14</v>
      </c>
      <c r="F47" s="18" t="str">
        <f>HYPERLINK("https://youtu.be/JU5bbXVi0c4?t=611",'Players&gt;List'!$B10)</f>
        <v>[CAM]</v>
      </c>
      <c r="G47" s="18" t="str">
        <f>HYPERLINK("https://youtu.be/u3K_rtl6nz8?t=73",'Players&gt;List'!$B16)</f>
        <v>[GEA]</v>
      </c>
      <c r="H47" s="1"/>
      <c r="I47" s="1"/>
      <c r="J47" s="1"/>
      <c r="K47" s="1"/>
      <c r="L47" s="1"/>
      <c r="M47" s="1"/>
      <c r="N47" s="1"/>
    </row>
    <row r="48">
      <c r="A48" s="1"/>
      <c r="B48" s="25" t="s">
        <v>108</v>
      </c>
      <c r="E48" s="26" t="s">
        <v>110</v>
      </c>
      <c r="F48" s="18" t="str">
        <f>HYPERLINK("https://youtu.be/u3K_rtl6nz8?t=114",'Players&gt;List'!$B16)</f>
        <v>[GEA]</v>
      </c>
      <c r="G48" s="1"/>
      <c r="H48" s="1"/>
      <c r="I48" s="1"/>
      <c r="J48" s="1"/>
      <c r="K48" s="1"/>
      <c r="L48" s="1"/>
      <c r="M48" s="1"/>
      <c r="N48" s="1"/>
    </row>
    <row r="49">
      <c r="A49" s="1"/>
      <c r="B49" s="14" t="s">
        <v>373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4"/>
    </row>
    <row r="50">
      <c r="A50" s="1"/>
      <c r="B50" s="4" t="s">
        <v>374</v>
      </c>
      <c r="D50" s="9"/>
      <c r="E50" s="17" t="s">
        <v>14</v>
      </c>
      <c r="F50" s="18" t="str">
        <f>HYPERLINK("https://youtu.be/JU5bbXVi0c4?t=663",'Players&gt;List'!$B10)</f>
        <v>[CAM]</v>
      </c>
      <c r="G50" s="18" t="str">
        <f>HYPERLINK("https://youtu.be/u3K_rtl6nz8?t=153",'Players&gt;List'!$B16)</f>
        <v>[GEA]</v>
      </c>
      <c r="H50" s="1"/>
      <c r="I50" s="1"/>
      <c r="J50" s="1"/>
      <c r="K50" s="1"/>
      <c r="L50" s="1"/>
      <c r="M50" s="1"/>
      <c r="N50" s="1"/>
    </row>
    <row r="51">
      <c r="A51" s="1"/>
      <c r="B51" s="25" t="s">
        <v>88</v>
      </c>
      <c r="E51" s="26" t="s">
        <v>90</v>
      </c>
      <c r="F51" s="18" t="str">
        <f>HYPERLINK("https://youtu.be/u3K_rtl6nz8?t=170",'Players&gt;List'!$B16)</f>
        <v>[GEA]</v>
      </c>
      <c r="G51" s="1"/>
      <c r="H51" s="1"/>
      <c r="I51" s="1"/>
      <c r="J51" s="1"/>
      <c r="K51" s="1"/>
      <c r="L51" s="1"/>
      <c r="M51" s="1"/>
      <c r="N51" s="1"/>
    </row>
    <row r="52">
      <c r="A52" s="1"/>
      <c r="B52" s="14" t="s">
        <v>377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4"/>
    </row>
    <row r="53">
      <c r="A53" s="1"/>
      <c r="B53" s="4" t="s">
        <v>378</v>
      </c>
      <c r="D53" s="9"/>
      <c r="E53" s="17" t="s">
        <v>14</v>
      </c>
      <c r="F53" s="18" t="str">
        <f>HYPERLINK("https://youtu.be/JU5bbXVi0c4?t=814",'Players&gt;List'!$B10)</f>
        <v>[CAM]</v>
      </c>
      <c r="G53" s="18" t="str">
        <f>HYPERLINK("https://youtu.be/u3K_rtl6nz8?t=197",'Players&gt;List'!$B16)</f>
        <v>[GEA]</v>
      </c>
      <c r="H53" s="1"/>
      <c r="I53" s="1"/>
      <c r="J53" s="1"/>
      <c r="K53" s="1"/>
      <c r="L53" s="1"/>
      <c r="M53" s="1"/>
      <c r="N53" s="1"/>
    </row>
    <row r="54">
      <c r="A54" s="1"/>
      <c r="B54" s="25" t="s">
        <v>88</v>
      </c>
      <c r="E54" s="26" t="s">
        <v>90</v>
      </c>
      <c r="F54" s="18" t="str">
        <f>HYPERLINK("https://www.youtube.com/watch?v=6nA_Qha-STQ&amp;index=109&amp;list=PLbU6uWaIKemqNvTeRxK-Ay6PRg9iwCKVi&amp;t=0s",'Players&gt;List'!$B19)</f>
        <v>[HIT]</v>
      </c>
      <c r="G54" s="18" t="str">
        <f>HYPERLINK("https://www.youtube.com/watch?v=hWnoTIHt0QU",'Players&gt;List'!$B18)</f>
        <v>[HGB]</v>
      </c>
      <c r="H54" s="18" t="str">
        <f>HYPERLINK("https://www.youtube.com/watch?v=dH3ZMPXQhJU",'Players&gt;List'!$B11)</f>
        <v>[CHB]</v>
      </c>
      <c r="I54" s="18" t="str">
        <f>HYPERLINK("https://youtu.be/u3K_rtl6nz8?t=231",'Players&gt;List'!$B16)</f>
        <v>[GEA]</v>
      </c>
      <c r="J54" s="1"/>
      <c r="K54" s="1"/>
      <c r="L54" s="1"/>
      <c r="M54" s="1"/>
      <c r="N54" s="1"/>
    </row>
    <row r="55">
      <c r="A55" s="1"/>
      <c r="B55" s="14" t="s">
        <v>383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4"/>
    </row>
    <row r="56">
      <c r="A56" s="1"/>
      <c r="B56" s="4" t="s">
        <v>385</v>
      </c>
      <c r="D56" s="9"/>
      <c r="E56" s="17" t="s">
        <v>14</v>
      </c>
      <c r="F56" s="18" t="str">
        <f>HYPERLINK("https://youtu.be/JU5bbXVi0c4?t=893",'Players&gt;List'!$B10)</f>
        <v>[CAM]</v>
      </c>
      <c r="G56" s="18" t="str">
        <f>HYPERLINK("https://youtu.be/u3K_rtl6nz8?t=256",'Players&gt;List'!$B16)</f>
        <v>[GEA]</v>
      </c>
      <c r="H56" s="1"/>
      <c r="I56" s="1"/>
      <c r="J56" s="1"/>
      <c r="K56" s="1"/>
      <c r="L56" s="1"/>
      <c r="M56" s="1"/>
      <c r="N56" s="1"/>
    </row>
    <row r="57">
      <c r="A57" s="1"/>
      <c r="B57" s="25" t="s">
        <v>387</v>
      </c>
      <c r="E57" s="26" t="s">
        <v>110</v>
      </c>
      <c r="F57" s="18" t="str">
        <f>HYPERLINK("https://youtu.be/u3K_rtl6nz8?t=281",'Players&gt;List'!$B16)</f>
        <v>[GEA]</v>
      </c>
      <c r="G57" s="1"/>
      <c r="H57" s="1"/>
      <c r="I57" s="1"/>
      <c r="J57" s="1"/>
      <c r="K57" s="1"/>
      <c r="L57" s="1"/>
      <c r="M57" s="1"/>
      <c r="N57" s="1"/>
    </row>
    <row r="58">
      <c r="A58" s="1"/>
      <c r="B58" s="25" t="s">
        <v>88</v>
      </c>
      <c r="E58" s="26" t="s">
        <v>147</v>
      </c>
      <c r="F58" s="18" t="str">
        <f>HYPERLINK("https://youtu.be/u3K_rtl6nz8?t=313",'Players&gt;List'!$B16)</f>
        <v>[GEA]</v>
      </c>
      <c r="G58" s="1"/>
      <c r="H58" s="1"/>
      <c r="I58" s="1"/>
      <c r="J58" s="1"/>
      <c r="K58" s="1"/>
      <c r="L58" s="1"/>
      <c r="M58" s="1"/>
      <c r="N58" s="1"/>
    </row>
    <row r="59">
      <c r="A59" s="1"/>
      <c r="B59" s="14" t="s">
        <v>391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4"/>
    </row>
    <row r="60">
      <c r="A60" s="1"/>
      <c r="B60" s="4" t="s">
        <v>394</v>
      </c>
      <c r="D60" s="9"/>
      <c r="E60" s="17" t="s">
        <v>14</v>
      </c>
      <c r="F60" s="18" t="str">
        <f>HYPERLINK("https://youtu.be/GjQfaRzD9Z0?t=18",'Players&gt;List'!$B10)</f>
        <v>[CAM]</v>
      </c>
      <c r="G60" s="18" t="str">
        <f>HYPERLINK("https://www.youtube.com/watch?v=HavrBXiXlr4",'Players&gt;List'!$B16)</f>
        <v>[GEA]</v>
      </c>
      <c r="H60" s="1"/>
      <c r="I60" s="1"/>
      <c r="J60" s="1"/>
      <c r="K60" s="1"/>
      <c r="L60" s="1"/>
      <c r="M60" s="1"/>
      <c r="N60" s="1"/>
    </row>
    <row r="61">
      <c r="A61" s="1"/>
      <c r="B61" s="25" t="s">
        <v>108</v>
      </c>
      <c r="E61" s="26" t="s">
        <v>110</v>
      </c>
      <c r="F61" s="18" t="str">
        <f>HYPERLINK("https://youtu.be/HavrBXiXlr4?t=30",'Players&gt;List'!$B16)</f>
        <v>[GEA]</v>
      </c>
      <c r="G61" s="1"/>
      <c r="H61" s="1"/>
      <c r="I61" s="1"/>
      <c r="J61" s="1"/>
      <c r="K61" s="1"/>
      <c r="L61" s="1"/>
      <c r="M61" s="1"/>
      <c r="N61" s="1"/>
    </row>
    <row r="62">
      <c r="A62" s="1"/>
      <c r="B62" s="25" t="s">
        <v>149</v>
      </c>
      <c r="E62" s="26" t="s">
        <v>147</v>
      </c>
      <c r="F62" s="18" t="str">
        <f>HYPERLINK("https://youtu.be/HavrBXiXlr4?t=47",'Players&gt;List'!$B16)</f>
        <v>[GEA]</v>
      </c>
      <c r="G62" s="1"/>
      <c r="H62" s="1"/>
      <c r="I62" s="1"/>
      <c r="J62" s="1"/>
      <c r="K62" s="1"/>
      <c r="L62" s="1"/>
      <c r="M62" s="1"/>
      <c r="N62" s="1"/>
    </row>
    <row r="63">
      <c r="A63" s="1"/>
      <c r="B63" s="14" t="s">
        <v>405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4"/>
    </row>
    <row r="64">
      <c r="A64" s="1"/>
      <c r="B64" s="4" t="s">
        <v>408</v>
      </c>
      <c r="D64" s="9"/>
      <c r="E64" s="17" t="s">
        <v>14</v>
      </c>
      <c r="F64" s="18" t="str">
        <f>HYPERLINK("https://youtu.be/GjQfaRzD9Z0?t=93",'Players&gt;List'!$B10)</f>
        <v>[CAM]</v>
      </c>
      <c r="G64" s="18" t="str">
        <f>HYPERLINK("https://youtu.be/HavrBXiXlr4?t=135",'Players&gt;List'!$B16)</f>
        <v>[GEA]</v>
      </c>
      <c r="H64" s="1"/>
      <c r="I64" s="1"/>
      <c r="J64" s="1"/>
      <c r="K64" s="1"/>
      <c r="L64" s="1"/>
      <c r="M64" s="1"/>
      <c r="N64" s="1"/>
    </row>
    <row r="65">
      <c r="A65" s="1"/>
      <c r="B65" s="25" t="s">
        <v>108</v>
      </c>
      <c r="E65" s="26" t="s">
        <v>110</v>
      </c>
      <c r="F65" s="18" t="str">
        <f>HYPERLINK("https://youtu.be/HavrBXiXlr4?t=146",'Players&gt;List'!$B16)</f>
        <v>[GEA]</v>
      </c>
      <c r="G65" s="1"/>
      <c r="H65" s="1"/>
      <c r="I65" s="1"/>
      <c r="J65" s="1"/>
      <c r="K65" s="1"/>
      <c r="L65" s="1"/>
      <c r="M65" s="1"/>
      <c r="N65" s="1"/>
    </row>
    <row r="66">
      <c r="A66" s="1"/>
      <c r="B66" s="25" t="s">
        <v>131</v>
      </c>
      <c r="E66" s="26" t="s">
        <v>132</v>
      </c>
      <c r="F66" s="18" t="str">
        <f>HYPERLINK("https://youtu.be/HavrBXiXlr4?t=158",'Players&gt;List'!$B16)</f>
        <v>[GEA]</v>
      </c>
      <c r="G66" s="1"/>
      <c r="H66" s="1"/>
      <c r="I66" s="1"/>
      <c r="J66" s="1"/>
      <c r="K66" s="1"/>
      <c r="L66" s="1"/>
      <c r="M66" s="1"/>
      <c r="N66" s="1"/>
    </row>
    <row r="67">
      <c r="A67" s="1"/>
      <c r="B67" s="14" t="s">
        <v>418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4"/>
    </row>
    <row r="68">
      <c r="A68" s="1"/>
      <c r="B68" s="4" t="s">
        <v>419</v>
      </c>
      <c r="D68" s="9"/>
      <c r="E68" s="17" t="s">
        <v>14</v>
      </c>
      <c r="F68" s="18" t="str">
        <f>HYPERLINK("https://youtu.be/HavrBXiXlr4?t=177",'Players&gt;List'!$B16)</f>
        <v>[GEA]</v>
      </c>
      <c r="G68" s="1"/>
      <c r="H68" s="1"/>
      <c r="I68" s="1"/>
      <c r="J68" s="1"/>
      <c r="K68" s="1"/>
      <c r="L68" s="1"/>
      <c r="M68" s="1"/>
      <c r="N68" s="1"/>
    </row>
    <row r="69">
      <c r="A69" s="1"/>
      <c r="B69" s="25" t="s">
        <v>422</v>
      </c>
      <c r="E69" s="26" t="s">
        <v>110</v>
      </c>
      <c r="F69" s="18" t="str">
        <f>HYPERLINK("https://www.youtube.com/watch?v=PIp3NahUDBo",'Players&gt;List'!$B23)</f>
        <v>[MOL]</v>
      </c>
      <c r="G69" s="18" t="str">
        <f>HYPERLINK("https://www.youtube.com/watch?v=8jwapyiU9d8&amp;index=210&amp;t=0s&amp;list=PLbU6uWaIKemqNvTeRxK-Ay6PRg9iwCKVi",'Players&gt;List'!$B19)</f>
        <v>[HIT]</v>
      </c>
      <c r="H69" s="18" t="str">
        <f>HYPERLINK("https://youtu.be/HavrBXiXlr4?t=280",'Players&gt;List'!$B16)</f>
        <v>[GEA]</v>
      </c>
      <c r="I69" s="1"/>
      <c r="J69" s="1"/>
      <c r="K69" s="1"/>
      <c r="L69" s="1"/>
      <c r="M69" s="1"/>
      <c r="N69" s="1"/>
    </row>
    <row r="70">
      <c r="A70" s="1"/>
      <c r="B70" s="25" t="s">
        <v>387</v>
      </c>
      <c r="E70" s="26" t="s">
        <v>132</v>
      </c>
      <c r="F70" s="18" t="str">
        <f>HYPERLINK("https://youtu.be/HavrBXiXlr4?t=458",'Players&gt;List'!$B16)</f>
        <v>[GEA]</v>
      </c>
      <c r="G70" s="1"/>
      <c r="H70" s="1"/>
      <c r="I70" s="1"/>
      <c r="J70" s="1"/>
      <c r="K70" s="1"/>
      <c r="L70" s="1"/>
      <c r="M70" s="1"/>
      <c r="N70" s="1"/>
    </row>
    <row r="71">
      <c r="A71" s="1"/>
      <c r="B71" s="14" t="s">
        <v>431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4"/>
    </row>
    <row r="72">
      <c r="A72" s="1"/>
      <c r="B72" s="4" t="s">
        <v>434</v>
      </c>
      <c r="D72" s="9"/>
      <c r="E72" s="17" t="s">
        <v>14</v>
      </c>
      <c r="F72" s="18" t="str">
        <f>HYPERLINK("https://youtu.be/GjQfaRzD9Z0?t=470",'Players&gt;List'!$B10)</f>
        <v>[CAM]</v>
      </c>
      <c r="G72" s="18" t="str">
        <f>HYPERLINK("https://youtu.be/HavrBXiXlr4?t=495",'Players&gt;List'!$B16)</f>
        <v>[GEA]</v>
      </c>
      <c r="H72" s="1"/>
      <c r="I72" s="1"/>
      <c r="J72" s="1"/>
      <c r="K72" s="1"/>
      <c r="L72" s="1"/>
      <c r="M72" s="1"/>
      <c r="N72" s="1"/>
    </row>
    <row r="73">
      <c r="A73" s="1"/>
      <c r="B73" s="25" t="s">
        <v>439</v>
      </c>
      <c r="E73" s="26" t="s">
        <v>110</v>
      </c>
      <c r="F73" s="18" t="str">
        <f>HYPERLINK("https://youtu.be/HavrBXiXlr4?t=519",'Players&gt;List'!$B16)</f>
        <v>[GEA]</v>
      </c>
      <c r="G73" s="1"/>
      <c r="H73" s="1"/>
      <c r="I73" s="1"/>
      <c r="J73" s="1"/>
      <c r="K73" s="1"/>
      <c r="L73" s="1"/>
      <c r="M73" s="1"/>
      <c r="N73" s="1"/>
    </row>
    <row r="74">
      <c r="A74" s="1"/>
      <c r="B74" s="25" t="s">
        <v>88</v>
      </c>
      <c r="E74" s="26" t="s">
        <v>147</v>
      </c>
      <c r="F74" s="18" t="str">
        <f>HYPERLINK("https://youtu.be/HavrBXiXlr4?t=550",'Players&gt;List'!$B16)</f>
        <v>[GEA]</v>
      </c>
      <c r="G74" s="1"/>
      <c r="H74" s="1"/>
      <c r="I74" s="1"/>
      <c r="J74" s="1"/>
      <c r="K74" s="1"/>
      <c r="L74" s="1"/>
      <c r="M74" s="1"/>
      <c r="N74" s="1"/>
    </row>
    <row r="75">
      <c r="A75" s="1"/>
      <c r="B75" s="25" t="s">
        <v>444</v>
      </c>
      <c r="E75" s="26" t="s">
        <v>147</v>
      </c>
      <c r="F75" s="18" t="str">
        <f>HYPERLINK("https://youtu.be/HavrBXiXlr4?t=577",'Players&gt;List'!$B16)</f>
        <v>[GEA]</v>
      </c>
      <c r="G75" s="1"/>
      <c r="H75" s="1"/>
      <c r="I75" s="1"/>
      <c r="J75" s="1"/>
      <c r="K75" s="1"/>
      <c r="L75" s="1"/>
      <c r="M75" s="1"/>
      <c r="N75" s="1"/>
    </row>
    <row r="76">
      <c r="A76" s="1"/>
      <c r="B76" s="14" t="s">
        <v>447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451</v>
      </c>
      <c r="D77" s="9"/>
      <c r="E77" s="17" t="s">
        <v>14</v>
      </c>
      <c r="F77" s="18" t="str">
        <f>HYPERLINK("https://youtu.be/HavrBXiXlr4?t=603",'Players&gt;List'!$B16)</f>
        <v>[GEA]</v>
      </c>
      <c r="G77" s="1"/>
      <c r="H77" s="1"/>
      <c r="I77" s="1"/>
      <c r="J77" s="1"/>
      <c r="K77" s="1"/>
      <c r="L77" s="1"/>
      <c r="M77" s="1"/>
      <c r="N77" s="1"/>
    </row>
    <row r="78">
      <c r="A78" s="1"/>
      <c r="B78" s="25" t="s">
        <v>117</v>
      </c>
      <c r="E78" s="26" t="s">
        <v>110</v>
      </c>
      <c r="F78" s="18" t="str">
        <f>HYPERLINK("https://www.youtube.com/watch?v=y4pye5z-JCU",'Players&gt;List'!$B8)</f>
        <v>[ABA]</v>
      </c>
      <c r="G78" s="18" t="str">
        <f>HYPERLINK("https://youtu.be/HavrBXiXlr4?t=653",'Players&gt;List'!$B16)</f>
        <v>[GEA]</v>
      </c>
      <c r="H78" s="1"/>
      <c r="I78" s="1"/>
      <c r="J78" s="1"/>
      <c r="K78" s="1"/>
      <c r="L78" s="1"/>
      <c r="M78" s="1"/>
      <c r="N78" s="1"/>
    </row>
    <row r="79">
      <c r="A79" s="1"/>
      <c r="B79" s="25" t="s">
        <v>444</v>
      </c>
      <c r="E79" s="26" t="s">
        <v>147</v>
      </c>
      <c r="F79" s="18" t="str">
        <f>HYPERLINK("https://youtu.be/HavrBXiXlr4?t=741",'Players&gt;List'!$B16)</f>
        <v>[GEA]</v>
      </c>
      <c r="G79" s="1"/>
      <c r="H79" s="1"/>
      <c r="I79" s="1"/>
      <c r="J79" s="1"/>
      <c r="K79" s="1"/>
      <c r="L79" s="1"/>
      <c r="M79" s="1"/>
      <c r="N79" s="1"/>
    </row>
    <row r="80">
      <c r="A80" s="1"/>
      <c r="B80" s="25" t="s">
        <v>157</v>
      </c>
      <c r="E80" s="26" t="s">
        <v>132</v>
      </c>
      <c r="F80" s="18" t="str">
        <f>HYPERLINK("https://youtu.be/GjQfaRzD9Z0?t=689",'Players&gt;List'!$B10)</f>
        <v>[CAM]</v>
      </c>
      <c r="G80" s="18" t="str">
        <f>HYPERLINK("https://www.youtube.com/watch?v=CcVHBC5cckM",'Players&gt;List'!$B28)</f>
        <v>[SUN]</v>
      </c>
      <c r="H80" s="18" t="str">
        <f>HYPERLINK("https://youtu.be/HavrBXiXlr4?t=781",'Players&gt;List'!$B16)</f>
        <v>[GEA]</v>
      </c>
      <c r="I80" s="1"/>
      <c r="J80" s="1"/>
      <c r="K80" s="1"/>
      <c r="L80" s="1"/>
      <c r="M80" s="1"/>
      <c r="N80" s="1"/>
    </row>
    <row r="81">
      <c r="A81" s="1"/>
      <c r="B81" s="14" t="s">
        <v>472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4"/>
    </row>
    <row r="82">
      <c r="A82" s="1"/>
      <c r="B82" s="4" t="s">
        <v>474</v>
      </c>
      <c r="D82" s="9"/>
      <c r="E82" s="17" t="s">
        <v>14</v>
      </c>
      <c r="F82" s="18" t="str">
        <f>HYPERLINK("https://youtu.be/GjQfaRzD9Z0?t=772",'Players&gt;List'!$B10)</f>
        <v>[CAM]</v>
      </c>
      <c r="G82" s="18" t="str">
        <f>HYPERLINK("https://www.youtube.com/watch?v=OkFePehMwhQ",'Players&gt;List'!$B16)</f>
        <v>[GEA]</v>
      </c>
      <c r="H82" s="1"/>
      <c r="I82" s="1"/>
      <c r="J82" s="1"/>
      <c r="K82" s="1"/>
      <c r="L82" s="1"/>
      <c r="M82" s="1"/>
      <c r="N82" s="1"/>
    </row>
    <row r="83">
      <c r="A83" s="1"/>
      <c r="B83" s="25" t="s">
        <v>157</v>
      </c>
      <c r="E83" s="26" t="s">
        <v>110</v>
      </c>
      <c r="F83" s="18" t="str">
        <f>HYPERLINK("https://youtu.be/OkFePehMwhQ?t=13",'Players&gt;List'!$B16)</f>
        <v>[GEA]</v>
      </c>
      <c r="G83" s="1"/>
      <c r="H83" s="1"/>
      <c r="I83" s="1"/>
      <c r="J83" s="1"/>
      <c r="K83" s="1"/>
      <c r="L83" s="1"/>
      <c r="M83" s="1"/>
      <c r="N83" s="1"/>
    </row>
    <row r="84">
      <c r="A84" s="1"/>
      <c r="B84" s="14" t="s">
        <v>483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4"/>
    </row>
    <row r="85">
      <c r="A85" s="1"/>
      <c r="B85" s="4" t="s">
        <v>486</v>
      </c>
      <c r="D85" s="9"/>
      <c r="E85" s="17" t="s">
        <v>14</v>
      </c>
      <c r="F85" s="18" t="str">
        <f>HYPERLINK("https://youtu.be/GjQfaRzD9Z0?t=834",'Players&gt;List'!$B10)</f>
        <v>[CAM]</v>
      </c>
      <c r="G85" s="18" t="str">
        <f>HYPERLINK("https://youtu.be/OkFePehMwhQ?t=25",'Players&gt;List'!$B16)</f>
        <v>[GEA]</v>
      </c>
      <c r="H85" s="1"/>
      <c r="I85" s="1"/>
      <c r="J85" s="1"/>
      <c r="K85" s="1"/>
      <c r="L85" s="1"/>
      <c r="M85" s="1"/>
      <c r="N85" s="1"/>
    </row>
    <row r="86">
      <c r="A86" s="1"/>
      <c r="B86" s="25" t="s">
        <v>117</v>
      </c>
      <c r="E86" s="26" t="s">
        <v>110</v>
      </c>
      <c r="F86" s="18" t="str">
        <f>HYPERLINK("https://youtu.be/OkFePehMwhQ?t=64",'Players&gt;List'!$B16)</f>
        <v>[GEA]</v>
      </c>
      <c r="G86" s="1"/>
      <c r="H86" s="1"/>
      <c r="I86" s="1"/>
      <c r="J86" s="1"/>
      <c r="K86" s="1"/>
      <c r="L86" s="1"/>
      <c r="M86" s="1"/>
      <c r="N86" s="1"/>
    </row>
    <row r="87">
      <c r="A87" s="1"/>
      <c r="B87" s="25" t="s">
        <v>149</v>
      </c>
      <c r="E87" s="26" t="s">
        <v>147</v>
      </c>
      <c r="F87" s="18" t="str">
        <f>HYPERLINK("https://youtu.be/OkFePehMwhQ?t=105",'Players&gt;List'!$B16)</f>
        <v>[GEA]</v>
      </c>
      <c r="G87" s="1"/>
      <c r="H87" s="1"/>
      <c r="I87" s="1"/>
      <c r="J87" s="1"/>
      <c r="K87" s="1"/>
      <c r="L87" s="1"/>
      <c r="M87" s="1"/>
      <c r="N87" s="1"/>
    </row>
    <row r="88">
      <c r="A88" s="1"/>
      <c r="B88" s="14" t="s">
        <v>497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500</v>
      </c>
      <c r="D89" s="9"/>
      <c r="E89" s="17" t="s">
        <v>14</v>
      </c>
      <c r="F89" s="18" t="str">
        <f>HYPERLINK("https://youtu.be/GjQfaRzD9Z0?t=896",'Players&gt;List'!$B10)</f>
        <v>[CAM]</v>
      </c>
      <c r="G89" s="18" t="str">
        <f>HYPERLINK("https://youtu.be/OkFePehMwhQ?t=131",'Players&gt;List'!$B16)</f>
        <v>[GEA]</v>
      </c>
      <c r="H89" s="1"/>
      <c r="I89" s="1"/>
      <c r="J89" s="1"/>
      <c r="K89" s="1"/>
      <c r="L89" s="1"/>
      <c r="M89" s="1"/>
      <c r="N89" s="1"/>
    </row>
    <row r="90">
      <c r="A90" s="1"/>
      <c r="B90" s="25" t="s">
        <v>149</v>
      </c>
      <c r="E90" s="26" t="s">
        <v>90</v>
      </c>
      <c r="F90" s="18" t="str">
        <f>HYPERLINK("https://youtu.be/OkFePehMwhQ?t=161",'Players&gt;List'!$B16)</f>
        <v>[GEA]</v>
      </c>
      <c r="G90" s="1"/>
      <c r="H90" s="1"/>
      <c r="I90" s="1"/>
      <c r="J90" s="1"/>
      <c r="K90" s="1"/>
      <c r="L90" s="1"/>
      <c r="M90" s="1"/>
      <c r="N90" s="1"/>
    </row>
    <row r="91">
      <c r="A91" s="1"/>
      <c r="B91" s="25" t="s">
        <v>88</v>
      </c>
      <c r="E91" s="26" t="s">
        <v>147</v>
      </c>
      <c r="F91" s="18" t="str">
        <f>HYPERLINK("https://youtu.be/OkFePehMwhQ?t=233",'Players&gt;List'!$B16)</f>
        <v>[GEA]</v>
      </c>
      <c r="G91" s="1"/>
      <c r="H91" s="1"/>
      <c r="I91" s="1"/>
      <c r="J91" s="1"/>
      <c r="K91" s="1"/>
      <c r="L91" s="1"/>
      <c r="M91" s="1"/>
      <c r="N91" s="1"/>
    </row>
    <row r="92">
      <c r="A92" s="1"/>
      <c r="B92" s="14" t="s">
        <v>508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4"/>
    </row>
    <row r="93">
      <c r="A93" s="1"/>
      <c r="B93" s="4" t="s">
        <v>512</v>
      </c>
      <c r="D93" s="9"/>
      <c r="E93" s="17" t="s">
        <v>14</v>
      </c>
      <c r="F93" s="18" t="str">
        <f>HYPERLINK("https://youtu.be/GjQfaRzD9Z0?t=990",'Players&gt;List'!$B10)</f>
        <v>[CAM]</v>
      </c>
      <c r="G93" s="18" t="str">
        <f>HYPERLINK("https://youtu.be/OkFePehMwhQ?t=255",'Players&gt;List'!$B16)</f>
        <v>[GEA]</v>
      </c>
      <c r="H93" s="1"/>
      <c r="I93" s="1"/>
      <c r="J93" s="1"/>
      <c r="K93" s="1"/>
      <c r="L93" s="1"/>
      <c r="M93" s="1"/>
      <c r="N93" s="1"/>
    </row>
    <row r="94">
      <c r="A94" s="1"/>
      <c r="B94" s="25" t="s">
        <v>88</v>
      </c>
      <c r="E94" s="26" t="s">
        <v>90</v>
      </c>
      <c r="F94" s="18" t="str">
        <f>HYPERLINK("https://youtu.be/OkFePehMwhQ?t=276",'Players&gt;List'!$B16)</f>
        <v>[GEA]</v>
      </c>
      <c r="G94" s="1"/>
      <c r="H94" s="1"/>
      <c r="I94" s="1"/>
      <c r="J94" s="1"/>
      <c r="K94" s="1"/>
      <c r="L94" s="1"/>
      <c r="M94" s="1"/>
      <c r="N94" s="1"/>
    </row>
    <row r="95">
      <c r="A95" s="1"/>
      <c r="B95" s="25" t="s">
        <v>108</v>
      </c>
      <c r="E95" s="26" t="s">
        <v>132</v>
      </c>
      <c r="F95" s="18" t="str">
        <f>HYPERLINK("https://www.youtube.com/watch?v=hNgsy8ogqmA",'Players&gt;List'!$B18)</f>
        <v>[HGB]</v>
      </c>
      <c r="G95" s="18" t="str">
        <f>HYPERLINK("https://youtu.be/OkFePehMwhQ?t=290",'Players&gt;List'!$B16)</f>
        <v>[GEA]</v>
      </c>
      <c r="H95" s="1"/>
      <c r="I95" s="1"/>
      <c r="J95" s="1"/>
      <c r="K95" s="1"/>
      <c r="L95" s="1"/>
      <c r="M95" s="1"/>
      <c r="N95" s="1"/>
    </row>
    <row r="96">
      <c r="A96" s="1"/>
      <c r="B96" s="14" t="s">
        <v>526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530</v>
      </c>
      <c r="D97" s="9"/>
      <c r="E97" s="17" t="s">
        <v>14</v>
      </c>
      <c r="F97" s="18" t="str">
        <f>HYPERLINK("https://youtu.be/GjQfaRzD9Z0?t=1580",'Players&gt;List'!$B10)</f>
        <v>[CAM]</v>
      </c>
      <c r="G97" s="18" t="str">
        <f>HYPERLINK("https://youtu.be/OkFePehMwhQ?t=310",'Players&gt;List'!$B16)</f>
        <v>[GEA]</v>
      </c>
      <c r="H97" s="1"/>
      <c r="I97" s="1"/>
      <c r="J97" s="1"/>
      <c r="K97" s="1"/>
      <c r="L97" s="1"/>
      <c r="M97" s="1"/>
      <c r="N97" s="1"/>
    </row>
    <row r="98">
      <c r="A98" s="1"/>
      <c r="B98" s="25" t="s">
        <v>422</v>
      </c>
      <c r="E98" s="26" t="s">
        <v>110</v>
      </c>
      <c r="F98" s="18" t="str">
        <f>HYPERLINK("https://youtu.be/OkFePehMwhQ?t=330",'Players&gt;List'!$B16)</f>
        <v>[GEA]</v>
      </c>
      <c r="G98" s="1"/>
      <c r="H98" s="1"/>
      <c r="I98" s="1"/>
      <c r="J98" s="1"/>
      <c r="K98" s="1"/>
      <c r="L98" s="1"/>
      <c r="M98" s="1"/>
      <c r="N98" s="1"/>
    </row>
    <row r="99">
      <c r="A99" s="1"/>
      <c r="B99" s="14" t="s">
        <v>535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4"/>
    </row>
    <row r="100">
      <c r="A100" s="1"/>
      <c r="B100" s="4" t="s">
        <v>538</v>
      </c>
      <c r="D100" s="9"/>
      <c r="E100" s="17" t="s">
        <v>14</v>
      </c>
      <c r="F100" s="18" t="str">
        <f>HYPERLINK("https://youtu.be/js8MOfaqZn8?list=PLf8rtzNQgkdDNyWJRPQUfB7PZ3nBUcI4_&amp;t=21",'Players&gt;List'!$B10)</f>
        <v>[CAM]</v>
      </c>
      <c r="G100" s="18" t="str">
        <f>HYPERLINK("https://www.youtube.com/watch?v=8_gy0oWrsUQ",'Players&gt;List'!$B16)</f>
        <v>[GEA]</v>
      </c>
      <c r="H100" s="1"/>
      <c r="I100" s="1"/>
      <c r="J100" s="1"/>
      <c r="K100" s="1"/>
      <c r="L100" s="1"/>
      <c r="M100" s="1"/>
      <c r="N100" s="1"/>
    </row>
    <row r="101">
      <c r="A101" s="1"/>
      <c r="B101" s="25" t="s">
        <v>88</v>
      </c>
      <c r="E101" s="26" t="s">
        <v>90</v>
      </c>
      <c r="F101" s="18" t="str">
        <f>HYPERLINK("https://www.youtube.com/watch?v=Grmn8aLSvEA",'Players&gt;List'!$B28)</f>
        <v>[SUN]</v>
      </c>
      <c r="G101" s="18" t="str">
        <f>HYPERLINK("https://youtu.be/8_gy0oWrsUQ?t=10",'Players&gt;List'!$B16)</f>
        <v>[GEA]</v>
      </c>
      <c r="H101" s="1"/>
      <c r="I101" s="1"/>
      <c r="J101" s="1"/>
      <c r="K101" s="1"/>
      <c r="L101" s="1"/>
      <c r="M101" s="1"/>
      <c r="N101" s="1"/>
    </row>
    <row r="102">
      <c r="A102" s="1"/>
      <c r="B102" s="14" t="s">
        <v>550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4"/>
    </row>
    <row r="103">
      <c r="A103" s="1"/>
      <c r="B103" s="4" t="s">
        <v>553</v>
      </c>
      <c r="D103" s="9"/>
      <c r="E103" s="17" t="s">
        <v>14</v>
      </c>
      <c r="F103" s="18" t="str">
        <f>HYPERLINK("https://youtu.be/js8MOfaqZn8?list=PLf8rtzNQgkdDNyWJRPQUfB7PZ3nBUcI4_&amp;t=57",'Players&gt;List'!$B10)</f>
        <v>[CAM]</v>
      </c>
      <c r="G103" s="18" t="str">
        <f>HYPERLINK("https://youtu.be/8_gy0oWrsUQ?t=23",'Players&gt;List'!$B16)</f>
        <v>[GEA]</v>
      </c>
      <c r="H103" s="1"/>
      <c r="I103" s="1"/>
      <c r="J103" s="1"/>
      <c r="K103" s="1"/>
      <c r="L103" s="1"/>
      <c r="M103" s="1"/>
      <c r="N103" s="1"/>
    </row>
    <row r="104">
      <c r="A104" s="1"/>
      <c r="B104" s="25" t="s">
        <v>117</v>
      </c>
      <c r="E104" s="26" t="s">
        <v>110</v>
      </c>
      <c r="F104" s="18" t="str">
        <f>HYPERLINK("https://www.youtube.com/watch?v=vuvcZB4kxUg",'Players&gt;List'!$B28)</f>
        <v>[SUN]</v>
      </c>
      <c r="G104" s="18" t="str">
        <f>HYPERLINK("https://youtu.be/8_gy0oWrsUQ?t=41",'Players&gt;List'!$B16)</f>
        <v>[GEA]</v>
      </c>
      <c r="H104" s="1"/>
      <c r="I104" s="1"/>
      <c r="J104" s="1"/>
      <c r="K104" s="1"/>
      <c r="L104" s="1"/>
      <c r="M104" s="1"/>
      <c r="N104" s="1"/>
    </row>
    <row r="105">
      <c r="A105" s="1"/>
      <c r="B105" s="25" t="s">
        <v>149</v>
      </c>
      <c r="E105" s="26" t="s">
        <v>147</v>
      </c>
      <c r="F105" s="18" t="str">
        <f>HYPERLINK("https://youtu.be/8_gy0oWrsUQ?t=70",'Players&gt;List'!$B16)</f>
        <v>[GEA]</v>
      </c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25" t="s">
        <v>88</v>
      </c>
      <c r="E106" s="26" t="s">
        <v>147</v>
      </c>
      <c r="F106" s="18" t="str">
        <f>HYPERLINK("https://youtu.be/8_gy0oWrsUQ?t=92",'Players&gt;List'!$B16)</f>
        <v>[GEA]</v>
      </c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4" t="s">
        <v>570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4"/>
    </row>
    <row r="108">
      <c r="A108" s="1"/>
      <c r="B108" s="4" t="s">
        <v>573</v>
      </c>
      <c r="D108" s="9"/>
      <c r="E108" s="17" t="s">
        <v>14</v>
      </c>
      <c r="F108" s="18" t="str">
        <f>HYPERLINK("https://youtu.be/js8MOfaqZn8?list=PLf8rtzNQgkdDNyWJRPQUfB7PZ3nBUcI4_&amp;t=101",'Players&gt;List'!$B10)</f>
        <v>[CAM]</v>
      </c>
      <c r="G108" s="18" t="str">
        <f>HYPERLINK("https://youtu.be/8_gy0oWrsUQ?t=112",'Players&gt;List'!$B16)</f>
        <v>[GEA]</v>
      </c>
      <c r="H108" s="1"/>
      <c r="I108" s="1"/>
      <c r="J108" s="1"/>
      <c r="K108" s="1"/>
      <c r="L108" s="1"/>
      <c r="M108" s="1"/>
      <c r="N108" s="1"/>
    </row>
    <row r="109">
      <c r="A109" s="1"/>
      <c r="B109" s="25" t="s">
        <v>88</v>
      </c>
      <c r="E109" s="26" t="s">
        <v>90</v>
      </c>
      <c r="F109" s="18" t="str">
        <f>HYPERLINK("https://youtu.be/8_gy0oWrsUQ?t=127",'Players&gt;List'!$B16)</f>
        <v>[GEA]</v>
      </c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25" t="s">
        <v>157</v>
      </c>
      <c r="E110" s="26" t="s">
        <v>132</v>
      </c>
      <c r="F110" s="18" t="str">
        <f>HYPERLINK("https://youtu.be/8_gy0oWrsUQ?t=145",'Players&gt;List'!$B16)</f>
        <v>[GEA]</v>
      </c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25" t="s">
        <v>149</v>
      </c>
      <c r="E111" s="26" t="s">
        <v>147</v>
      </c>
      <c r="F111" s="18" t="str">
        <f>HYPERLINK("https://www.youtube.com/watch?v=dTouTolPc7s",'Players&gt;List'!$B32)</f>
        <v>[XEL]</v>
      </c>
      <c r="G111" s="18" t="str">
        <f>HYPERLINK("https://www.youtube.com/watch?v=_f59Bavm-co",'Players&gt;List'!$B8)</f>
        <v>[ABA]</v>
      </c>
      <c r="H111" s="18" t="str">
        <f>HYPERLINK("https://www.youtube.com/watch?v=6vjgB3Keqao&amp;index=263&amp;list=PLbU6uWaIKemqNvTeRxK-Ay6PRg9iwCKVi&amp;t=0s",'Players&gt;List'!$B19)</f>
        <v>[HIT]</v>
      </c>
      <c r="I111" s="18" t="str">
        <f>HYPERLINK("https://www.youtube.com/watch?v=KMOKuH1bwc0",'Players&gt;List'!$B15)</f>
        <v>[FNY]</v>
      </c>
      <c r="J111" s="18" t="str">
        <f>HYPERLINK("https://youtu.be/8_gy0oWrsUQ?t=164",'Players&gt;List'!$B16)</f>
        <v>[GEA]</v>
      </c>
      <c r="K111" s="1"/>
      <c r="L111" s="1"/>
      <c r="M111" s="1"/>
      <c r="N111" s="1"/>
    </row>
    <row r="112">
      <c r="A112" s="1"/>
      <c r="B112" s="14" t="s">
        <v>588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4"/>
    </row>
    <row r="113">
      <c r="A113" s="1"/>
      <c r="B113" s="4" t="s">
        <v>592</v>
      </c>
      <c r="D113" s="9"/>
      <c r="E113" s="17" t="s">
        <v>14</v>
      </c>
      <c r="F113" s="18" t="str">
        <f>HYPERLINK("https://youtu.be/js8MOfaqZn8?list=PLf8rtzNQgkdDNyWJRPQUfB7PZ3nBUcI4_&amp;t=175",'Players&gt;List'!$B10)</f>
        <v>[CAM]</v>
      </c>
      <c r="G113" s="18" t="str">
        <f>HYPERLINK("https://youtu.be/8_gy0oWrsUQ?t=300",'Players&gt;List'!$B16)</f>
        <v>[GEA]</v>
      </c>
      <c r="H113" s="1"/>
      <c r="I113" s="1"/>
      <c r="J113" s="1"/>
      <c r="K113" s="1"/>
      <c r="L113" s="1"/>
      <c r="M113" s="1"/>
      <c r="N113" s="1"/>
    </row>
    <row r="114">
      <c r="A114" s="1"/>
      <c r="B114" s="25" t="s">
        <v>88</v>
      </c>
      <c r="E114" s="26" t="s">
        <v>90</v>
      </c>
      <c r="F114" s="18" t="str">
        <f>HYPERLINK("https://www.youtube.com/watch?v=i5lOKLAFRL4",'Players&gt;List'!$B28)</f>
        <v>[SUN]</v>
      </c>
      <c r="G114" s="18" t="str">
        <f>HYPERLINK("https://youtu.be/8_gy0oWrsUQ?t=315",'Players&gt;List'!$B16)</f>
        <v>[GEA]</v>
      </c>
      <c r="H114" s="1"/>
      <c r="I114" s="1"/>
      <c r="J114" s="1"/>
      <c r="K114" s="1"/>
      <c r="L114" s="1"/>
      <c r="M114" s="1"/>
      <c r="N114" s="1"/>
    </row>
    <row r="115">
      <c r="A115" s="1"/>
      <c r="B115" s="14" t="s">
        <v>604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4"/>
    </row>
    <row r="116">
      <c r="A116" s="1"/>
      <c r="B116" s="4" t="s">
        <v>606</v>
      </c>
      <c r="D116" s="9"/>
      <c r="E116" s="17" t="s">
        <v>14</v>
      </c>
      <c r="F116" s="18" t="str">
        <f>HYPERLINK("https://youtu.be/js8MOfaqZn8?list=PLf8rtzNQgkdDNyWJRPQUfB7PZ3nBUcI4_&amp;t=220",'Players&gt;List'!$B10)</f>
        <v>[CAM]</v>
      </c>
      <c r="G116" s="18" t="str">
        <f>HYPERLINK("https://youtu.be/8_gy0oWrsUQ?t=330",'Players&gt;List'!$B16)</f>
        <v>[GEA]</v>
      </c>
      <c r="H116" s="1"/>
      <c r="I116" s="1"/>
      <c r="J116" s="1"/>
      <c r="K116" s="1"/>
      <c r="L116" s="1"/>
      <c r="M116" s="1"/>
      <c r="N116" s="1"/>
    </row>
    <row r="117">
      <c r="A117" s="1"/>
      <c r="B117" s="25" t="s">
        <v>117</v>
      </c>
      <c r="E117" s="26" t="s">
        <v>110</v>
      </c>
      <c r="F117" s="18" t="str">
        <f>HYPERLINK("https://youtu.be/8_gy0oWrsUQ?t=368",'Players&gt;List'!$B16)</f>
        <v>[GEA]</v>
      </c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614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4"/>
    </row>
    <row r="119">
      <c r="A119" s="1"/>
      <c r="B119" s="4" t="s">
        <v>616</v>
      </c>
      <c r="D119" s="9"/>
      <c r="E119" s="17" t="s">
        <v>14</v>
      </c>
      <c r="F119" s="18" t="str">
        <f>HYPERLINK("https://youtu.be/js8MOfaqZn8?list=PLf8rtzNQgkdDNyWJRPQUfB7PZ3nBUcI4_&amp;t=263",'Players&gt;List'!$B10)</f>
        <v>[CAM]</v>
      </c>
      <c r="G119" s="18" t="str">
        <f>HYPERLINK("https://www.youtube.com/watch?v=4VwgkCvfF0g",'Players&gt;List'!$B29)</f>
        <v>[SYS]</v>
      </c>
      <c r="H119" s="18" t="str">
        <f>HYPERLINK("https://www.youtube.com/watch?v=PbUuMnWtZbk",'Players&gt;List'!$B16)</f>
        <v>[GEA]</v>
      </c>
      <c r="I119" s="1"/>
      <c r="J119" s="1"/>
      <c r="K119" s="1"/>
      <c r="L119" s="1"/>
      <c r="M119" s="1"/>
      <c r="N119" s="1"/>
    </row>
    <row r="120">
      <c r="A120" s="1"/>
      <c r="B120" s="25" t="s">
        <v>88</v>
      </c>
      <c r="E120" s="26" t="s">
        <v>90</v>
      </c>
      <c r="F120" s="18" t="str">
        <f>HYPERLINK("https://youtu.be/PbUuMnWtZbk?t=7",'Players&gt;List'!$B16)</f>
        <v>[GEA]</v>
      </c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4" t="s">
        <v>627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4"/>
    </row>
    <row r="122">
      <c r="A122" s="1"/>
      <c r="B122" s="4" t="s">
        <v>630</v>
      </c>
      <c r="D122" s="9"/>
      <c r="E122" s="17" t="s">
        <v>14</v>
      </c>
      <c r="F122" s="18" t="str">
        <f>HYPERLINK("https://youtu.be/js8MOfaqZn8?list=PLf8rtzNQgkdDNyWJRPQUfB7PZ3nBUcI4_&amp;t=279",'Players&gt;List'!$B10)</f>
        <v>[CAM]</v>
      </c>
      <c r="G122" s="18" t="str">
        <f>HYPERLINK("https://youtu.be/4VwgkCvfF0g?t=14s",'Players&gt;List'!$B29)</f>
        <v>[SYS]</v>
      </c>
      <c r="H122" s="18" t="str">
        <f>HYPERLINK("https://youtu.be/PbUuMnWtZbk?t=21",'Players&gt;List'!$B16)</f>
        <v>[GEA]</v>
      </c>
      <c r="I122" s="1"/>
      <c r="J122" s="1"/>
      <c r="K122" s="1"/>
      <c r="L122" s="1"/>
      <c r="M122" s="1"/>
      <c r="N122" s="1"/>
    </row>
    <row r="123">
      <c r="A123" s="1"/>
      <c r="B123" s="25" t="s">
        <v>88</v>
      </c>
      <c r="E123" s="26" t="s">
        <v>90</v>
      </c>
      <c r="F123" s="18" t="str">
        <f>HYPERLINK("https://youtu.be/PbUuMnWtZbk?t=42",'Players&gt;List'!$B16)</f>
        <v>[GEA]</v>
      </c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4" t="s">
        <v>640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4"/>
    </row>
    <row r="125">
      <c r="A125" s="1"/>
      <c r="B125" s="4" t="s">
        <v>643</v>
      </c>
      <c r="D125" s="9"/>
      <c r="E125" s="17" t="s">
        <v>14</v>
      </c>
      <c r="F125" s="28" t="str">
        <f>HYPERLINK("https://youtu.be/js8MOfaqZn8?list=PLf8rtzNQgkdDNyWJRPQUfB7PZ3nBUcI4_&amp;t=309",'Players&gt;List'!$B10)</f>
        <v>[CAM]</v>
      </c>
      <c r="G125" s="28" t="str">
        <f>HYPERLINK("https://youtu.be/4VwgkCvfF0g?t=44s",'Players&gt;List'!$B29)</f>
        <v>[SYS]</v>
      </c>
      <c r="H125" s="28" t="str">
        <f>HYPERLINK("https://youtu.be/PbUuMnWtZbk?t=81",'Players&gt;List'!$B16)</f>
        <v>[GEA]</v>
      </c>
      <c r="I125" s="1"/>
      <c r="J125" s="1"/>
      <c r="K125" s="1"/>
      <c r="L125" s="1"/>
      <c r="M125" s="1"/>
      <c r="N125" s="1"/>
    </row>
    <row r="126">
      <c r="A126" s="1"/>
      <c r="B126" s="25" t="s">
        <v>649</v>
      </c>
      <c r="E126" s="26" t="s">
        <v>90</v>
      </c>
      <c r="F126" s="28" t="str">
        <f>HYPERLINK("https://youtu.be/PbUuMnWtZbk?t=96",'Players&gt;List'!$B16)</f>
        <v>[GEA]</v>
      </c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25" t="s">
        <v>88</v>
      </c>
      <c r="E127" s="26" t="s">
        <v>147</v>
      </c>
      <c r="F127" s="28" t="str">
        <f>HYPERLINK("https://youtu.be/PbUuMnWtZbk?t=129",'Players&gt;List'!$B16)</f>
        <v>[GEA]</v>
      </c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25" t="s">
        <v>387</v>
      </c>
      <c r="E128" s="26" t="s">
        <v>132</v>
      </c>
      <c r="F128" s="28" t="str">
        <f>HYPERLINK("https://youtu.be/PbUuMnWtZbk?t=146",'Players&gt;List'!$B16)</f>
        <v>[GEA]</v>
      </c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4" t="s">
        <v>664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4"/>
    </row>
    <row r="130">
      <c r="A130" s="1"/>
      <c r="B130" s="4" t="s">
        <v>666</v>
      </c>
      <c r="D130" s="9"/>
      <c r="E130" s="17" t="s">
        <v>14</v>
      </c>
      <c r="F130" s="28" t="str">
        <f>HYPERLINK("https://youtu.be/js8MOfaqZn8?list=PLf8rtzNQgkdDNyWJRPQUfB7PZ3nBUcI4_&amp;t=336",'Players&gt;List'!$B10)</f>
        <v>[CAM]</v>
      </c>
      <c r="G130" s="28" t="str">
        <f>HYPERLINK("https://youtu.be/4VwgkCvfF0g?t=1m5s",'Players&gt;List'!$B29)</f>
        <v>[SYS]</v>
      </c>
      <c r="H130" s="28" t="str">
        <f>HYPERLINK("https://youtu.be/PbUuMnWtZbk?t=178",'Players&gt;List'!$B16)</f>
        <v>[GEA]</v>
      </c>
      <c r="I130" s="1"/>
      <c r="J130" s="1"/>
      <c r="K130" s="1"/>
      <c r="L130" s="1"/>
      <c r="M130" s="1"/>
      <c r="N130" s="1"/>
    </row>
    <row r="131">
      <c r="A131" s="1"/>
      <c r="B131" s="25" t="s">
        <v>675</v>
      </c>
      <c r="E131" s="26" t="s">
        <v>234</v>
      </c>
      <c r="F131" s="28" t="str">
        <f>HYPERLINK("https://youtu.be/PbUuMnWtZbk?t=223",'Players&gt;List'!$B16)</f>
        <v>[GEA]</v>
      </c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4" t="s">
        <v>680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4"/>
    </row>
    <row r="133">
      <c r="A133" s="1"/>
      <c r="B133" s="4" t="s">
        <v>682</v>
      </c>
      <c r="D133" s="9"/>
      <c r="E133" s="17" t="s">
        <v>14</v>
      </c>
      <c r="F133" s="28" t="str">
        <f>HYPERLINK("https://youtu.be/js8MOfaqZn8?list=PLf8rtzNQgkdDNyWJRPQUfB7PZ3nBUcI4_&amp;t=397",'Players&gt;List'!$B10)</f>
        <v>[CAM]</v>
      </c>
      <c r="G133" s="28" t="str">
        <f>HYPERLINK("https://youtu.be/4VwgkCvfF0g?t=2m7s",'Players&gt;List'!$B29)</f>
        <v>[SYS]</v>
      </c>
      <c r="H133" s="28" t="str">
        <f>HYPERLINK("https://youtu.be/PbUuMnWtZbk?t=296",'Players&gt;List'!$B16)</f>
        <v>[GEA]</v>
      </c>
      <c r="I133" s="1"/>
      <c r="J133" s="1"/>
      <c r="K133" s="1"/>
      <c r="L133" s="1"/>
      <c r="M133" s="1"/>
      <c r="N133" s="1"/>
    </row>
    <row r="134">
      <c r="A134" s="1"/>
      <c r="B134" s="25" t="s">
        <v>88</v>
      </c>
      <c r="E134" s="26" t="s">
        <v>90</v>
      </c>
      <c r="F134" s="28" t="str">
        <f>HYPERLINK("https://youtu.be/PbUuMnWtZbk?t=323",'Players&gt;List'!$B16)</f>
        <v>[GEA]</v>
      </c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4" t="s">
        <v>690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4"/>
    </row>
    <row r="136">
      <c r="A136" s="1"/>
      <c r="B136" s="4" t="s">
        <v>694</v>
      </c>
      <c r="D136" s="9"/>
      <c r="E136" s="17" t="s">
        <v>14</v>
      </c>
      <c r="F136" s="28" t="str">
        <f>HYPERLINK("https://youtu.be/js8MOfaqZn8?list=PLf8rtzNQgkdDNyWJRPQUfB7PZ3nBUcI4_&amp;t=463",'Players&gt;List'!$B10)</f>
        <v>[CAM]</v>
      </c>
      <c r="G136" s="28" t="str">
        <f>HYPERLINK("https://youtu.be/TCdhXx5ah24",'Players&gt;List'!$B16)</f>
        <v>[GEA]</v>
      </c>
      <c r="H136" s="1"/>
      <c r="I136" s="1"/>
      <c r="J136" s="1"/>
      <c r="K136" s="1"/>
      <c r="L136" s="1"/>
      <c r="M136" s="1"/>
      <c r="N136" s="1"/>
    </row>
    <row r="137">
      <c r="A137" s="1"/>
      <c r="B137" s="25" t="s">
        <v>117</v>
      </c>
      <c r="E137" s="26" t="s">
        <v>110</v>
      </c>
      <c r="F137" s="18" t="str">
        <f>HYPERLINK("https://www.youtube.com/watch?v=Ynd59Fzvzwk",'Players&gt;List'!$B32)</f>
        <v>[XEL]</v>
      </c>
      <c r="G137" s="18" t="str">
        <f>HYPERLINK("https://www.youtube.com/watch?v=z1ikKxt8Ojs&amp;index=286&amp;list=PLbU6uWaIKemqNvTeRxK-Ay6PRg9iwCKVi&amp;t=0s",'Players&gt;List'!$B19)</f>
        <v>[HIT]</v>
      </c>
      <c r="H137" s="28" t="str">
        <f>HYPERLINK("https://youtu.be/TCdhXx5ah24?t=14",'Players&gt;List'!$B16)</f>
        <v>[GEA]</v>
      </c>
      <c r="I137" s="1"/>
      <c r="J137" s="1"/>
      <c r="K137" s="1"/>
      <c r="L137" s="1"/>
      <c r="M137" s="1"/>
      <c r="N137" s="1"/>
    </row>
    <row r="138">
      <c r="A138" s="1"/>
      <c r="B138" s="25" t="s">
        <v>88</v>
      </c>
      <c r="E138" s="26" t="s">
        <v>147</v>
      </c>
      <c r="F138" s="28" t="str">
        <f>HYPERLINK("https://youtu.be/TCdhXx5ah24?t=92",'Players&gt;List'!$B16)</f>
        <v>[GEA]</v>
      </c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25" t="s">
        <v>149</v>
      </c>
      <c r="E139" s="26" t="s">
        <v>147</v>
      </c>
      <c r="F139" s="28" t="str">
        <f>HYPERLINK("https://youtu.be/TCdhXx5ah24?t=102",'Players&gt;List'!$B16)</f>
        <v>[GEA]</v>
      </c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4" t="s">
        <v>711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4"/>
    </row>
    <row r="141">
      <c r="A141" s="1"/>
      <c r="B141" s="4" t="s">
        <v>714</v>
      </c>
      <c r="D141" s="9"/>
      <c r="E141" s="17" t="s">
        <v>14</v>
      </c>
      <c r="F141" s="28" t="str">
        <f>HYPERLINK("https://youtu.be/js8MOfaqZn8?list=PLf8rtzNQgkdDNyWJRPQUfB7PZ3nBUcI4_&amp;t=484",'Players&gt;List'!$B10)</f>
        <v>[CAM]</v>
      </c>
      <c r="G141" s="28" t="str">
        <f>HYPERLINK("https://youtu.be/TCdhXx5ah24?t=187",'Players&gt;List'!$B16)</f>
        <v>[GEA]</v>
      </c>
      <c r="H141" s="1"/>
      <c r="I141" s="1"/>
      <c r="J141" s="1"/>
      <c r="K141" s="1"/>
      <c r="L141" s="1"/>
      <c r="M141" s="1"/>
      <c r="N141" s="1"/>
    </row>
    <row r="142">
      <c r="A142" s="1"/>
      <c r="B142" s="25" t="s">
        <v>117</v>
      </c>
      <c r="E142" s="26" t="s">
        <v>110</v>
      </c>
      <c r="F142" s="28" t="str">
        <f>HYPERLINK("https://youtu.be/TCdhXx5ah24?t=208",'Players&gt;List'!$B16)</f>
        <v>[GEA]</v>
      </c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4" t="s">
        <v>721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4"/>
    </row>
    <row r="144">
      <c r="A144" s="1"/>
      <c r="B144" s="4" t="s">
        <v>723</v>
      </c>
      <c r="D144" s="9"/>
      <c r="E144" s="17" t="s">
        <v>14</v>
      </c>
      <c r="F144" s="28" t="str">
        <f>HYPERLINK("https://youtu.be/js8MOfaqZn8?list=PLf8rtzNQgkdDNyWJRPQUfB7PZ3nBUcI4_&amp;t=555",'Players&gt;List'!$B10)</f>
        <v>[CAM]</v>
      </c>
      <c r="G144" s="28" t="str">
        <f>HYPERLINK("https://youtu.be/TCdhXx5ah24?t=229",'Players&gt;List'!$B16)</f>
        <v>[GEA]</v>
      </c>
      <c r="H144" s="1"/>
      <c r="I144" s="1"/>
      <c r="J144" s="1"/>
      <c r="K144" s="1"/>
      <c r="L144" s="1"/>
      <c r="M144" s="1"/>
      <c r="N144" s="1"/>
    </row>
    <row r="145">
      <c r="A145" s="1"/>
      <c r="B145" s="25" t="s">
        <v>117</v>
      </c>
      <c r="E145" s="26" t="s">
        <v>110</v>
      </c>
      <c r="F145" s="28" t="str">
        <f>HYPERLINK("https://youtu.be/TCdhXx5ah24?t=246",'Players&gt;List'!$B16)</f>
        <v>[GEA]</v>
      </c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4" t="s">
        <v>730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4"/>
    </row>
    <row r="147">
      <c r="A147" s="1"/>
      <c r="B147" s="4" t="s">
        <v>733</v>
      </c>
      <c r="D147" s="9"/>
      <c r="E147" s="17" t="s">
        <v>14</v>
      </c>
      <c r="F147" s="28" t="str">
        <f>HYPERLINK("https://youtu.be/js8MOfaqZn8?list=PLf8rtzNQgkdDNyWJRPQUfB7PZ3nBUcI4_&amp;t=597",'Players&gt;List'!$B10)</f>
        <v>[CAM]</v>
      </c>
      <c r="G147" s="28" t="str">
        <f>HYPERLINK("https://youtu.be/TCdhXx5ah24?t=286",'Players&gt;List'!$B16)</f>
        <v>[GEA]</v>
      </c>
      <c r="H147" s="1"/>
      <c r="I147" s="1"/>
      <c r="J147" s="1"/>
      <c r="K147" s="1"/>
      <c r="L147" s="1"/>
      <c r="M147" s="1"/>
      <c r="N147" s="1"/>
    </row>
    <row r="148">
      <c r="A148" s="1"/>
      <c r="B148" s="25" t="s">
        <v>88</v>
      </c>
      <c r="E148" s="26" t="s">
        <v>90</v>
      </c>
      <c r="F148" s="28" t="str">
        <f>HYPERLINK("https://youtu.be/TCdhXx5ah24?t=299",'Players&gt;List'!$B16)</f>
        <v>[GEA]</v>
      </c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4" t="s">
        <v>740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4"/>
    </row>
    <row r="150">
      <c r="A150" s="1"/>
      <c r="B150" s="4" t="s">
        <v>742</v>
      </c>
      <c r="D150" s="9"/>
      <c r="E150" s="17" t="s">
        <v>14</v>
      </c>
      <c r="F150" s="28" t="str">
        <f>HYPERLINK("https://youtu.be/js8MOfaqZn8?list=PLf8rtzNQgkdDNyWJRPQUfB7PZ3nBUcI4_&amp;t=713",'Players&gt;List'!$B10)</f>
        <v>[CAM]</v>
      </c>
      <c r="G150" s="28" t="str">
        <f>HYPERLINK("https://youtu.be/TCdhXx5ah24?t=309",'Players&gt;List'!$B16)</f>
        <v>[GEA]</v>
      </c>
      <c r="H150" s="1"/>
      <c r="I150" s="1"/>
      <c r="J150" s="1"/>
      <c r="K150" s="1"/>
      <c r="L150" s="1"/>
      <c r="M150" s="1"/>
      <c r="N150" s="1"/>
    </row>
    <row r="151">
      <c r="A151" s="1"/>
      <c r="B151" s="25" t="s">
        <v>117</v>
      </c>
      <c r="E151" s="26" t="s">
        <v>110</v>
      </c>
      <c r="F151" s="28" t="str">
        <f>HYPERLINK("https://youtu.be/TCdhXx5ah24?t=347",'Players&gt;List'!$B16)</f>
        <v>[GEA]</v>
      </c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4" t="s">
        <v>747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4"/>
    </row>
    <row r="153">
      <c r="A153" s="1"/>
      <c r="B153" s="4" t="s">
        <v>750</v>
      </c>
      <c r="D153" s="9"/>
      <c r="E153" s="17" t="s">
        <v>14</v>
      </c>
      <c r="F153" s="28" t="str">
        <f>HYPERLINK("https://youtu.be/37Z2MqvRj8U?t=75",'Players&gt;List'!$B10)</f>
        <v>[CAM]</v>
      </c>
      <c r="G153" s="28" t="str">
        <f>HYPERLINK("https://www.youtube.com/watch?v=UE8dunH6zaY&amp;t=1s",'Players&gt;List'!$B16)</f>
        <v>[GEA]</v>
      </c>
      <c r="H153" s="1"/>
      <c r="I153" s="1"/>
      <c r="J153" s="1"/>
      <c r="K153" s="1"/>
      <c r="L153" s="1"/>
      <c r="M153" s="1"/>
      <c r="N153" s="1"/>
    </row>
    <row r="154">
      <c r="A154" s="1"/>
      <c r="B154" s="25" t="s">
        <v>117</v>
      </c>
      <c r="E154" s="26" t="s">
        <v>110</v>
      </c>
      <c r="F154" s="28" t="str">
        <f>HYPERLINK("https://www.youtube.com/watch?v=UE8dunH6zaY&amp;t=51s",'Players&gt;List'!$B16)</f>
        <v>[GEA]</v>
      </c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4" t="s">
        <v>759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4"/>
    </row>
    <row r="156">
      <c r="A156" s="1"/>
      <c r="B156" s="4" t="s">
        <v>762</v>
      </c>
      <c r="D156" s="9"/>
      <c r="E156" s="17" t="s">
        <v>14</v>
      </c>
      <c r="F156" s="28" t="str">
        <f>HYPERLINK("https://youtu.be/37Z2MqvRj8U?t=135",'Players&gt;List'!$B10)</f>
        <v>[CAM]</v>
      </c>
      <c r="G156" s="28" t="str">
        <f>HYPERLINK("https://www.youtube.com/watch?v=UE8dunH6zaY&amp;t=87s",'Players&gt;List'!$B16)</f>
        <v>[GEA]</v>
      </c>
      <c r="H156" s="1"/>
      <c r="I156" s="1"/>
      <c r="J156" s="1"/>
      <c r="K156" s="1"/>
      <c r="L156" s="1"/>
      <c r="M156" s="1"/>
      <c r="N156" s="1"/>
    </row>
    <row r="157">
      <c r="A157" s="1"/>
      <c r="B157" s="25" t="s">
        <v>88</v>
      </c>
      <c r="E157" s="26" t="s">
        <v>90</v>
      </c>
      <c r="F157" s="28" t="str">
        <f>HYPERLINK("https://www.youtube.com/watch?v=UE8dunH6zaY&amp;t=107s",'Players&gt;List'!$B16)</f>
        <v>[GEA]</v>
      </c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25" t="s">
        <v>149</v>
      </c>
      <c r="E158" s="26" t="s">
        <v>147</v>
      </c>
      <c r="F158" s="28" t="str">
        <f>HYPERLINK("https://www.youtube.com/watch?v=UE8dunH6zaY&amp;t=124s",'Players&gt;List'!$B16)</f>
        <v>[GEA]</v>
      </c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4" t="s">
        <v>776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4"/>
    </row>
    <row r="160">
      <c r="A160" s="1"/>
      <c r="B160" s="4" t="s">
        <v>779</v>
      </c>
      <c r="D160" s="9"/>
      <c r="E160" s="17" t="s">
        <v>14</v>
      </c>
      <c r="F160" s="28" t="str">
        <f>HYPERLINK("https://youtu.be/37Z2MqvRj8U?t=167",'Players&gt;List'!$B10)</f>
        <v>[CAM]</v>
      </c>
      <c r="G160" s="28" t="str">
        <f>HYPERLINK("https://www.youtube.com/watch?v=UE8dunH6zaY&amp;t=153s",'Players&gt;List'!$B16)</f>
        <v>[GEA]</v>
      </c>
      <c r="H160" s="1"/>
      <c r="I160" s="1"/>
      <c r="J160" s="1"/>
      <c r="K160" s="1"/>
      <c r="L160" s="1"/>
      <c r="M160" s="1"/>
      <c r="N160" s="1"/>
    </row>
    <row r="161">
      <c r="A161" s="1"/>
      <c r="B161" s="25" t="s">
        <v>88</v>
      </c>
      <c r="E161" s="26" t="s">
        <v>90</v>
      </c>
      <c r="F161" s="28" t="str">
        <f>HYPERLINK("https://www.youtube.com/watch?v=UE8dunH6zaY&amp;t=187s",'Players&gt;List'!$B16)</f>
        <v>[GEA]</v>
      </c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4" t="s">
        <v>791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4"/>
    </row>
    <row r="163">
      <c r="A163" s="1"/>
      <c r="B163" s="4" t="s">
        <v>794</v>
      </c>
      <c r="D163" s="9"/>
      <c r="E163" s="17" t="s">
        <v>14</v>
      </c>
      <c r="F163" s="28" t="str">
        <f>HYPERLINK("https://youtu.be/37Z2MqvRj8U?t=298",'Players&gt;List'!$B10)</f>
        <v>[CAM]</v>
      </c>
      <c r="G163" s="28" t="str">
        <f>HYPERLINK("https://www.youtube.com/watch?v=UE8dunH6zaY&amp;t=228s",'Players&gt;List'!$B16)</f>
        <v>[GEA]</v>
      </c>
      <c r="H163" s="1"/>
      <c r="I163" s="1"/>
      <c r="J163" s="1"/>
      <c r="K163" s="1"/>
      <c r="L163" s="1"/>
      <c r="M163" s="1"/>
      <c r="N163" s="1"/>
    </row>
    <row r="164">
      <c r="A164" s="1"/>
      <c r="B164" s="25" t="s">
        <v>502</v>
      </c>
      <c r="E164" s="26" t="s">
        <v>234</v>
      </c>
      <c r="F164" s="28" t="str">
        <f>HYPERLINK("https://www.youtube.com/watch?v=UE8dunH6zaY&amp;t=271s",'Players&gt;List'!$B16)</f>
        <v>[GEA]</v>
      </c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4" t="s">
        <v>804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4"/>
    </row>
    <row r="166">
      <c r="A166" s="1"/>
      <c r="B166" s="4" t="s">
        <v>807</v>
      </c>
      <c r="D166" s="9"/>
      <c r="E166" s="17" t="s">
        <v>14</v>
      </c>
      <c r="F166" s="28" t="str">
        <f>HYPERLINK("https://youtu.be/37Z2MqvRj8U?t=420",'Players&gt;List'!$B10)</f>
        <v>[CAM]</v>
      </c>
      <c r="G166" s="28" t="str">
        <f>HYPERLINK("https://www.youtube.com/watch?v=UE8dunH6zaY&amp;t=334s",'Players&gt;List'!$B16)</f>
        <v>[GEA]</v>
      </c>
      <c r="H166" s="1"/>
      <c r="I166" s="1"/>
      <c r="J166" s="1"/>
      <c r="K166" s="1"/>
      <c r="L166" s="1"/>
      <c r="M166" s="1"/>
      <c r="N166" s="1"/>
    </row>
    <row r="167">
      <c r="A167" s="1"/>
      <c r="B167" s="25" t="s">
        <v>131</v>
      </c>
      <c r="E167" s="26" t="s">
        <v>110</v>
      </c>
      <c r="F167" s="28" t="str">
        <f>HYPERLINK("https://www.youtube.com/watch?v=UE8dunH6zaY&amp;t=390s",'Players&gt;List'!$B16)</f>
        <v>[GEA]</v>
      </c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25" t="s">
        <v>88</v>
      </c>
      <c r="E168" s="26" t="s">
        <v>147</v>
      </c>
      <c r="F168" s="28" t="str">
        <f>HYPERLINK("https://www.youtube.com/watch?v=UE8dunH6zaY&amp;t=452s",'Players&gt;List'!$B16)</f>
        <v>[GEA]</v>
      </c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4" t="s">
        <v>823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4"/>
    </row>
    <row r="170">
      <c r="A170" s="1"/>
      <c r="B170" s="4" t="s">
        <v>825</v>
      </c>
      <c r="D170" s="9"/>
      <c r="E170" s="17" t="s">
        <v>14</v>
      </c>
      <c r="F170" s="28" t="str">
        <f>HYPERLINK("https://youtu.be/37Z2MqvRj8U?t=503",'Players&gt;List'!$B10)</f>
        <v>[CAM]</v>
      </c>
      <c r="G170" s="28" t="str">
        <f>HYPERLINK("https://www.youtube.com/watch?v=l3UOMh6ji88&amp;t=1s",'Players&gt;List'!$B16)</f>
        <v>[GEA]</v>
      </c>
      <c r="H170" s="1"/>
      <c r="I170" s="1"/>
      <c r="J170" s="1"/>
      <c r="K170" s="1"/>
      <c r="L170" s="1"/>
      <c r="M170" s="1"/>
      <c r="N170" s="1"/>
    </row>
    <row r="171">
      <c r="A171" s="1"/>
      <c r="B171" s="25" t="s">
        <v>88</v>
      </c>
      <c r="E171" s="26" t="s">
        <v>90</v>
      </c>
      <c r="F171" s="28" t="str">
        <f>HYPERLINK("https://www.youtube.com/watch?v=l3UOMh6ji88&amp;t=25s",'Players&gt;List'!$B16)</f>
        <v>[GEA]</v>
      </c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4" t="s">
        <v>833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4"/>
    </row>
    <row r="173">
      <c r="A173" s="1"/>
      <c r="B173" s="4" t="s">
        <v>834</v>
      </c>
      <c r="D173" s="9"/>
      <c r="E173" s="17" t="s">
        <v>14</v>
      </c>
      <c r="F173" s="28" t="str">
        <f>HYPERLINK("https://youtu.be/37Z2MqvRj8U?t=540",'Players&gt;List'!$B10)</f>
        <v>[CAM]</v>
      </c>
      <c r="G173" s="28" t="str">
        <f>HYPERLINK("https://www.youtube.com/watch?v=l3UOMh6ji88&amp;t=53s",'Players&gt;List'!$B16)</f>
        <v>[GEA]</v>
      </c>
      <c r="H173" s="1"/>
      <c r="I173" s="1"/>
      <c r="J173" s="1"/>
      <c r="K173" s="1"/>
      <c r="L173" s="1"/>
      <c r="M173" s="1"/>
      <c r="N173" s="1"/>
    </row>
    <row r="174">
      <c r="A174" s="1"/>
      <c r="B174" s="25" t="s">
        <v>457</v>
      </c>
      <c r="E174" s="26" t="s">
        <v>110</v>
      </c>
      <c r="F174" s="28" t="str">
        <f>HYPERLINK("https://www.youtube.com/watch?v=KAZW-ejaIPk",'Players&gt;List'!$B18)</f>
        <v>[HGB]</v>
      </c>
      <c r="G174" s="28" t="str">
        <f>HYPERLINK("https://www.youtube.com/watch?v=l3UOMh6ji88&amp;t=87s",'Players&gt;List'!$B16)</f>
        <v>[GEA]</v>
      </c>
      <c r="H174" s="1"/>
      <c r="I174" s="1"/>
      <c r="J174" s="1"/>
      <c r="K174" s="1"/>
      <c r="L174" s="1"/>
      <c r="M174" s="1"/>
      <c r="N174" s="1"/>
    </row>
    <row r="175">
      <c r="A175" s="1"/>
      <c r="B175" s="25" t="s">
        <v>88</v>
      </c>
      <c r="E175" s="26" t="s">
        <v>147</v>
      </c>
      <c r="F175" s="28" t="str">
        <f>HYPERLINK("https://www.youtube.com/watch?v=l3UOMh6ji88&amp;t=133s",'Players&gt;List'!$B16)</f>
        <v>[GEA]</v>
      </c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25" t="s">
        <v>444</v>
      </c>
      <c r="E176" s="26" t="s">
        <v>147</v>
      </c>
      <c r="F176" s="28" t="str">
        <f>HYPERLINK("https://www.youtube.com/watch?v=l3UOMh6ji88&amp;t=155s",'Players&gt;List'!$B16)</f>
        <v>[GEA]</v>
      </c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25" t="s">
        <v>855</v>
      </c>
      <c r="E177" s="26" t="s">
        <v>132</v>
      </c>
      <c r="F177" s="28" t="str">
        <f>HYPERLINK("https://www.youtube.com/watch?v=l3UOMh6ji88&amp;t=171s",'Players&gt;List'!$B16)</f>
        <v>[GEA]</v>
      </c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4" t="s">
        <v>858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4"/>
    </row>
    <row r="179">
      <c r="A179" s="1"/>
      <c r="B179" s="4" t="s">
        <v>862</v>
      </c>
      <c r="D179" s="9"/>
      <c r="E179" s="17" t="s">
        <v>14</v>
      </c>
      <c r="F179" s="28" t="str">
        <f>HYPERLINK("https://youtu.be/37Z2MqvRj8U?t=616",'Players&gt;List'!$B10)</f>
        <v>[CAM]</v>
      </c>
      <c r="G179" s="28" t="str">
        <f>HYPERLINK("https://www.youtube.com/watch?v=l3UOMh6ji88&amp;t=214s",'Players&gt;List'!$B16)</f>
        <v>[GEA]</v>
      </c>
      <c r="H179" s="1"/>
      <c r="I179" s="1"/>
      <c r="J179" s="1"/>
      <c r="K179" s="1"/>
      <c r="L179" s="1"/>
      <c r="M179" s="1"/>
      <c r="N179" s="1"/>
    </row>
    <row r="180">
      <c r="A180" s="1"/>
      <c r="B180" s="25" t="s">
        <v>649</v>
      </c>
      <c r="E180" s="26" t="s">
        <v>90</v>
      </c>
      <c r="F180" s="28" t="str">
        <f>HYPERLINK("https://www.youtube.com/watch?v=l3UOMh6ji88&amp;t=237s",'Players&gt;List'!$B16)</f>
        <v>[GEA]</v>
      </c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25" t="s">
        <v>117</v>
      </c>
      <c r="E181" s="26" t="s">
        <v>132</v>
      </c>
      <c r="F181" s="28" t="str">
        <f>HYPERLINK("https://www.youtube.com/watch?v=l3UOMh6ji88&amp;t=266s",'Players&gt;List'!$B16)</f>
        <v>[GEA]</v>
      </c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4" t="s">
        <v>873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4"/>
    </row>
    <row r="183">
      <c r="A183" s="1"/>
      <c r="B183" s="4" t="s">
        <v>876</v>
      </c>
      <c r="D183" s="9"/>
      <c r="E183" s="17" t="s">
        <v>14</v>
      </c>
      <c r="F183" s="28" t="str">
        <f>HYPERLINK("https://youtu.be/37Z2MqvRj8U?t=691",'Players&gt;List'!$B10)</f>
        <v>[CAM]</v>
      </c>
      <c r="G183" s="28" t="str">
        <f>HYPERLINK("https://www.youtube.com/watch?v=l3UOMh6ji88&amp;t=304s",'Players&gt;List'!$B16)</f>
        <v>[GEA]</v>
      </c>
      <c r="H183" s="1"/>
      <c r="I183" s="1"/>
      <c r="J183" s="1"/>
      <c r="K183" s="1"/>
      <c r="L183" s="1"/>
      <c r="M183" s="1"/>
      <c r="N183" s="1"/>
    </row>
    <row r="184">
      <c r="A184" s="1"/>
      <c r="B184" s="25" t="s">
        <v>117</v>
      </c>
      <c r="E184" s="26" t="s">
        <v>110</v>
      </c>
      <c r="F184" s="28" t="str">
        <f>HYPERLINK("https://www.youtube.com/watch?v=l3UOMh6ji88&amp;t=332s",'Players&gt;List'!$B16)</f>
        <v>[GEA]</v>
      </c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25" t="s">
        <v>88</v>
      </c>
      <c r="E185" s="26" t="s">
        <v>147</v>
      </c>
      <c r="F185" s="28" t="str">
        <f>HYPERLINK("https://www.youtube.com/watch?v=l3UOMh6ji88&amp;t=373s",'Players&gt;List'!$B16)</f>
        <v>[GEA]</v>
      </c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25" t="s">
        <v>149</v>
      </c>
      <c r="E186" s="26" t="s">
        <v>147</v>
      </c>
      <c r="F186" s="28" t="str">
        <f>HYPERLINK("https://www.youtube.com/watch?v=l3UOMh6ji88&amp;t=401s",'Players&gt;List'!$B16)</f>
        <v>[GEA]</v>
      </c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4" t="s">
        <v>894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4"/>
    </row>
    <row r="188">
      <c r="A188" s="1"/>
      <c r="B188" s="4" t="s">
        <v>898</v>
      </c>
      <c r="D188" s="9"/>
      <c r="E188" s="17" t="s">
        <v>14</v>
      </c>
      <c r="F188" s="28" t="str">
        <f>HYPERLINK("https://youtu.be/37Z2MqvRj8U?t=1091",'Players&gt;List'!$B10)</f>
        <v>[CAM]</v>
      </c>
      <c r="G188" s="28" t="str">
        <f>HYPERLINK("https://www.youtube.com/watch?v=l3UOMh6ji88&amp;t=454s",'Players&gt;List'!$B16)</f>
        <v>[GEA]</v>
      </c>
      <c r="H188" s="1"/>
      <c r="I188" s="1"/>
      <c r="J188" s="1"/>
      <c r="K188" s="1"/>
      <c r="L188" s="1"/>
      <c r="M188" s="1"/>
      <c r="N188" s="1"/>
    </row>
    <row r="189">
      <c r="A189" s="1"/>
      <c r="B189" s="25" t="s">
        <v>422</v>
      </c>
      <c r="E189" s="26" t="s">
        <v>110</v>
      </c>
      <c r="F189" s="28" t="str">
        <f>HYPERLINK("https://www.youtube.com/watch?v=l3UOMh6ji88&amp;t=491s",'Players&gt;List'!$B16)</f>
        <v>[GEA]</v>
      </c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4" t="s">
        <v>905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4"/>
    </row>
    <row r="191">
      <c r="A191" s="1"/>
      <c r="B191" s="4" t="s">
        <v>908</v>
      </c>
      <c r="D191" s="9"/>
      <c r="E191" s="17" t="s">
        <v>14</v>
      </c>
      <c r="F191" s="28" t="str">
        <f>HYPERLINK("https://youtu.be/ziYxVDoS4N0?t=18",'Players&gt;List'!$B10)</f>
        <v>[CAM]</v>
      </c>
      <c r="G191" s="28" t="str">
        <f>HYPERLINK("https://youtu.be/tl6-EietaHA?t=1",'Players&gt;List'!$B16)</f>
        <v>[GEA]</v>
      </c>
      <c r="H191" s="1"/>
      <c r="I191" s="1"/>
      <c r="J191" s="1"/>
      <c r="K191" s="1"/>
      <c r="L191" s="1"/>
      <c r="M191" s="1"/>
      <c r="N191" s="1"/>
    </row>
    <row r="192">
      <c r="A192" s="1"/>
      <c r="B192" s="25" t="s">
        <v>913</v>
      </c>
      <c r="E192" s="26" t="s">
        <v>915</v>
      </c>
      <c r="F192" s="18" t="str">
        <f>HYPERLINK("https://www.youtube.com/watch?v=FZTwZzljVK4&amp;t=0s&amp;list=PLbU6uWaIKemqNvTeRxK-Ay6PRg9iwCKVi&amp;index=68",'Players&gt;List'!$B19)</f>
        <v>[HIT]</v>
      </c>
      <c r="G192" s="28" t="str">
        <f>HYPERLINK("https://youtu.be/tl6-EietaHA?t=13",'Players&gt;List'!$B16)</f>
        <v>[GEA]</v>
      </c>
      <c r="H192" s="1"/>
      <c r="I192" s="1"/>
      <c r="J192" s="1"/>
      <c r="K192" s="1"/>
      <c r="L192" s="1"/>
      <c r="M192" s="1"/>
      <c r="N192" s="1"/>
    </row>
    <row r="193">
      <c r="A193" s="1"/>
      <c r="B193" s="14" t="s">
        <v>922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4"/>
    </row>
    <row r="194">
      <c r="A194" s="1"/>
      <c r="B194" s="4" t="s">
        <v>927</v>
      </c>
      <c r="D194" s="9"/>
      <c r="E194" s="17" t="s">
        <v>14</v>
      </c>
      <c r="F194" s="28" t="str">
        <f>HYPERLINK("https://youtu.be/ziYxVDoS4N0?t=41",'Players&gt;List'!$B10)</f>
        <v>[CAM]</v>
      </c>
      <c r="G194" s="28" t="str">
        <f>HYPERLINK("https://youtu.be/tl6-EietaHA?t=39",'Players&gt;List'!$B16)</f>
        <v>[GEA]</v>
      </c>
      <c r="H194" s="1"/>
      <c r="I194" s="1"/>
      <c r="J194" s="1"/>
      <c r="K194" s="1"/>
      <c r="L194" s="1"/>
      <c r="M194" s="1"/>
      <c r="N194" s="1"/>
    </row>
    <row r="195">
      <c r="A195" s="1"/>
      <c r="B195" s="25" t="s">
        <v>117</v>
      </c>
      <c r="E195" s="26" t="s">
        <v>110</v>
      </c>
      <c r="F195" s="18" t="str">
        <f>HYPERLINK("https://youtu.be/tl6-EietaHA?t=62",'Players&gt;List'!$B16)</f>
        <v>[GEA]</v>
      </c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4" t="s">
        <v>933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4"/>
    </row>
    <row r="197">
      <c r="A197" s="1"/>
      <c r="B197" s="4" t="s">
        <v>936</v>
      </c>
      <c r="D197" s="9"/>
      <c r="E197" s="17" t="s">
        <v>14</v>
      </c>
      <c r="F197" s="28" t="str">
        <f>HYPERLINK("https://youtu.be/ziYxVDoS4N0?t=91",'Players&gt;List'!$B10)</f>
        <v>[CAM]</v>
      </c>
      <c r="G197" s="28" t="str">
        <f>HYPERLINK("https://youtu.be/tl6-EietaHA?t=128",'Players&gt;List'!$B16)</f>
        <v>[GEA]</v>
      </c>
      <c r="H197" s="1"/>
      <c r="I197" s="1"/>
      <c r="J197" s="1"/>
      <c r="K197" s="1"/>
      <c r="L197" s="1"/>
      <c r="M197" s="1"/>
      <c r="N197" s="1"/>
    </row>
    <row r="198">
      <c r="A198" s="1"/>
      <c r="B198" s="25" t="s">
        <v>88</v>
      </c>
      <c r="E198" s="26" t="s">
        <v>90</v>
      </c>
      <c r="F198" s="18" t="str">
        <f>HYPERLINK("https://youtu.be/tl6-EietaHA?t=151",'Players&gt;List'!$B16)</f>
        <v>[GEA]</v>
      </c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4" t="s">
        <v>945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4"/>
    </row>
    <row r="200">
      <c r="A200" s="1"/>
      <c r="B200" s="4" t="s">
        <v>947</v>
      </c>
      <c r="D200" s="9"/>
      <c r="E200" s="17" t="s">
        <v>14</v>
      </c>
      <c r="F200" s="28" t="str">
        <f>HYPERLINK("https://youtu.be/ziYxVDoS4N0?t=120",'Players&gt;List'!$B10)</f>
        <v>[CAM]</v>
      </c>
      <c r="G200" s="28" t="str">
        <f>HYPERLINK("https://youtu.be/tl6-EietaHA?t=177",'Players&gt;List'!$B16)</f>
        <v>[GEA]</v>
      </c>
      <c r="H200" s="1"/>
      <c r="I200" s="1"/>
      <c r="J200" s="1"/>
      <c r="K200" s="1"/>
      <c r="L200" s="1"/>
      <c r="M200" s="1"/>
      <c r="N200" s="1"/>
    </row>
    <row r="201">
      <c r="A201" s="1"/>
      <c r="B201" s="25" t="s">
        <v>88</v>
      </c>
      <c r="E201" s="26" t="s">
        <v>90</v>
      </c>
      <c r="F201" s="18" t="str">
        <f>HYPERLINK("https://youtu.be/tl6-EietaHA?t=193",'Players&gt;List'!$B16)</f>
        <v>[GEA]</v>
      </c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4" t="s">
        <v>955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4"/>
    </row>
    <row r="203">
      <c r="A203" s="1"/>
      <c r="B203" s="4" t="s">
        <v>958</v>
      </c>
      <c r="D203" s="9"/>
      <c r="E203" s="17" t="s">
        <v>14</v>
      </c>
      <c r="F203" s="28" t="str">
        <f>HYPERLINK("https://youtu.be/ziYxVDoS4N0?t=402",'Players&gt;List'!$B10)</f>
        <v>[CAM]</v>
      </c>
      <c r="G203" s="28" t="str">
        <f>HYPERLINK("https://youtu.be/tl6-EietaHA?t=203",'Players&gt;List'!$B16)</f>
        <v>[GEA]</v>
      </c>
      <c r="H203" s="1"/>
      <c r="I203" s="1"/>
      <c r="J203" s="1"/>
      <c r="K203" s="1"/>
      <c r="L203" s="1"/>
      <c r="M203" s="1"/>
      <c r="N203" s="1"/>
    </row>
    <row r="204">
      <c r="A204" s="1"/>
      <c r="B204" s="25" t="s">
        <v>488</v>
      </c>
      <c r="E204" s="26" t="s">
        <v>234</v>
      </c>
      <c r="F204" s="18" t="str">
        <f>HYPERLINK("https://youtu.be/tl6-EietaHA?t=257",'Players&gt;List'!$B16)</f>
        <v>[GEA]</v>
      </c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25" t="s">
        <v>117</v>
      </c>
      <c r="E205" s="26" t="s">
        <v>132</v>
      </c>
      <c r="F205" s="28" t="str">
        <f>HYPERLINK("https://youtu.be/tl6-EietaHA?t=290",'Players&gt;List'!$B16)</f>
        <v>[GEA]</v>
      </c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25" t="s">
        <v>973</v>
      </c>
      <c r="E206" s="26" t="s">
        <v>358</v>
      </c>
      <c r="F206" s="18" t="str">
        <f>HYPERLINK("https://youtu.be/tl6-EietaHA?t=369",'Players&gt;List'!$B16)</f>
        <v>[GEA]</v>
      </c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4" t="s">
        <v>977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4"/>
    </row>
    <row r="208">
      <c r="A208" s="1"/>
      <c r="B208" s="4" t="s">
        <v>979</v>
      </c>
      <c r="D208" s="9"/>
      <c r="E208" s="17" t="s">
        <v>14</v>
      </c>
      <c r="F208" s="28" t="str">
        <f>HYPERLINK("https://youtu.be/ziYxVDoS4N0?t=462",'Players&gt;List'!$B10)</f>
        <v>[CAM]</v>
      </c>
      <c r="G208" s="28" t="str">
        <f>HYPERLINK("https://www.youtube.com/watch?v=MAaPNcdA098",'Players&gt;List'!$B29)</f>
        <v>[SYS]</v>
      </c>
      <c r="H208" s="28" t="str">
        <f>HYPERLINK("https://www.youtube.com/watch?v=8OCno0gAHnA&amp;feature=youtu.be",'Players&gt;List'!$B16)</f>
        <v>[GEA]</v>
      </c>
      <c r="I208" s="1"/>
      <c r="J208" s="1"/>
      <c r="K208" s="1"/>
      <c r="L208" s="1"/>
      <c r="M208" s="1"/>
      <c r="N208" s="1"/>
    </row>
    <row r="209">
      <c r="A209" s="1"/>
      <c r="B209" s="25" t="s">
        <v>88</v>
      </c>
      <c r="E209" s="26" t="s">
        <v>90</v>
      </c>
      <c r="F209" s="18" t="str">
        <f>HYPERLINK("https://youtu.be/8OCno0gAHnA?t=13",'Players&gt;List'!$B16)</f>
        <v>[GEA]</v>
      </c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4" t="s">
        <v>991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4"/>
    </row>
    <row r="211">
      <c r="A211" s="1"/>
      <c r="B211" s="4" t="s">
        <v>994</v>
      </c>
      <c r="D211" s="9"/>
      <c r="E211" s="17" t="s">
        <v>14</v>
      </c>
      <c r="F211" s="18" t="str">
        <f>HYPERLINK("https://youtu.be/ziYxVDoS4N0?t=487",'Players&gt;List'!$B10)</f>
        <v>[CAM]</v>
      </c>
      <c r="G211" s="28" t="str">
        <f>HYPERLINK("https://youtu.be/MAaPNcdA098?t=16s",'Players&gt;List'!$B29)</f>
        <v>[SYS]</v>
      </c>
      <c r="H211" s="28" t="str">
        <f>HYPERLINK("https://youtu.be/8OCno0gAHnA?t=30",'Players&gt;List'!$B16)</f>
        <v>[GEA]</v>
      </c>
      <c r="I211" s="1"/>
      <c r="J211" s="1"/>
      <c r="K211" s="1"/>
      <c r="L211" s="1"/>
      <c r="M211" s="1"/>
      <c r="N211" s="1"/>
    </row>
    <row r="212">
      <c r="A212" s="1"/>
      <c r="B212" s="25" t="s">
        <v>117</v>
      </c>
      <c r="E212" s="26" t="s">
        <v>110</v>
      </c>
      <c r="F212" s="18" t="str">
        <f>HYPERLINK("https://youtu.be/8OCno0gAHnA?t=79",'Players&gt;List'!$B16)</f>
        <v>[GEA]</v>
      </c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25" t="s">
        <v>88</v>
      </c>
      <c r="E213" s="26" t="s">
        <v>147</v>
      </c>
      <c r="F213" s="18" t="str">
        <f>HYPERLINK("https://youtu.be/8OCno0gAHnA?t=103",'Players&gt;List'!$B16)</f>
        <v>[GEA]</v>
      </c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25" t="s">
        <v>149</v>
      </c>
      <c r="E214" s="26" t="s">
        <v>147</v>
      </c>
      <c r="F214" s="18" t="str">
        <f>HYPERLINK("https://youtu.be/8OCno0gAHnA?t=119",'Players&gt;List'!$B16)</f>
        <v>[GEA]</v>
      </c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4" t="s">
        <v>1010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4"/>
    </row>
    <row r="216">
      <c r="A216" s="1"/>
      <c r="B216" s="4" t="s">
        <v>1012</v>
      </c>
      <c r="D216" s="9"/>
      <c r="E216" s="17" t="s">
        <v>14</v>
      </c>
      <c r="F216" s="18" t="str">
        <f>HYPERLINK("https://youtu.be/ziYxVDoS4N0?t=546",'Players&gt;List'!$B10)</f>
        <v>[CAM]</v>
      </c>
      <c r="G216" s="28" t="str">
        <f>HYPERLINK("https://youtu.be/MAaPNcdA098?t=1m15s",'Players&gt;List'!$B29)</f>
        <v>[SYS]</v>
      </c>
      <c r="H216" s="28" t="str">
        <f>HYPERLINK("https://youtu.be/8OCno0gAHnA?t=142",'Players&gt;List'!$B16)</f>
        <v>[GEA]</v>
      </c>
      <c r="I216" s="1"/>
      <c r="J216" s="1"/>
      <c r="K216" s="1"/>
      <c r="L216" s="1"/>
      <c r="M216" s="1"/>
      <c r="N216" s="1"/>
    </row>
    <row r="217">
      <c r="A217" s="1"/>
      <c r="B217" s="25" t="s">
        <v>108</v>
      </c>
      <c r="E217" s="26" t="s">
        <v>110</v>
      </c>
      <c r="F217" s="18" t="str">
        <f>HYPERLINK("https://youtu.be/8OCno0gAHnA?t=160",'Players&gt;List'!$B16)</f>
        <v>[GEA]</v>
      </c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25" t="s">
        <v>457</v>
      </c>
      <c r="E218" s="26" t="s">
        <v>132</v>
      </c>
      <c r="F218" s="18" t="str">
        <f>HYPERLINK("https://youtu.be/8OCno0gAHnA?t=201",'Players&gt;List'!$B16)</f>
        <v>[GEA]</v>
      </c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4" t="s">
        <v>1023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4"/>
    </row>
    <row r="220">
      <c r="A220" s="1"/>
      <c r="B220" s="4" t="s">
        <v>1027</v>
      </c>
      <c r="D220" s="9"/>
      <c r="E220" s="17" t="s">
        <v>14</v>
      </c>
      <c r="F220" s="28" t="str">
        <f>HYPERLINK("https://youtu.be/ziYxVDoS4N0?t=629",'Players&gt;List'!$B10)</f>
        <v>[CAM]</v>
      </c>
      <c r="G220" s="28" t="str">
        <f>HYPERLINK("https://youtu.be/MAaPNcdA098?t=1m32s",'Players&gt;List'!$B29)</f>
        <v>[SYS]</v>
      </c>
      <c r="H220" s="28" t="str">
        <f>HYPERLINK("https://youtu.be/8OCno0gAHnA?t=223",'Players&gt;List'!$B16)</f>
        <v>[GEA]</v>
      </c>
      <c r="I220" s="1"/>
      <c r="J220" s="1"/>
      <c r="K220" s="1"/>
      <c r="L220" s="1"/>
      <c r="M220" s="1"/>
      <c r="N220" s="1"/>
    </row>
    <row r="221">
      <c r="A221" s="1"/>
      <c r="B221" s="25" t="s">
        <v>117</v>
      </c>
      <c r="E221" s="26" t="s">
        <v>110</v>
      </c>
      <c r="F221" s="28" t="str">
        <f>HYPERLINK("https://www.youtube.com/watch?v=U7JJGi8GoSU",'Players&gt;List'!$B18)</f>
        <v>[HGB]</v>
      </c>
      <c r="G221" s="28" t="str">
        <f>HYPERLINK("https://youtu.be/8OCno0gAHnA?t=264",'Players&gt;List'!$B16)</f>
        <v>[GEA]</v>
      </c>
      <c r="H221" s="1"/>
      <c r="I221" s="1"/>
      <c r="J221" s="1"/>
      <c r="K221" s="1"/>
      <c r="L221" s="1"/>
      <c r="M221" s="1"/>
      <c r="N221" s="1"/>
    </row>
    <row r="222">
      <c r="A222" s="1"/>
      <c r="B222" s="14" t="s">
        <v>1038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4"/>
    </row>
    <row r="223">
      <c r="A223" s="1"/>
      <c r="B223" s="4" t="s">
        <v>1041</v>
      </c>
      <c r="D223" s="9"/>
      <c r="E223" s="17" t="s">
        <v>14</v>
      </c>
      <c r="F223" s="28" t="str">
        <f>HYPERLINK("https://youtu.be/ziYxVDoS4N0?t=687",'Players&gt;List'!$B10)</f>
        <v>[CAM]</v>
      </c>
      <c r="G223" s="28" t="str">
        <f>HYPERLINK("https://youtu.be/MAaPNcdA098?t=2m27s",'Players&gt;List'!$B29)</f>
        <v>[SYS]</v>
      </c>
      <c r="H223" s="28" t="str">
        <f>HYPERLINK("https://youtu.be/8OCno0gAHnA?t=354",'Players&gt;List'!$B16)</f>
        <v>[GEA]</v>
      </c>
      <c r="I223" s="1"/>
      <c r="J223" s="1"/>
      <c r="K223" s="1"/>
      <c r="L223" s="1"/>
      <c r="M223" s="1"/>
      <c r="N223" s="1"/>
    </row>
    <row r="224">
      <c r="A224" s="1"/>
      <c r="B224" s="25" t="s">
        <v>117</v>
      </c>
      <c r="E224" s="26" t="s">
        <v>110</v>
      </c>
      <c r="F224" s="28" t="str">
        <f>HYPERLINK("https://youtu.be/8OCno0gAHnA?t=369",'Players&gt;List'!$B16)</f>
        <v>[GEA]</v>
      </c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4" t="s">
        <v>1054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4"/>
    </row>
    <row r="226">
      <c r="A226" s="1"/>
      <c r="B226" s="4" t="s">
        <v>1058</v>
      </c>
      <c r="D226" s="9"/>
      <c r="E226" s="17" t="s">
        <v>14</v>
      </c>
      <c r="F226" s="28" t="str">
        <f>HYPERLINK("https://youtu.be/ziYxVDoS4N0?t=728",'Players&gt;List'!$B10)</f>
        <v>[CAM]</v>
      </c>
      <c r="G226" s="28" t="str">
        <f>HYPERLINK("https://www.youtube.com/watch?v=WDqmmQ0_j7A&amp;t=1s",'Players&gt;List'!$B16)</f>
        <v>[GEA]</v>
      </c>
      <c r="H226" s="1"/>
      <c r="I226" s="29"/>
      <c r="J226" s="29"/>
      <c r="K226" s="29"/>
      <c r="L226" s="29"/>
      <c r="M226" s="29"/>
      <c r="N226" s="1"/>
    </row>
    <row r="227">
      <c r="A227" s="1"/>
      <c r="B227" s="25" t="s">
        <v>88</v>
      </c>
      <c r="E227" s="26" t="s">
        <v>90</v>
      </c>
      <c r="F227" s="28" t="str">
        <f>HYPERLINK("https://www.youtube.com/watch?v=WDqmmQ0_j7A&amp;t=21s",'Players&gt;List'!$B16)</f>
        <v>[GEA]</v>
      </c>
      <c r="G227" s="1"/>
      <c r="H227" s="1"/>
      <c r="I227" s="29"/>
      <c r="J227" s="29"/>
      <c r="K227" s="29"/>
      <c r="L227" s="29"/>
      <c r="M227" s="29"/>
      <c r="N227" s="1"/>
    </row>
    <row r="228">
      <c r="A228" s="1"/>
      <c r="B228" s="14" t="s">
        <v>1071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4"/>
    </row>
    <row r="229">
      <c r="A229" s="1"/>
      <c r="B229" s="4" t="s">
        <v>1075</v>
      </c>
      <c r="D229" s="9"/>
      <c r="E229" s="17" t="s">
        <v>14</v>
      </c>
      <c r="F229" s="28" t="str">
        <f>HYPERLINK("https://youtu.be/ziYxVDoS4N0?t=779",'Players&gt;List'!$B10)</f>
        <v>[CAM]</v>
      </c>
      <c r="G229" s="28" t="str">
        <f>HYPERLINK("https://www.youtube.com/watch?v=WDqmmQ0_j7A&amp;t=78s",'Players&gt;List'!$B16)</f>
        <v>[GEA]</v>
      </c>
      <c r="H229" s="1"/>
      <c r="I229" s="29"/>
      <c r="J229" s="29"/>
      <c r="K229" s="29"/>
      <c r="L229" s="29"/>
      <c r="M229" s="29"/>
      <c r="N229" s="1"/>
    </row>
    <row r="230">
      <c r="A230" s="1"/>
      <c r="B230" s="25" t="s">
        <v>108</v>
      </c>
      <c r="E230" s="26" t="s">
        <v>110</v>
      </c>
      <c r="F230" s="28" t="str">
        <f>HYPERLINK("https://www.youtube.com/watch?v=WDqmmQ0_j7A&amp;t=93s",'Players&gt;List'!$B16)</f>
        <v>[GEA]</v>
      </c>
      <c r="G230" s="1"/>
      <c r="H230" s="1"/>
      <c r="I230" s="29"/>
      <c r="J230" s="29"/>
      <c r="K230" s="29"/>
      <c r="L230" s="29"/>
      <c r="M230" s="29"/>
      <c r="N230" s="1"/>
    </row>
    <row r="231">
      <c r="A231" s="1"/>
      <c r="B231" s="14" t="s">
        <v>1080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4"/>
    </row>
    <row r="232">
      <c r="A232" s="1"/>
      <c r="B232" s="4" t="s">
        <v>1083</v>
      </c>
      <c r="D232" s="9"/>
      <c r="E232" s="17" t="s">
        <v>14</v>
      </c>
      <c r="F232" s="28" t="str">
        <f>HYPERLINK("https://youtu.be/ziYxVDoS4N0?t=800",'Players&gt;List'!$B10)</f>
        <v>[CAM]</v>
      </c>
      <c r="G232" s="28" t="str">
        <f>HYPERLINK("https://www.youtube.com/watch?v=WDqmmQ0_j7A&amp;t=119s",'Players&gt;List'!$B16)</f>
        <v>[GEA]</v>
      </c>
      <c r="H232" s="1"/>
      <c r="I232" s="29"/>
      <c r="J232" s="29"/>
      <c r="K232" s="29"/>
      <c r="L232" s="29"/>
      <c r="M232" s="29"/>
      <c r="N232" s="1"/>
    </row>
    <row r="233">
      <c r="A233" s="1"/>
      <c r="B233" s="25" t="s">
        <v>88</v>
      </c>
      <c r="E233" s="26" t="s">
        <v>90</v>
      </c>
      <c r="F233" s="28" t="str">
        <f>HYPERLINK("https://www.youtube.com/watch?v=VBl-RZ6QkSc",'Players&gt;List'!$B18)</f>
        <v>[HGB]</v>
      </c>
      <c r="G233" s="28" t="str">
        <f>HYPERLINK("https://www.youtube.com/watch?v=WDqmmQ0_j7A&amp;t=155s",'Players&gt;List'!$B16)</f>
        <v>[GEA]</v>
      </c>
      <c r="H233" s="1"/>
      <c r="I233" s="29"/>
      <c r="J233" s="29"/>
      <c r="K233" s="29"/>
      <c r="L233" s="29"/>
      <c r="M233" s="29"/>
      <c r="N233" s="1"/>
    </row>
    <row r="234">
      <c r="A234" s="1"/>
      <c r="B234" s="14" t="s">
        <v>1092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4"/>
    </row>
    <row r="235">
      <c r="A235" s="1"/>
      <c r="B235" s="4" t="s">
        <v>1099</v>
      </c>
      <c r="D235" s="9"/>
      <c r="E235" s="17" t="s">
        <v>14</v>
      </c>
      <c r="F235" s="28" t="str">
        <f>HYPERLINK("https://youtu.be/ziYxVDoS4N0?t=863",'Players&gt;List'!$B10)</f>
        <v>[CAM]</v>
      </c>
      <c r="G235" s="28" t="str">
        <f>HYPERLINK("https://www.youtube.com/watch?v=WDqmmQ0_j7A&amp;t=175s",'Players&gt;List'!$B16)</f>
        <v>[GEA]</v>
      </c>
      <c r="H235" s="29"/>
      <c r="I235" s="29"/>
      <c r="J235" s="29"/>
      <c r="K235" s="29"/>
      <c r="L235" s="29"/>
      <c r="M235" s="29"/>
      <c r="N235" s="1"/>
    </row>
    <row r="236">
      <c r="A236" s="1"/>
      <c r="B236" s="25" t="s">
        <v>108</v>
      </c>
      <c r="E236" s="26" t="s">
        <v>110</v>
      </c>
      <c r="F236" s="28" t="str">
        <f>HYPERLINK("https://www.youtube.com/watch?v=WDqmmQ0_j7A&amp;t=221s",'Players&gt;List'!$B16)</f>
        <v>[GEA]</v>
      </c>
      <c r="G236" s="1"/>
      <c r="H236" s="29"/>
      <c r="I236" s="29"/>
      <c r="J236" s="29"/>
      <c r="K236" s="29"/>
      <c r="L236" s="29"/>
      <c r="M236" s="29"/>
      <c r="N236" s="1"/>
    </row>
    <row r="237">
      <c r="A237" s="1"/>
      <c r="B237" s="14" t="s">
        <v>1105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4"/>
    </row>
    <row r="238">
      <c r="A238" s="1"/>
      <c r="B238" s="4" t="s">
        <v>1108</v>
      </c>
      <c r="D238" s="9"/>
      <c r="E238" s="17" t="s">
        <v>14</v>
      </c>
      <c r="F238" s="28" t="str">
        <f>HYPERLINK("https://youtu.be/ziYxVDoS4N0?t=1108",'Players&gt;List'!$B10)</f>
        <v>[CAM]</v>
      </c>
      <c r="G238" s="28" t="str">
        <f>HYPERLINK("https://www.youtube.com/watch?v=WDqmmQ0_j7A&amp;t=249s",'Players&gt;List'!$B16)</f>
        <v>[GEA]</v>
      </c>
      <c r="H238" s="29"/>
      <c r="I238" s="29"/>
      <c r="J238" s="29"/>
      <c r="K238" s="29"/>
      <c r="L238" s="29"/>
      <c r="M238" s="29"/>
      <c r="N238" s="1"/>
    </row>
    <row r="239">
      <c r="A239" s="1"/>
      <c r="B239" s="25" t="s">
        <v>108</v>
      </c>
      <c r="E239" s="26" t="s">
        <v>110</v>
      </c>
      <c r="F239" s="28" t="str">
        <f>HYPERLINK("https://www.youtube.com/watch?v=WDqmmQ0_j7A&amp;t=316s",'Players&gt;List'!$B16)</f>
        <v>[GEA]</v>
      </c>
      <c r="G239" s="1"/>
      <c r="H239" s="29"/>
      <c r="I239" s="29"/>
      <c r="J239" s="29"/>
      <c r="K239" s="29"/>
      <c r="L239" s="29"/>
      <c r="M239" s="29"/>
      <c r="N239" s="1"/>
    </row>
    <row r="240">
      <c r="A240" s="1"/>
      <c r="B240" s="14" t="s">
        <v>1112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4"/>
    </row>
    <row r="241">
      <c r="A241" s="1"/>
      <c r="B241" s="4" t="s">
        <v>1113</v>
      </c>
      <c r="D241" s="9"/>
      <c r="E241" s="17" t="s">
        <v>14</v>
      </c>
      <c r="F241" s="28" t="str">
        <f>HYPERLINK("https://youtu.be/9Flj248zHbA?t=31",'Players&gt;List'!$B10)</f>
        <v>[CAM]</v>
      </c>
      <c r="G241" s="28" t="str">
        <f>HYPERLINK("https://www.youtube.com/watch?v=OmDf1xgv6Ek&amp;t=1s",'Players&gt;List'!$B16)</f>
        <v>[GEA]</v>
      </c>
      <c r="H241" s="1"/>
      <c r="I241" s="1"/>
      <c r="J241" s="1"/>
      <c r="K241" s="1"/>
      <c r="L241" s="1"/>
      <c r="M241" s="1"/>
      <c r="N241" s="1"/>
    </row>
    <row r="242">
      <c r="A242" s="1"/>
      <c r="B242" s="25" t="s">
        <v>88</v>
      </c>
      <c r="E242" s="26" t="s">
        <v>90</v>
      </c>
      <c r="F242" s="28" t="str">
        <f>HYPERLINK("https://www.youtube.com/watch?v=SawQeF3VLFo",'Players&gt;List'!$B32)</f>
        <v>[XEL]</v>
      </c>
      <c r="G242" s="28" t="str">
        <f>HYPERLINK("https://www.youtube.com/watch?v=OmDf1xgv6Ek&amp;t=23s",'Players&gt;List'!$B16)</f>
        <v>[GEA]</v>
      </c>
      <c r="H242" s="1"/>
      <c r="I242" s="1"/>
      <c r="J242" s="1"/>
      <c r="K242" s="1"/>
      <c r="L242" s="1"/>
      <c r="M242" s="1"/>
      <c r="N242" s="1"/>
    </row>
    <row r="243">
      <c r="A243" s="1"/>
      <c r="B243" s="14" t="s">
        <v>1123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4"/>
    </row>
    <row r="244">
      <c r="A244" s="1"/>
      <c r="B244" s="4" t="s">
        <v>1125</v>
      </c>
      <c r="D244" s="9"/>
      <c r="E244" s="17" t="s">
        <v>14</v>
      </c>
      <c r="F244" s="28" t="str">
        <f>HYPERLINK("https://youtu.be/9Flj248zHbA?t=146",'Players&gt;List'!$B10)</f>
        <v>[CAM]</v>
      </c>
      <c r="G244" s="28" t="str">
        <f>HYPERLINK("https://www.youtube.com/watch?v=OmDf1xgv6Ek&amp;t=66s",'Players&gt;List'!$B16)</f>
        <v>[GEA]</v>
      </c>
      <c r="H244" s="1"/>
      <c r="I244" s="1"/>
      <c r="J244" s="1"/>
      <c r="K244" s="1"/>
      <c r="L244" s="1"/>
      <c r="M244" s="1"/>
      <c r="N244" s="1"/>
    </row>
    <row r="245">
      <c r="A245" s="1"/>
      <c r="B245" s="25" t="s">
        <v>457</v>
      </c>
      <c r="E245" s="26" t="s">
        <v>110</v>
      </c>
      <c r="F245" s="28" t="str">
        <f>HYPERLINK("https://www.youtube.com/watch?v=OmDf1xgv6Ek&amp;t=89s",'Players&gt;List'!$B16)</f>
        <v>[GEA]</v>
      </c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4" t="s">
        <v>1136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4"/>
    </row>
    <row r="247">
      <c r="A247" s="1"/>
      <c r="B247" s="4" t="s">
        <v>1139</v>
      </c>
      <c r="D247" s="9"/>
      <c r="E247" s="17" t="s">
        <v>14</v>
      </c>
      <c r="F247" s="28" t="str">
        <f>HYPERLINK("https://youtu.be/9Flj248zHbA?t=786",'Players&gt;List'!$B10)</f>
        <v>[CAM]</v>
      </c>
      <c r="G247" s="28" t="str">
        <f>HYPERLINK("https://www.youtube.com/watch?v=OmDf1xgv6Ek&amp;t=134s",'Players&gt;List'!$B16)</f>
        <v>[GEA]</v>
      </c>
      <c r="H247" s="1"/>
      <c r="I247" s="1"/>
      <c r="J247" s="1"/>
      <c r="K247" s="1"/>
      <c r="L247" s="1"/>
      <c r="M247" s="1"/>
      <c r="N247" s="1"/>
    </row>
    <row r="248">
      <c r="A248" s="1"/>
      <c r="B248" s="25" t="s">
        <v>88</v>
      </c>
      <c r="E248" s="26" t="s">
        <v>90</v>
      </c>
      <c r="F248" s="28" t="str">
        <f>HYPERLINK("https://www.youtube.com/watch?v=OmDf1xgv6Ek&amp;t=168s",'Players&gt;List'!$B16)</f>
        <v>[GEA]</v>
      </c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25" t="s">
        <v>1147</v>
      </c>
      <c r="E249" s="26" t="s">
        <v>132</v>
      </c>
      <c r="F249" s="28" t="str">
        <f>HYPERLINK("https://www.youtube.com/watch?v=ZjwTzOyMnrw&amp;index=244&amp;list=PLbU6uWaIKemqNvTeRxK-Ay6PRg9iwCKVi&amp;t=0s",'Players&gt;List'!$B19)</f>
        <v>[HIT]</v>
      </c>
      <c r="G249" s="28" t="str">
        <f>HYPERLINK("https://www.youtube.com/watch?v=OmDf1xgv6Ek&amp;t=178s",'Players&gt;List'!$B16)</f>
        <v>[GEA]</v>
      </c>
      <c r="H249" s="1"/>
      <c r="I249" s="1"/>
      <c r="J249" s="1"/>
      <c r="K249" s="1"/>
      <c r="L249" s="1"/>
      <c r="M249" s="1"/>
      <c r="N249" s="1"/>
    </row>
    <row r="250">
      <c r="A250" s="1"/>
      <c r="B250" s="14" t="s">
        <v>1153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4"/>
    </row>
    <row r="251">
      <c r="A251" s="1"/>
      <c r="B251" s="4" t="s">
        <v>1155</v>
      </c>
      <c r="D251" s="9"/>
      <c r="E251" s="17" t="s">
        <v>14</v>
      </c>
      <c r="F251" s="28" t="str">
        <f>HYPERLINK("https://youtu.be/9Flj248zHbA?t=363",'Players&gt;List'!$B10)</f>
        <v>[CAM]</v>
      </c>
      <c r="G251" s="28" t="str">
        <f>HYPERLINK("https://www.youtube.com/watch?v=OmDf1xgv6Ek&amp;t=215s",'Players&gt;List'!$B16)</f>
        <v>[GEA]</v>
      </c>
      <c r="H251" s="1"/>
      <c r="I251" s="1"/>
      <c r="J251" s="1"/>
      <c r="K251" s="1"/>
      <c r="L251" s="1"/>
      <c r="M251" s="1"/>
      <c r="N251" s="1"/>
    </row>
    <row r="252">
      <c r="A252" s="1"/>
      <c r="B252" s="25" t="s">
        <v>117</v>
      </c>
      <c r="E252" s="26" t="s">
        <v>110</v>
      </c>
      <c r="F252" s="28" t="str">
        <f>HYPERLINK("https://www.youtube.com/watch?v=OmDf1xgv6Ek&amp;t=240s",'Players&gt;List'!$B16)</f>
        <v>[GEA]</v>
      </c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4" t="s">
        <v>1164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4"/>
    </row>
    <row r="254">
      <c r="A254" s="1"/>
      <c r="B254" s="4" t="s">
        <v>1167</v>
      </c>
      <c r="D254" s="9"/>
      <c r="E254" s="17" t="s">
        <v>14</v>
      </c>
      <c r="F254" s="28" t="str">
        <f>HYPERLINK("https://youtu.be/9Flj248zHbA?t=466",'Players&gt;List'!$B10)</f>
        <v>[CAM]</v>
      </c>
      <c r="G254" s="28" t="str">
        <f>HYPERLINK("https://www.youtube.com/watch?v=OmDf1xgv6Ek&amp;t=273s",'Players&gt;List'!$B16)</f>
        <v>[GEA]</v>
      </c>
      <c r="H254" s="1"/>
      <c r="I254" s="1"/>
      <c r="J254" s="1"/>
      <c r="K254" s="1"/>
      <c r="L254" s="1"/>
      <c r="M254" s="1"/>
      <c r="N254" s="1"/>
    </row>
    <row r="255">
      <c r="A255" s="1"/>
      <c r="B255" s="25" t="s">
        <v>157</v>
      </c>
      <c r="E255" s="26" t="s">
        <v>110</v>
      </c>
      <c r="F255" s="28" t="str">
        <f>HYPERLINK("https://www.youtube.com/watch?v=OmDf1xgv6Ek&amp;t=315s",'Players&gt;List'!$B16)</f>
        <v>[GEA]</v>
      </c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4" t="s">
        <v>1175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4"/>
    </row>
    <row r="257">
      <c r="A257" s="1"/>
      <c r="B257" s="4" t="s">
        <v>1177</v>
      </c>
      <c r="D257" s="9"/>
      <c r="E257" s="17" t="s">
        <v>14</v>
      </c>
      <c r="F257" s="28" t="str">
        <f>HYPERLINK("https://youtu.be/9Flj248zHbA?t=950",'Players&gt;List'!$B10)</f>
        <v>[CAM]</v>
      </c>
      <c r="G257" s="28" t="str">
        <f>HYPERLINK("https://www.youtube.com/watch?v=tZiNbekT-Sw&amp;t=1s",'Players&gt;List'!$B16)</f>
        <v>[GEA]</v>
      </c>
      <c r="H257" s="1"/>
      <c r="I257" s="1"/>
      <c r="J257" s="1"/>
      <c r="K257" s="1"/>
      <c r="L257" s="1"/>
      <c r="M257" s="1"/>
      <c r="N257" s="1"/>
    </row>
    <row r="258">
      <c r="A258" s="1"/>
      <c r="B258" s="25" t="s">
        <v>108</v>
      </c>
      <c r="E258" s="26" t="s">
        <v>110</v>
      </c>
      <c r="F258" s="28" t="str">
        <f>HYPERLINK("https://www.youtube.com/watch?v=tZiNbekT-Sw&amp;t=30s",'Players&gt;List'!$B16)</f>
        <v>[GEA]</v>
      </c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25" t="s">
        <v>131</v>
      </c>
      <c r="E259" s="26" t="s">
        <v>132</v>
      </c>
      <c r="F259" s="28" t="str">
        <f>HYPERLINK("https://www.youtube.com/watch?v=tZiNbekT-Sw&amp;t=45s",'Players&gt;List'!$B16)</f>
        <v>[GEA]</v>
      </c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4" t="s">
        <v>1188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4"/>
    </row>
    <row r="261">
      <c r="A261" s="1"/>
      <c r="B261" s="4" t="s">
        <v>1190</v>
      </c>
      <c r="D261" s="9"/>
      <c r="E261" s="17" t="s">
        <v>14</v>
      </c>
      <c r="F261" s="28" t="str">
        <f>HYPERLINK("https://youtu.be/9Flj248zHbA?t=1007",'Players&gt;List'!$B10)</f>
        <v>[CAM]</v>
      </c>
      <c r="G261" s="28" t="str">
        <f>HYPERLINK("https://www.youtube.com/watch?v=tZiNbekT-Sw&amp;t=74s",'Players&gt;List'!$B16)</f>
        <v>[GEA]</v>
      </c>
      <c r="H261" s="1"/>
      <c r="I261" s="1"/>
      <c r="J261" s="1"/>
      <c r="K261" s="1"/>
      <c r="L261" s="1"/>
      <c r="M261" s="1"/>
      <c r="N261" s="1"/>
    </row>
    <row r="262">
      <c r="A262" s="1"/>
      <c r="B262" s="25" t="s">
        <v>422</v>
      </c>
      <c r="E262" s="26" t="s">
        <v>110</v>
      </c>
      <c r="F262" s="28" t="str">
        <f>HYPERLINK("https://www.youtube.com/watch?v=SsKr6zqMZlU",'Players&gt;List'!$B8)</f>
        <v>[ABA]</v>
      </c>
      <c r="G262" s="28" t="str">
        <f>HYPERLINK("https://www.youtube.com/watch?v=tYl-7SdHZLg",'Players&gt;List'!$B18)</f>
        <v>[HGB]</v>
      </c>
      <c r="H262" s="28" t="str">
        <f>HYPERLINK("https://www.youtube.com/watch?v=tZiNbekT-Sw&amp;t=91s",'Players&gt;List'!$B16)</f>
        <v>[GEA]</v>
      </c>
      <c r="I262" s="1"/>
      <c r="J262" s="1"/>
      <c r="K262" s="1"/>
      <c r="L262" s="1"/>
      <c r="M262" s="1"/>
      <c r="N262" s="1"/>
    </row>
    <row r="263">
      <c r="A263" s="1"/>
      <c r="B263" s="14" t="s">
        <v>1205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4"/>
    </row>
    <row r="264">
      <c r="A264" s="1"/>
      <c r="B264" s="4" t="s">
        <v>1207</v>
      </c>
      <c r="D264" s="9"/>
      <c r="E264" s="17" t="s">
        <v>14</v>
      </c>
      <c r="F264" s="28" t="str">
        <f>HYPERLINK("https://youtu.be/9Flj248zHbA?t=1070",'Players&gt;List'!$B10)</f>
        <v>[CAM]</v>
      </c>
      <c r="G264" s="28" t="str">
        <f>HYPERLINK("https://www.youtube.com/watch?v=tZiNbekT-Sw&amp;t=119s",'Players&gt;List'!$B16)</f>
        <v>[GEA]</v>
      </c>
      <c r="H264" s="1"/>
      <c r="I264" s="1"/>
      <c r="J264" s="1"/>
      <c r="K264" s="1"/>
      <c r="L264" s="1"/>
      <c r="M264" s="1"/>
      <c r="N264" s="1"/>
    </row>
    <row r="265">
      <c r="A265" s="1"/>
      <c r="B265" s="25" t="s">
        <v>149</v>
      </c>
      <c r="E265" s="26" t="s">
        <v>90</v>
      </c>
      <c r="F265" s="28" t="str">
        <f>HYPERLINK("https://www.youtube.com/watch?v=tZiNbekT-Sw&amp;t=129s",'Players&gt;List'!$B16)</f>
        <v>[GEA]</v>
      </c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4" t="s">
        <v>1216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4"/>
    </row>
    <row r="267">
      <c r="A267" s="1"/>
      <c r="B267" s="4" t="s">
        <v>1218</v>
      </c>
      <c r="D267" s="9"/>
      <c r="E267" s="17" t="s">
        <v>14</v>
      </c>
      <c r="F267" s="28" t="str">
        <f>HYPERLINK("https://youtu.be/9Flj248zHbA?t=1131",'Players&gt;List'!$B10)</f>
        <v>[CAM]</v>
      </c>
      <c r="G267" s="28" t="str">
        <f>HYPERLINK("https://www.youtube.com/watch?v=tZiNbekT-Sw&amp;t=137s",'Players&gt;List'!$B16)</f>
        <v>[GEA]</v>
      </c>
      <c r="H267" s="1"/>
      <c r="I267" s="1"/>
      <c r="J267" s="1"/>
      <c r="K267" s="1"/>
      <c r="L267" s="1"/>
      <c r="M267" s="1"/>
      <c r="N267" s="1"/>
    </row>
    <row r="268">
      <c r="A268" s="1"/>
      <c r="B268" s="25" t="s">
        <v>422</v>
      </c>
      <c r="E268" s="26" t="s">
        <v>110</v>
      </c>
      <c r="F268" s="28" t="str">
        <f>HYPERLINK("https://www.youtube.com/watch?v=tZiNbekT-Sw&amp;t=168s",'Players&gt;List'!$B16)</f>
        <v>[GEA]</v>
      </c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4" t="s">
        <v>1227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4"/>
    </row>
    <row r="270">
      <c r="A270" s="1"/>
      <c r="B270" s="4" t="s">
        <v>1229</v>
      </c>
      <c r="D270" s="9"/>
      <c r="E270" s="17" t="s">
        <v>14</v>
      </c>
      <c r="F270" s="28" t="str">
        <f>HYPERLINK("https://youtu.be/9Flj248zHbA?t=1173",'Players&gt;List'!$B10)</f>
        <v>[CAM]</v>
      </c>
      <c r="G270" s="28" t="str">
        <f>HYPERLINK("https://www.youtube.com/watch?v=tZiNbekT-Sw&amp;t=195s",'Players&gt;List'!$B16)</f>
        <v>[GEA]</v>
      </c>
      <c r="H270" s="1"/>
      <c r="I270" s="1"/>
      <c r="J270" s="1"/>
      <c r="K270" s="1"/>
      <c r="L270" s="1"/>
      <c r="M270" s="1"/>
      <c r="N270" s="1"/>
    </row>
    <row r="271">
      <c r="A271" s="1"/>
      <c r="B271" s="25" t="s">
        <v>457</v>
      </c>
      <c r="E271" s="26" t="s">
        <v>110</v>
      </c>
      <c r="F271" s="28" t="str">
        <f>HYPERLINK("https://www.youtube.com/watch?v=tZiNbekT-Sw&amp;t=254s",'Players&gt;List'!$B16)</f>
        <v>[GEA]</v>
      </c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25" t="s">
        <v>649</v>
      </c>
      <c r="E272" s="26" t="s">
        <v>147</v>
      </c>
      <c r="F272" s="28" t="str">
        <f>HYPERLINK("https://www.youtube.com/watch?v=tZiNbekT-Sw&amp;t=304s",'Players&gt;List'!$B16)</f>
        <v>[GEA]</v>
      </c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25" t="s">
        <v>1240</v>
      </c>
      <c r="E273" s="26" t="s">
        <v>132</v>
      </c>
      <c r="F273" s="28" t="str">
        <f>HYPERLINK("https://www.youtube.com/watch?v=fAOviTNbHQs",'Players&gt;List'!$B32)</f>
        <v>[XEL]</v>
      </c>
      <c r="G273" s="28" t="str">
        <f>HYPERLINK("https://www.youtube.com/watch?v=5_GkV9g0rRI&amp;index=323",'Players&gt;List'!$B19)</f>
        <v>[HIT]</v>
      </c>
      <c r="H273" s="28" t="str">
        <f>HYPERLINK("https://www.youtube.com/watch?v=7iBNDoLsTwU",'Players&gt;List'!$B8)</f>
        <v>[ABA]</v>
      </c>
      <c r="I273" s="28" t="str">
        <f>HYPERLINK("https://www.youtube.com/watch?v=tZiNbekT-Sw&amp;t=395s",'Players&gt;List'!$B16)</f>
        <v>[GEA]</v>
      </c>
      <c r="J273" s="1"/>
      <c r="K273" s="1"/>
      <c r="L273" s="1"/>
      <c r="M273" s="1"/>
      <c r="N273" s="1"/>
    </row>
    <row r="274">
      <c r="A274" s="1"/>
      <c r="B274" s="25" t="s">
        <v>444</v>
      </c>
      <c r="E274" s="26" t="s">
        <v>147</v>
      </c>
      <c r="F274" s="28" t="str">
        <f>HYPERLINK("https://www.youtube.com/watch?v=aoKJFARSpdE&amp;index=288&amp;list=PLbU6uWaIKemqNvTeRxK-Ay6PRg9iwCKVi&amp;t=0s",'Players&gt;List'!$B19)</f>
        <v>[HIT]</v>
      </c>
      <c r="G274" s="28" t="str">
        <f>HYPERLINK("https://www.youtube.com/watch?v=tZiNbekT-Sw&amp;t=495s",'Players&gt;List'!$B16)</f>
        <v>[GEA]</v>
      </c>
      <c r="H274" s="1"/>
      <c r="I274" s="1"/>
      <c r="J274" s="1"/>
      <c r="K274" s="1"/>
      <c r="L274" s="1"/>
      <c r="M274" s="1"/>
      <c r="N274" s="1"/>
    </row>
    <row r="275">
      <c r="A275" s="1"/>
      <c r="B275" s="14" t="s">
        <v>1252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4"/>
    </row>
    <row r="276">
      <c r="A276" s="1"/>
      <c r="B276" s="4" t="s">
        <v>1254</v>
      </c>
      <c r="D276" s="9"/>
      <c r="E276" s="17" t="s">
        <v>14</v>
      </c>
      <c r="F276" s="28" t="str">
        <f>HYPERLINK("https://youtu.be/2klhMJbKj9w?t=15",'Players&gt;List'!$B10)</f>
        <v>[CAM]</v>
      </c>
      <c r="G276" s="28" t="str">
        <f>HYPERLINK("https://www.youtube.com/watch?v=NC7RXbalrt0&amp;t=1s",'Players&gt;List'!$B16)</f>
        <v>[GEA]</v>
      </c>
      <c r="H276" s="1"/>
      <c r="I276" s="1"/>
      <c r="J276" s="1"/>
      <c r="K276" s="1"/>
      <c r="L276" s="1"/>
      <c r="M276" s="1"/>
      <c r="N276" s="1"/>
    </row>
    <row r="277">
      <c r="A277" s="1"/>
      <c r="B277" s="25" t="s">
        <v>157</v>
      </c>
      <c r="E277" s="26" t="s">
        <v>110</v>
      </c>
      <c r="F277" s="28" t="str">
        <f>HYPERLINK("https://www.youtube.com/watch?v=NC7RXbalrt0&amp;t=16s",'Players&gt;List'!$B16)</f>
        <v>[GEA]</v>
      </c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4" t="s">
        <v>1260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4"/>
    </row>
    <row r="279">
      <c r="A279" s="1"/>
      <c r="B279" s="4" t="s">
        <v>1262</v>
      </c>
      <c r="D279" s="9"/>
      <c r="E279" s="17" t="s">
        <v>14</v>
      </c>
      <c r="F279" s="28" t="str">
        <f>HYPERLINK("https://youtu.be/2klhMJbKj9w?t=31",'Players&gt;List'!$B10)</f>
        <v>[CAM]</v>
      </c>
      <c r="G279" s="28" t="str">
        <f>HYPERLINK("https://www.youtube.com/watch?v=NC7RXbalrt0&amp;t=38s",'Players&gt;List'!$B16)</f>
        <v>[GEA]</v>
      </c>
      <c r="H279" s="1"/>
      <c r="I279" s="1"/>
      <c r="J279" s="1"/>
      <c r="K279" s="1"/>
      <c r="L279" s="1"/>
      <c r="M279" s="1"/>
      <c r="N279" s="1"/>
    </row>
    <row r="280">
      <c r="A280" s="1"/>
      <c r="B280" s="25" t="s">
        <v>457</v>
      </c>
      <c r="E280" s="26" t="s">
        <v>110</v>
      </c>
      <c r="F280" s="28" t="str">
        <f>HYPERLINK("https://www.youtube.com/watch?v=NC7RXbalrt0&amp;t=47s",'Players&gt;List'!$B16)</f>
        <v>[GEA]</v>
      </c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25" t="s">
        <v>439</v>
      </c>
      <c r="E281" s="26" t="s">
        <v>132</v>
      </c>
      <c r="F281" s="28" t="str">
        <f>HYPERLINK("https://www.youtube.com/watch?v=NC7RXbalrt0&amp;t=68s",'Players&gt;List'!$B16)</f>
        <v>[GEA]</v>
      </c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4" t="s">
        <v>1270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4"/>
    </row>
    <row r="283">
      <c r="A283" s="1"/>
      <c r="B283" s="4" t="s">
        <v>1273</v>
      </c>
      <c r="D283" s="9"/>
      <c r="E283" s="17" t="s">
        <v>14</v>
      </c>
      <c r="F283" s="28" t="str">
        <f>HYPERLINK("https://youtu.be/2klhMJbKj9w?t=201",'Players&gt;List'!$B10)</f>
        <v>[CAM]</v>
      </c>
      <c r="G283" s="28" t="str">
        <f>HYPERLINK("https://www.youtube.com/watch?v=NC7RXbalrt0&amp;t=81s",'Players&gt;List'!$B16)</f>
        <v>[GEA]</v>
      </c>
      <c r="H283" s="1"/>
      <c r="I283" s="1"/>
      <c r="J283" s="1"/>
      <c r="K283" s="1"/>
      <c r="L283" s="1"/>
      <c r="M283" s="1"/>
      <c r="N283" s="1"/>
    </row>
    <row r="284">
      <c r="A284" s="1"/>
      <c r="B284" s="25" t="s">
        <v>88</v>
      </c>
      <c r="E284" s="26" t="s">
        <v>90</v>
      </c>
      <c r="F284" s="28" t="str">
        <f>HYPERLINK("https://www.youtube.com/watch?v=NC7RXbalrt0&amp;t=119s",'Players&gt;List'!$B16)</f>
        <v>[GEA]</v>
      </c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4" t="s">
        <v>1277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4"/>
    </row>
    <row r="286">
      <c r="A286" s="1"/>
      <c r="B286" s="4" t="s">
        <v>1278</v>
      </c>
      <c r="D286" s="9"/>
      <c r="E286" s="17" t="s">
        <v>14</v>
      </c>
      <c r="F286" s="28" t="str">
        <f>HYPERLINK("https://youtu.be/2klhMJbKj9w?t=250",'Players&gt;List'!$B10)</f>
        <v>[CAM]</v>
      </c>
      <c r="G286" s="28" t="str">
        <f>HYPERLINK("https://www.youtube.com/watch?v=NC7RXbalrt0&amp;t=144s",'Players&gt;List'!$B16)</f>
        <v>[GEA]</v>
      </c>
      <c r="H286" s="1"/>
      <c r="I286" s="1"/>
      <c r="J286" s="1"/>
      <c r="K286" s="1"/>
      <c r="L286" s="1"/>
      <c r="M286" s="1"/>
      <c r="N286" s="1"/>
    </row>
    <row r="287">
      <c r="A287" s="1"/>
      <c r="B287" s="25" t="s">
        <v>88</v>
      </c>
      <c r="E287" s="26" t="s">
        <v>90</v>
      </c>
      <c r="F287" s="28" t="str">
        <f>HYPERLINK("https://www.youtube.com/watch?v=NC7RXbalrt0&amp;t=160s",'Players&gt;List'!$B16)</f>
        <v>[GEA]</v>
      </c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4" t="s">
        <v>1284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4"/>
    </row>
    <row r="289">
      <c r="A289" s="1"/>
      <c r="B289" s="4" t="s">
        <v>1286</v>
      </c>
      <c r="D289" s="9"/>
      <c r="E289" s="17" t="s">
        <v>14</v>
      </c>
      <c r="F289" s="28" t="str">
        <f>HYPERLINK("https://youtu.be/2klhMJbKj9w?t=391",'Players&gt;List'!$B10)</f>
        <v>[CAM]</v>
      </c>
      <c r="G289" s="28" t="str">
        <f>HYPERLINK("https://www.youtube.com/watch?v=NC7RXbalrt0&amp;t=178s",'Players&gt;List'!$B16)</f>
        <v>[GEA]</v>
      </c>
      <c r="H289" s="1"/>
      <c r="I289" s="1"/>
      <c r="J289" s="1"/>
      <c r="K289" s="1"/>
      <c r="L289" s="1"/>
      <c r="M289" s="1"/>
      <c r="N289" s="1"/>
    </row>
    <row r="290">
      <c r="A290" s="1"/>
      <c r="B290" s="25" t="s">
        <v>117</v>
      </c>
      <c r="E290" s="26" t="s">
        <v>110</v>
      </c>
      <c r="F290" s="28" t="str">
        <f>HYPERLINK("https://www.youtube.com/watch?v=a-B4i0140FQ&amp;index=107&amp;list=PLbU6uWaIKemqNvTeRxK-Ay6PRg9iwCKVi&amp;t=0s",'Players&gt;List'!$B19)</f>
        <v>[HIT]</v>
      </c>
      <c r="G290" s="28" t="str">
        <f>HYPERLINK("https://www.youtube.com/watch?v=lGQza2La2UI",'Players&gt;List'!$B18)</f>
        <v>[HGB]</v>
      </c>
      <c r="H290" s="28" t="str">
        <f>HYPERLINK("https://www.youtube.com/watch?v=NC7RXbalrt0&amp;t=212s",'Players&gt;List'!$B16)</f>
        <v>[GEA]</v>
      </c>
      <c r="I290" s="1"/>
      <c r="J290" s="1"/>
      <c r="K290" s="1"/>
      <c r="L290" s="1"/>
      <c r="M290" s="1"/>
      <c r="N290" s="1"/>
    </row>
    <row r="291">
      <c r="A291" s="1"/>
      <c r="B291" s="25" t="s">
        <v>131</v>
      </c>
      <c r="E291" s="26" t="s">
        <v>132</v>
      </c>
      <c r="F291" s="28" t="str">
        <f>HYPERLINK("https://www.youtube.com/watch?v=NC7RXbalrt0&amp;t=273s",'Players&gt;List'!$B16)</f>
        <v>[GEA]</v>
      </c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4" t="s">
        <v>1301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4"/>
    </row>
    <row r="293">
      <c r="A293" s="1"/>
      <c r="B293" s="4" t="s">
        <v>1305</v>
      </c>
      <c r="D293" s="9"/>
      <c r="E293" s="17" t="s">
        <v>14</v>
      </c>
      <c r="F293" s="28" t="str">
        <f>HYPERLINK("https://youtu.be/2klhMJbKj9w?t=446",'Players&gt;List'!$B10)</f>
        <v>[CAM]</v>
      </c>
      <c r="G293" s="28" t="str">
        <f>HYPERLINK("https://youtu.be/AhWJsw5MB0c",'Players&gt;List'!$B29)</f>
        <v>[SYS]</v>
      </c>
      <c r="H293" s="28" t="str">
        <f>HYPERLINK("https://www.youtube.com/watch?v=65oZuM-Immk&amp;t=1s",'Players&gt;List'!$B16)</f>
        <v>[GEA]</v>
      </c>
      <c r="I293" s="1"/>
      <c r="J293" s="1"/>
      <c r="K293" s="1"/>
      <c r="L293" s="1"/>
      <c r="M293" s="1"/>
      <c r="N293" s="1"/>
    </row>
    <row r="294">
      <c r="A294" s="1"/>
      <c r="B294" s="25" t="s">
        <v>88</v>
      </c>
      <c r="E294" s="26" t="s">
        <v>90</v>
      </c>
      <c r="F294" s="28" t="str">
        <f>HYPERLINK("https://www.youtube.com/watch?v=C8luTRr4j00",'Players&gt;List'!$B15)</f>
        <v>[FNY]</v>
      </c>
      <c r="G294" s="28" t="str">
        <f>HYPERLINK("https://www.youtube.com/watch?v=65oZuM-Immk&amp;t=15s",'Players&gt;List'!$B16)</f>
        <v>[GEA]</v>
      </c>
      <c r="H294" s="1"/>
      <c r="I294" s="1"/>
      <c r="J294" s="1"/>
      <c r="K294" s="1"/>
      <c r="L294" s="1"/>
      <c r="M294" s="1"/>
      <c r="N294" s="1"/>
    </row>
    <row r="295">
      <c r="A295" s="1"/>
      <c r="B295" s="14" t="s">
        <v>1315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4"/>
    </row>
    <row r="296">
      <c r="A296" s="1"/>
      <c r="B296" s="4" t="s">
        <v>1318</v>
      </c>
      <c r="D296" s="9"/>
      <c r="E296" s="17" t="s">
        <v>14</v>
      </c>
      <c r="F296" s="28" t="str">
        <f>HYPERLINK("https://youtu.be/2klhMJbKj9w?t=592",'Players&gt;List'!$B10)</f>
        <v>[CAM]</v>
      </c>
      <c r="G296" s="28" t="str">
        <f>HYPERLINK("https://youtu.be/AhWJsw5MB0c?t=19s",'Players&gt;List'!$B29)</f>
        <v>[SYS]</v>
      </c>
      <c r="H296" s="28" t="str">
        <f>HYPERLINK("https://www.youtube.com/watch?v=65oZuM-Immk&amp;t=43s",'Players&gt;List'!$B16)</f>
        <v>[GEA]</v>
      </c>
      <c r="I296" s="1"/>
      <c r="J296" s="1"/>
      <c r="K296" s="1"/>
      <c r="L296" s="1"/>
      <c r="M296" s="1"/>
      <c r="N296" s="1"/>
    </row>
    <row r="297">
      <c r="A297" s="1"/>
      <c r="B297" s="25" t="s">
        <v>117</v>
      </c>
      <c r="E297" s="26" t="s">
        <v>110</v>
      </c>
      <c r="F297" s="28" t="str">
        <f>HYPERLINK("https://www.youtube.com/watch?v=65oZuM-Immk&amp;t=71s",'Players&gt;List'!$B16)</f>
        <v>[GEA]</v>
      </c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4" t="s">
        <v>1326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4"/>
    </row>
    <row r="299">
      <c r="A299" s="1"/>
      <c r="B299" s="4" t="s">
        <v>1328</v>
      </c>
      <c r="D299" s="9"/>
      <c r="E299" s="17" t="s">
        <v>14</v>
      </c>
      <c r="F299" s="28" t="str">
        <f>HYPERLINK("https://youtu.be/2klhMJbKj9w?t=638",'Players&gt;List'!$B10)</f>
        <v>[CAM]</v>
      </c>
      <c r="G299" s="28" t="str">
        <f>HYPERLINK("https://youtu.be/AhWJsw5MB0c?t=1m",'Players&gt;List'!$B29)</f>
        <v>[SYS]</v>
      </c>
      <c r="H299" s="28" t="str">
        <f>HYPERLINK("https://www.youtube.com/watch?v=65oZuM-Immk&amp;t=122s",'Players&gt;List'!$B16)</f>
        <v>[GEA]</v>
      </c>
      <c r="I299" s="1"/>
      <c r="J299" s="1"/>
      <c r="K299" s="1"/>
      <c r="L299" s="1"/>
      <c r="M299" s="1"/>
      <c r="N299" s="1"/>
    </row>
    <row r="300">
      <c r="A300" s="1"/>
      <c r="B300" s="25" t="s">
        <v>88</v>
      </c>
      <c r="E300" s="26" t="s">
        <v>90</v>
      </c>
      <c r="F300" s="28" t="str">
        <f>HYPERLINK("https://www.youtube.com/watch?v=65oZuM-Immk&amp;t=141s",'Players&gt;List'!$B16)</f>
        <v>[GEA]</v>
      </c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4" t="s">
        <v>1337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4"/>
    </row>
    <row r="302">
      <c r="A302" s="1"/>
      <c r="B302" s="4" t="s">
        <v>1340</v>
      </c>
      <c r="D302" s="9"/>
      <c r="E302" s="17" t="s">
        <v>14</v>
      </c>
      <c r="F302" s="28" t="str">
        <f>HYPERLINK("https://youtu.be/2klhMJbKj9w?t=679",'Players&gt;List'!$B10)</f>
        <v>[CAM]</v>
      </c>
      <c r="G302" s="28" t="str">
        <f>HYPERLINK("https://youtu.be/AhWJsw5MB0c?t=1m28s",'Players&gt;List'!$B29)</f>
        <v>[SYS]</v>
      </c>
      <c r="H302" s="28" t="str">
        <f>HYPERLINK("https://www.youtube.com/watch?v=65oZuM-Immk&amp;t=160s",'Players&gt;List'!$B16)</f>
        <v>[GEA]</v>
      </c>
      <c r="I302" s="1"/>
      <c r="J302" s="1"/>
      <c r="K302" s="1"/>
      <c r="L302" s="1"/>
      <c r="M302" s="1"/>
      <c r="N302" s="1"/>
    </row>
    <row r="303">
      <c r="A303" s="1"/>
      <c r="B303" s="25" t="s">
        <v>88</v>
      </c>
      <c r="E303" s="26" t="s">
        <v>90</v>
      </c>
      <c r="F303" s="28" t="str">
        <f>HYPERLINK("https://www.youtube.com/watch?v=g1Ox5fC34yM",'Players&gt;List'!$B32)</f>
        <v>[XEL]</v>
      </c>
      <c r="G303" s="28" t="str">
        <f>HYPERLINK("https://www.youtube.com/watch?v=u8n62rqNjPU",'Players&gt;List'!$B15)</f>
        <v>[FNY]</v>
      </c>
      <c r="H303" s="28" t="str">
        <f>HYPERLINK("https://www.youtube.com/watch?v=65oZuM-Immk&amp;t=176s",'Players&gt;List'!$B16)</f>
        <v>[GEA]</v>
      </c>
      <c r="I303" s="28" t="str">
        <f>HYPERLINK("https://www.youtube.com/watch?v=jbAsdIzecaQ",'Players&gt;List'!$B28)</f>
        <v>[SUN]</v>
      </c>
      <c r="J303" s="1"/>
      <c r="K303" s="1"/>
      <c r="L303" s="1"/>
      <c r="M303" s="1"/>
      <c r="N303" s="1"/>
    </row>
    <row r="304">
      <c r="A304" s="1"/>
      <c r="B304" s="14" t="s">
        <v>1351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4"/>
    </row>
    <row r="305">
      <c r="A305" s="1"/>
      <c r="B305" s="4" t="s">
        <v>1355</v>
      </c>
      <c r="D305" s="9"/>
      <c r="E305" s="17" t="s">
        <v>14</v>
      </c>
      <c r="F305" s="28" t="str">
        <f>HYPERLINK("https://youtu.be/2klhMJbKj9w?t=765",'Players&gt;List'!$B10)</f>
        <v>[CAM]</v>
      </c>
      <c r="G305" s="28" t="str">
        <f>HYPERLINK("https://youtu.be/AhWJsw5MB0c?t=1m53s",'Players&gt;List'!$B29)</f>
        <v>[SYS]</v>
      </c>
      <c r="H305" s="28" t="str">
        <f>HYPERLINK("https://www.youtube.com/watch?v=65oZuM-Immk&amp;t=189s",'Players&gt;List'!$B16)</f>
        <v>[GEA]</v>
      </c>
      <c r="I305" s="1"/>
      <c r="J305" s="1"/>
      <c r="K305" s="1"/>
      <c r="L305" s="1"/>
      <c r="M305" s="1"/>
      <c r="N305" s="1"/>
    </row>
    <row r="306">
      <c r="A306" s="1"/>
      <c r="B306" s="25" t="s">
        <v>88</v>
      </c>
      <c r="E306" s="26" t="s">
        <v>90</v>
      </c>
      <c r="F306" s="28" t="str">
        <f>HYPERLINK("https://youtu.be/ucE61KgJKaA",'Players&gt;List'!$B32)</f>
        <v>[XEL]</v>
      </c>
      <c r="G306" s="28" t="str">
        <f>HYPERLINK("https://youtu.be/Snm_H7nRaXA",'Players&gt;List'!$B19)</f>
        <v>[HIT]</v>
      </c>
      <c r="H306" s="28" t="str">
        <f>HYPERLINK("https://www.youtube.com/watch?v=C5ZH-FwuljE",'Players&gt;List'!$B8)</f>
        <v>[ABA]</v>
      </c>
      <c r="I306" s="28" t="str">
        <f>HYPERLINK("https://www.youtube.com/watch?v=_oaTZo2W5UY",'Players&gt;List'!$B15)</f>
        <v>[FNY]</v>
      </c>
      <c r="J306" s="28" t="str">
        <f>HYPERLINK("https://www.youtube.com/watch?v=65oZuM-Immk&amp;t=207s",'Players&gt;List'!$B16)</f>
        <v>[GEA]</v>
      </c>
      <c r="K306" s="1"/>
      <c r="L306" s="1"/>
      <c r="M306" s="1"/>
      <c r="N306" s="1"/>
    </row>
    <row r="307">
      <c r="A307" s="1"/>
      <c r="B307" s="14" t="s">
        <v>1371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4"/>
    </row>
    <row r="308">
      <c r="A308" s="1"/>
      <c r="B308" s="4" t="s">
        <v>1373</v>
      </c>
      <c r="D308" s="9"/>
      <c r="E308" s="17" t="s">
        <v>14</v>
      </c>
      <c r="F308" s="28" t="str">
        <f>HYPERLINK("https://youtu.be/2klhMJbKj9w?t=803",'Players&gt;List'!$B10)</f>
        <v>[CAM]</v>
      </c>
      <c r="G308" s="28" t="str">
        <f>HYPERLINK("https://www.youtube.com/watch?v=8fwQHG9WPKc&amp;t=1s",'Players&gt;List'!$B16)</f>
        <v>[GEA]</v>
      </c>
      <c r="H308" s="1"/>
      <c r="I308" s="1"/>
      <c r="J308" s="1"/>
      <c r="K308" s="1"/>
      <c r="L308" s="1"/>
      <c r="M308" s="1"/>
      <c r="N308" s="1"/>
    </row>
    <row r="309">
      <c r="A309" s="1"/>
      <c r="B309" s="25" t="s">
        <v>88</v>
      </c>
      <c r="E309" s="26" t="s">
        <v>90</v>
      </c>
      <c r="F309" s="28" t="str">
        <f>HYPERLINK("https://www.youtube.com/watch?v=8fwQHG9WPKc&amp;t=14s",'Players&gt;List'!$B16)</f>
        <v>[GEA]</v>
      </c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4" t="s">
        <v>1381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4"/>
    </row>
    <row r="311">
      <c r="A311" s="1"/>
      <c r="B311" s="4" t="s">
        <v>1384</v>
      </c>
      <c r="D311" s="9"/>
      <c r="E311" s="17" t="s">
        <v>14</v>
      </c>
      <c r="F311" s="28" t="str">
        <f>HYPERLINK("https://youtu.be/2klhMJbKj9w?t=859",'Players&gt;List'!$B10)</f>
        <v>[CAM]</v>
      </c>
      <c r="G311" s="28" t="str">
        <f>HYPERLINK("https://www.youtube.com/watch?v=8fwQHG9WPKc&amp;t=41s",'Players&gt;List'!$B16)</f>
        <v>[GEA]</v>
      </c>
      <c r="H311" s="1"/>
      <c r="I311" s="1"/>
      <c r="J311" s="1"/>
      <c r="K311" s="1"/>
      <c r="L311" s="1"/>
      <c r="M311" s="1"/>
      <c r="N311" s="1"/>
    </row>
    <row r="312">
      <c r="A312" s="1"/>
      <c r="B312" s="25" t="s">
        <v>88</v>
      </c>
      <c r="E312" s="26" t="s">
        <v>90</v>
      </c>
      <c r="F312" s="28" t="str">
        <f>HYPERLINK("https://www.youtube.com/watch?v=8fwQHG9WPKc&amp;t=55s",'Players&gt;List'!$B16)</f>
        <v>[GEA]</v>
      </c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4" t="s">
        <v>1393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4"/>
    </row>
    <row r="314">
      <c r="A314" s="1"/>
      <c r="B314" s="4" t="s">
        <v>1397</v>
      </c>
      <c r="D314" s="9"/>
      <c r="E314" s="17" t="s">
        <v>14</v>
      </c>
      <c r="F314" s="28" t="str">
        <f>HYPERLINK("https://youtu.be/2klhMJbKj9w?t=1137",'Players&gt;List'!$B10)</f>
        <v>[CAM]</v>
      </c>
      <c r="G314" s="28" t="str">
        <f>HYPERLINK("https://www.youtube.com/watch?v=8fwQHG9WPKc&amp;t=72s",'Players&gt;List'!$B16)</f>
        <v>[GEA]</v>
      </c>
      <c r="H314" s="1"/>
      <c r="I314" s="1"/>
      <c r="J314" s="1"/>
      <c r="K314" s="1"/>
      <c r="L314" s="1"/>
      <c r="M314" s="1"/>
      <c r="N314" s="1"/>
    </row>
    <row r="315">
      <c r="A315" s="1"/>
      <c r="B315" s="25" t="s">
        <v>117</v>
      </c>
      <c r="E315" s="26" t="s">
        <v>110</v>
      </c>
      <c r="F315" s="28" t="str">
        <f>HYPERLINK("https://www.youtube.com/watch?v=8fwQHG9WPKc&amp;t=108s",'Players&gt;List'!$B16)</f>
        <v>[GEA]</v>
      </c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25" t="s">
        <v>88</v>
      </c>
      <c r="E316" s="26" t="s">
        <v>147</v>
      </c>
      <c r="F316" s="28" t="str">
        <f>HYPERLINK("https://www.youtube.com/watch?v=8fwQHG9WPKc&amp;t=180s",'Players&gt;List'!$B16)</f>
        <v>[GEA]</v>
      </c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25" t="s">
        <v>149</v>
      </c>
      <c r="E317" s="26" t="s">
        <v>147</v>
      </c>
      <c r="F317" s="28" t="str">
        <f>HYPERLINK("https://www.youtube.com/watch?v=8fwQHG9WPKc&amp;t=190s",'Players&gt;List'!$B16)</f>
        <v>[GEA]</v>
      </c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4" t="s">
        <v>1408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4"/>
    </row>
    <row r="319">
      <c r="A319" s="1"/>
      <c r="B319" s="4" t="s">
        <v>1411</v>
      </c>
      <c r="D319" s="9"/>
      <c r="E319" s="17" t="s">
        <v>14</v>
      </c>
      <c r="F319" s="28" t="str">
        <f>HYPERLINK("https://youtu.be/2klhMJbKj9w?t=1179",'Players&gt;List'!$B10)</f>
        <v>[CAM]</v>
      </c>
      <c r="G319" s="28" t="str">
        <f>HYPERLINK("https://www.youtube.com/watch?v=8fwQHG9WPKc&amp;t=291s",'Players&gt;List'!$B16)</f>
        <v>[GEA]</v>
      </c>
      <c r="H319" s="1"/>
      <c r="I319" s="1"/>
      <c r="J319" s="1"/>
      <c r="K319" s="1"/>
      <c r="L319" s="1"/>
      <c r="M319" s="1"/>
      <c r="N319" s="1"/>
    </row>
    <row r="320">
      <c r="A320" s="1"/>
      <c r="B320" s="25" t="s">
        <v>117</v>
      </c>
      <c r="E320" s="26" t="s">
        <v>110</v>
      </c>
      <c r="F320" s="28" t="str">
        <f>HYPERLINK("https://www.youtube.com/watch?v=8fwQHG9WPKc&amp;t=351s",'Players&gt;List'!$B16)</f>
        <v>[GEA]</v>
      </c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25" t="s">
        <v>149</v>
      </c>
      <c r="E321" s="26" t="s">
        <v>147</v>
      </c>
      <c r="F321" s="28" t="str">
        <f>HYPERLINK("https://www.youtube.com/watch?v=8fwQHG9WPKc&amp;t=458s",'Players&gt;List'!$B16)</f>
        <v>[GEA]</v>
      </c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4" t="s">
        <v>1424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4"/>
    </row>
    <row r="323">
      <c r="A323" s="1"/>
      <c r="B323" s="4" t="s">
        <v>1426</v>
      </c>
      <c r="D323" s="9"/>
      <c r="E323" s="17" t="s">
        <v>14</v>
      </c>
      <c r="F323" s="28" t="str">
        <f>HYPERLINK("https://www.youtube.com/watch?v=8fwQHG9WPKc&amp;t=564s",'Players&gt;List'!$B16)</f>
        <v>[GEA]</v>
      </c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25" t="s">
        <v>131</v>
      </c>
      <c r="E324" s="26" t="s">
        <v>110</v>
      </c>
      <c r="F324" s="28" t="str">
        <f>HYPERLINK("https://www.youtube.com/watch?v=8fwQHG9WPKc&amp;t=594s",'Players&gt;List'!$B16)</f>
        <v>[GEA]</v>
      </c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25" t="s">
        <v>108</v>
      </c>
      <c r="E325" s="26" t="s">
        <v>132</v>
      </c>
      <c r="F325" s="28" t="str">
        <f>HYPERLINK("https://www.youtube.com/watch?v=8fwQHG9WPKc&amp;t=712s",'Players&gt;List'!$B16)</f>
        <v>[GEA]</v>
      </c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4" t="s">
        <v>1435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4"/>
    </row>
    <row r="327">
      <c r="A327" s="1"/>
      <c r="B327" s="4" t="s">
        <v>1438</v>
      </c>
      <c r="D327" s="9"/>
      <c r="E327" s="17" t="s">
        <v>14</v>
      </c>
      <c r="F327" s="28" t="str">
        <f>HYPERLINK("https://youtu.be/uEly0qWk74o?t=134",'Players&gt;List'!$B10)</f>
        <v>[CAM]</v>
      </c>
      <c r="G327" s="28" t="str">
        <f>HYPERLINK("https://www.youtube.com/watch?v=ksYx0hc-m0Q&amp;t=1s",'Players&gt;List'!$B16)</f>
        <v>[GEA]</v>
      </c>
      <c r="H327" s="1"/>
      <c r="I327" s="1"/>
      <c r="J327" s="1"/>
      <c r="K327" s="1"/>
      <c r="L327" s="1"/>
      <c r="M327" s="1"/>
      <c r="N327" s="1"/>
    </row>
    <row r="328">
      <c r="A328" s="1"/>
      <c r="B328" s="25" t="s">
        <v>149</v>
      </c>
      <c r="E328" s="26" t="s">
        <v>90</v>
      </c>
      <c r="F328" s="28" t="str">
        <f>HYPERLINK("https://www.youtube.com/watch?v=T2tBy1O4rl0&amp;index=339&amp;list=PLbU6uWaIKemqNvTeRxK-Ay6PRg9iwCKVi&amp;t=0s",'Players&gt;List'!$B19)</f>
        <v>[HIT]</v>
      </c>
      <c r="G328" s="28" t="str">
        <f>HYPERLINK("https://www.youtube.com/watch?v=ksYx0hc-m0Q&amp;t=31s",'Players&gt;List'!$B16)</f>
        <v>[GEA]</v>
      </c>
      <c r="H328" s="1"/>
      <c r="I328" s="1"/>
      <c r="J328" s="1"/>
      <c r="K328" s="1"/>
      <c r="L328" s="1"/>
      <c r="M328" s="1"/>
      <c r="N328" s="1"/>
    </row>
    <row r="329">
      <c r="A329" s="1"/>
      <c r="B329" s="14" t="s">
        <v>1449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4"/>
    </row>
    <row r="330">
      <c r="A330" s="1"/>
      <c r="B330" s="4" t="s">
        <v>1451</v>
      </c>
      <c r="D330" s="9"/>
      <c r="E330" s="17" t="s">
        <v>14</v>
      </c>
      <c r="F330" s="28" t="str">
        <f>HYPERLINK("https://youtu.be/uEly0qWk74o?t=175",'Players&gt;List'!$B10)</f>
        <v>[CAM]</v>
      </c>
      <c r="G330" s="28" t="str">
        <f>HYPERLINK("https://www.youtube.com/watch?v=ksYx0hc-m0Q&amp;t=56s",'Players&gt;List'!$B16)</f>
        <v>[GEA]</v>
      </c>
      <c r="H330" s="1"/>
      <c r="I330" s="1"/>
      <c r="J330" s="1"/>
      <c r="K330" s="1"/>
      <c r="L330" s="1"/>
      <c r="M330" s="1"/>
      <c r="N330" s="1"/>
    </row>
    <row r="331">
      <c r="A331" s="1"/>
      <c r="B331" s="25" t="s">
        <v>88</v>
      </c>
      <c r="E331" s="26" t="s">
        <v>90</v>
      </c>
      <c r="F331" s="28" t="str">
        <f>HYPERLINK("https://www.youtube.com/watch?v=ksYx0hc-m0Q&amp;t=79s",'Players&gt;List'!$B16)</f>
        <v>[GEA]</v>
      </c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4" t="s">
        <v>1463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4"/>
    </row>
    <row r="333">
      <c r="A333" s="1"/>
      <c r="B333" s="4" t="s">
        <v>1465</v>
      </c>
      <c r="D333" s="9"/>
      <c r="E333" s="17" t="s">
        <v>14</v>
      </c>
      <c r="F333" s="28" t="str">
        <f>HYPERLINK("https://youtu.be/uEly0qWk74o?t=245",'Players&gt;List'!$B10)</f>
        <v>[CAM]</v>
      </c>
      <c r="G333" s="28" t="str">
        <f>HYPERLINK("https://www.youtube.com/watch?v=ksYx0hc-m0Q&amp;t=102s",'Players&gt;List'!$B16)</f>
        <v>[GEA]</v>
      </c>
      <c r="H333" s="1"/>
      <c r="I333" s="1"/>
      <c r="J333" s="1"/>
      <c r="K333" s="1"/>
      <c r="L333" s="1"/>
      <c r="M333" s="1"/>
      <c r="N333" s="1"/>
    </row>
    <row r="334">
      <c r="A334" s="1"/>
      <c r="B334" s="25" t="s">
        <v>88</v>
      </c>
      <c r="E334" s="26" t="s">
        <v>90</v>
      </c>
      <c r="F334" s="28" t="str">
        <f>HYPERLINK("https://www.youtube.com/watch?v=ksYx0hc-m0Q&amp;t=114s",'Players&gt;List'!$B16)</f>
        <v>[GEA]</v>
      </c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4" t="s">
        <v>1473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4"/>
    </row>
    <row r="336">
      <c r="A336" s="1"/>
      <c r="B336" s="4" t="s">
        <v>1475</v>
      </c>
      <c r="D336" s="9"/>
      <c r="E336" s="17" t="s">
        <v>14</v>
      </c>
      <c r="F336" s="28" t="str">
        <f>HYPERLINK("https://youtu.be/uEly0qWk74o?t=275",'Players&gt;List'!$B10)</f>
        <v>[CAM]</v>
      </c>
      <c r="G336" s="28" t="str">
        <f>HYPERLINK("https://www.youtube.com/watch?v=ksYx0hc-m0Q&amp;t=137s",'Players&gt;List'!$B16)</f>
        <v>[GEA]</v>
      </c>
      <c r="H336" s="1"/>
      <c r="I336" s="1"/>
      <c r="J336" s="1"/>
      <c r="K336" s="1"/>
      <c r="L336" s="1"/>
      <c r="M336" s="1"/>
      <c r="N336" s="1"/>
    </row>
    <row r="337">
      <c r="A337" s="1"/>
      <c r="B337" s="25" t="s">
        <v>88</v>
      </c>
      <c r="E337" s="26" t="s">
        <v>90</v>
      </c>
      <c r="F337" s="28" t="str">
        <f>HYPERLINK("https://www.youtube.com/watch?v=ksYx0hc-m0Q&amp;t=157s",'Players&gt;List'!$B16)</f>
        <v>[GEA]</v>
      </c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4" t="s">
        <v>1483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4"/>
    </row>
    <row r="339">
      <c r="A339" s="1"/>
      <c r="B339" s="4" t="s">
        <v>1486</v>
      </c>
      <c r="D339" s="9"/>
      <c r="E339" s="17" t="s">
        <v>14</v>
      </c>
      <c r="F339" s="28" t="str">
        <f>HYPERLINK("https://youtu.be/uEly0qWk74o?t=329",'Players&gt;List'!$B10)</f>
        <v>[CAM]</v>
      </c>
      <c r="G339" s="28" t="str">
        <f>HYPERLINK("https://www.youtube.com/watch?v=ksYx0hc-m0Q&amp;t=182s",'Players&gt;List'!$B16)</f>
        <v>[GEA]</v>
      </c>
      <c r="H339" s="1"/>
      <c r="I339" s="1"/>
      <c r="J339" s="1"/>
      <c r="K339" s="1"/>
      <c r="L339" s="1"/>
      <c r="M339" s="1"/>
      <c r="N339" s="1"/>
    </row>
    <row r="340">
      <c r="A340" s="1"/>
      <c r="B340" s="25" t="s">
        <v>457</v>
      </c>
      <c r="E340" s="26" t="s">
        <v>110</v>
      </c>
      <c r="F340" s="28" t="str">
        <f>HYPERLINK("https://www.youtube.com/watch?v=ksYx0hc-m0Q&amp;t=209s",'Players&gt;List'!$B16)</f>
        <v>[GEA]</v>
      </c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4" t="s">
        <v>1494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4"/>
    </row>
    <row r="342">
      <c r="A342" s="1"/>
      <c r="B342" s="4" t="s">
        <v>1498</v>
      </c>
      <c r="D342" s="9"/>
      <c r="E342" s="17" t="s">
        <v>14</v>
      </c>
      <c r="F342" s="28" t="str">
        <f>HYPERLINK("https://youtu.be/uEly0qWk74o?t=368",'Players&gt;List'!$B10)</f>
        <v>[CAM]</v>
      </c>
      <c r="G342" s="28" t="str">
        <f>HYPERLINK("https://www.youtube.com/watch?v=Lr-ZkgIzexg&amp;t=1s",'Players&gt;List'!$B16)</f>
        <v>[GEA]</v>
      </c>
      <c r="H342" s="1"/>
      <c r="I342" s="1"/>
      <c r="J342" s="1"/>
      <c r="K342" s="1"/>
      <c r="L342" s="1"/>
      <c r="M342" s="1"/>
      <c r="N342" s="1"/>
    </row>
    <row r="343">
      <c r="A343" s="1"/>
      <c r="B343" s="25" t="s">
        <v>131</v>
      </c>
      <c r="E343" s="26" t="s">
        <v>110</v>
      </c>
      <c r="F343" s="28" t="str">
        <f>HYPERLINK("https://www.youtube.com/watch?v=Lr-ZkgIzexg&amp;t=18s",'Players&gt;List'!$B16)</f>
        <v>[GEA]</v>
      </c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4" t="s">
        <v>1504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4"/>
    </row>
    <row r="345">
      <c r="A345" s="1"/>
      <c r="B345" s="4" t="s">
        <v>1507</v>
      </c>
      <c r="D345" s="9"/>
      <c r="E345" s="17" t="s">
        <v>14</v>
      </c>
      <c r="F345" s="28" t="str">
        <f>HYPERLINK("https://youtu.be/uEly0qWk74o?t=398",'Players&gt;List'!$B10)</f>
        <v>[CAM]</v>
      </c>
      <c r="G345" s="28" t="str">
        <f>HYPERLINK("https://www.youtube.com/watch?v=Lr-ZkgIzexg&amp;t=40s",'Players&gt;List'!$B16)</f>
        <v>[GEA]</v>
      </c>
      <c r="H345" s="1"/>
      <c r="I345" s="1"/>
      <c r="J345" s="1"/>
      <c r="K345" s="1"/>
      <c r="L345" s="1"/>
      <c r="M345" s="1"/>
      <c r="N345" s="1"/>
    </row>
    <row r="346">
      <c r="A346" s="1"/>
      <c r="B346" s="25" t="s">
        <v>387</v>
      </c>
      <c r="E346" s="26" t="s">
        <v>110</v>
      </c>
      <c r="F346" s="28" t="str">
        <f>HYPERLINK("https://www.youtube.com/watch?v=Lr-ZkgIzexg&amp;t=123s",'Players&gt;List'!$B16)</f>
        <v>[GEA]</v>
      </c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4" t="s">
        <v>1515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4"/>
    </row>
    <row r="348">
      <c r="A348" s="1"/>
      <c r="B348" s="4" t="s">
        <v>1516</v>
      </c>
      <c r="D348" s="9"/>
      <c r="E348" s="17" t="s">
        <v>14</v>
      </c>
      <c r="F348" s="28" t="str">
        <f>HYPERLINK("https://youtu.be/uEly0qWk74o?t=530",'Players&gt;List'!$B10)</f>
        <v>[CAM]</v>
      </c>
      <c r="G348" s="28" t="str">
        <f>HYPERLINK("https://www.youtube.com/watch?v=Lr-ZkgIzexg&amp;t=187s",'Players&gt;List'!$B16)</f>
        <v>[GEA]</v>
      </c>
      <c r="H348" s="1"/>
      <c r="I348" s="1"/>
      <c r="J348" s="1"/>
      <c r="K348" s="1"/>
      <c r="L348" s="1"/>
      <c r="M348" s="1"/>
      <c r="N348" s="1"/>
    </row>
    <row r="349">
      <c r="A349" s="1"/>
      <c r="B349" s="25" t="s">
        <v>117</v>
      </c>
      <c r="E349" s="26" t="s">
        <v>110</v>
      </c>
      <c r="F349" s="28" t="str">
        <f>HYPERLINK("https://www.youtube.com/watch?v=Lr-ZkgIzexg&amp;t=233s",'Players&gt;List'!$B16)</f>
        <v>[GEA]</v>
      </c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4" t="s">
        <v>1526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4"/>
    </row>
    <row r="351">
      <c r="A351" s="1"/>
      <c r="B351" s="4" t="s">
        <v>1528</v>
      </c>
      <c r="D351" s="9"/>
      <c r="E351" s="17" t="s">
        <v>14</v>
      </c>
      <c r="F351" s="28" t="str">
        <f>HYPERLINK("https://youtu.be/uEly0qWk74o?t=589",'Players&gt;List'!$B10)</f>
        <v>[CAM]</v>
      </c>
      <c r="G351" s="28" t="str">
        <f>HYPERLINK("https://www.youtube.com/watch?v=Lr-ZkgIzexg&amp;t=267s",'Players&gt;List'!$B16)</f>
        <v>[GEA]</v>
      </c>
      <c r="H351" s="1"/>
      <c r="I351" s="1"/>
      <c r="J351" s="1"/>
      <c r="K351" s="1"/>
      <c r="L351" s="1"/>
      <c r="M351" s="1"/>
      <c r="N351" s="4"/>
    </row>
    <row r="352">
      <c r="A352" s="1"/>
      <c r="B352" s="25" t="s">
        <v>88</v>
      </c>
      <c r="E352" s="26" t="s">
        <v>90</v>
      </c>
      <c r="F352" s="28" t="str">
        <f>HYPERLINK("https://www.youtube.com/watch?v=Lr-ZkgIzexg&amp;t=297s",'Players&gt;List'!$B16)</f>
        <v>[GEA]</v>
      </c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25" t="s">
        <v>149</v>
      </c>
      <c r="E353" s="26" t="s">
        <v>147</v>
      </c>
      <c r="F353" s="28" t="str">
        <f>HYPERLINK("https://www.youtube.com/watch?v=Lr-ZkgIzexg&amp;t=318s",'Players&gt;List'!$B16)</f>
        <v>[GEA]</v>
      </c>
      <c r="G353" s="28" t="str">
        <f>HYPERLINK("https://www.twitch.tv/videos/410181984",'Players&gt;List'!$B24)</f>
        <v>[NIM]</v>
      </c>
      <c r="H353" s="1"/>
      <c r="I353" s="1"/>
      <c r="J353" s="1"/>
      <c r="K353" s="1"/>
      <c r="L353" s="1"/>
      <c r="M353" s="1"/>
      <c r="N353" s="1"/>
    </row>
    <row r="354">
      <c r="A354" s="1"/>
      <c r="B354" s="14" t="s">
        <v>1543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4"/>
    </row>
    <row r="355">
      <c r="A355" s="1"/>
      <c r="B355" s="4" t="s">
        <v>1546</v>
      </c>
      <c r="D355" s="9"/>
      <c r="E355" s="17" t="s">
        <v>14</v>
      </c>
      <c r="F355" s="28" t="str">
        <f>HYPERLINK("https://youtu.be/uEly0qWk74o?t=656",'Players&gt;List'!$B10)</f>
        <v>[CAM]</v>
      </c>
      <c r="G355" s="28" t="str">
        <f>HYPERLINK("https://www.youtube.com/watch?v=Lr-ZkgIzexg&amp;t=363s",'Players&gt;List'!$B16)</f>
        <v>[GEA]</v>
      </c>
      <c r="H355" s="1"/>
      <c r="I355" s="1"/>
      <c r="J355" s="1"/>
      <c r="K355" s="1"/>
      <c r="L355" s="1"/>
      <c r="M355" s="1"/>
      <c r="N355" s="4"/>
    </row>
    <row r="356">
      <c r="A356" s="1"/>
      <c r="B356" s="25" t="s">
        <v>88</v>
      </c>
      <c r="E356" s="26" t="s">
        <v>90</v>
      </c>
      <c r="F356" s="28" t="str">
        <f>HYPERLINK("https://www.youtube.com/watch?v=Lr-ZkgIzexg&amp;t=394s",'Players&gt;List'!$B16)</f>
        <v>[GEA]</v>
      </c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25" t="s">
        <v>149</v>
      </c>
      <c r="E357" s="26" t="s">
        <v>147</v>
      </c>
      <c r="F357" s="28" t="str">
        <f>HYPERLINK("https://www.youtube.com/watch?v=Lr-ZkgIzexg&amp;t=432s",'Players&gt;List'!$B16)</f>
        <v>[GEA]</v>
      </c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25" t="s">
        <v>117</v>
      </c>
      <c r="E358" s="26" t="s">
        <v>132</v>
      </c>
      <c r="F358" s="28" t="str">
        <f>HYPERLINK("https://www.youtube.com/watch?v=QbU4wMbrsvE&amp;index=265&amp;list=PLbU6uWaIKemqNvTeRxK-Ay6PRg9iwCKVi&amp;t=0s",'Players&gt;List'!$B19)</f>
        <v>[HIT]</v>
      </c>
      <c r="G358" s="28" t="str">
        <f>HYPERLINK("https://www.youtube.com/watch?v=Lr-ZkgIzexg&amp;t=510s",'Players&gt;List'!$B16)</f>
        <v>[GEA]</v>
      </c>
      <c r="H358" s="1"/>
      <c r="I358" s="1"/>
      <c r="J358" s="1"/>
      <c r="K358" s="1"/>
      <c r="L358" s="1"/>
      <c r="M358" s="1"/>
      <c r="N358" s="1"/>
    </row>
    <row r="359">
      <c r="A359" s="1"/>
      <c r="B359" s="14" t="s">
        <v>1564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4"/>
    </row>
    <row r="360">
      <c r="A360" s="1"/>
      <c r="B360" s="4" t="s">
        <v>1566</v>
      </c>
      <c r="D360" s="9"/>
      <c r="E360" s="17" t="s">
        <v>14</v>
      </c>
      <c r="F360" s="28" t="str">
        <f>HYPERLINK("https://youtu.be/KMMaIwMnvaI?t=18",'Players&gt;List'!$B10)</f>
        <v>[CAM]</v>
      </c>
      <c r="G360" s="28" t="str">
        <f>HYPERLINK("https://www.youtube.com/watch?v=V153E4zEXLA&amp;t=1s",'Players&gt;List'!$B16)</f>
        <v>[GEA]</v>
      </c>
      <c r="H360" s="1"/>
      <c r="I360" s="1"/>
      <c r="J360" s="1"/>
      <c r="K360" s="1"/>
      <c r="L360" s="1"/>
      <c r="M360" s="1"/>
      <c r="N360" s="4"/>
    </row>
    <row r="361">
      <c r="A361" s="1"/>
      <c r="B361" s="25" t="s">
        <v>117</v>
      </c>
      <c r="E361" s="26" t="s">
        <v>110</v>
      </c>
      <c r="F361" s="28" t="str">
        <f>HYPERLINK("https://www.youtube.com/watch?v=V153E4zEXLA&amp;t=30s",'Players&gt;List'!$B16)</f>
        <v>[GEA]</v>
      </c>
      <c r="G361" s="1"/>
      <c r="H361" s="1"/>
      <c r="I361" s="1"/>
      <c r="J361" s="1"/>
      <c r="K361" s="1"/>
      <c r="L361" s="1"/>
      <c r="M361" s="1"/>
      <c r="N361" s="4"/>
    </row>
    <row r="362">
      <c r="A362" s="1"/>
      <c r="B362" s="14" t="s">
        <v>1576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4"/>
    </row>
    <row r="363">
      <c r="A363" s="1"/>
      <c r="B363" s="4" t="s">
        <v>1578</v>
      </c>
      <c r="D363" s="9"/>
      <c r="E363" s="17" t="s">
        <v>14</v>
      </c>
      <c r="F363" s="28" t="str">
        <f>HYPERLINK("https://youtu.be/KMMaIwMnvaI?t=49",'Players&gt;List'!$B10)</f>
        <v>[CAM]</v>
      </c>
      <c r="G363" s="28" t="str">
        <f>HYPERLINK("https://www.youtube.com/watch?v=V153E4zEXLA&amp;t=58s",'Players&gt;List'!$B16)</f>
        <v>[GEA]</v>
      </c>
      <c r="H363" s="1"/>
      <c r="I363" s="1"/>
      <c r="J363" s="1"/>
      <c r="K363" s="1"/>
      <c r="L363" s="1"/>
      <c r="M363" s="1"/>
      <c r="N363" s="1"/>
    </row>
    <row r="364">
      <c r="A364" s="1"/>
      <c r="B364" s="25" t="s">
        <v>117</v>
      </c>
      <c r="E364" s="26" t="s">
        <v>110</v>
      </c>
      <c r="F364" s="28" t="str">
        <f>HYPERLINK("https://www.youtube.com/watch?v=UIeB6Z6W7yg&amp;index=234&amp;t=0s&amp;list=PLbU6uWaIKemqNvTeRxK-Ay6PRg9iwCKVi",'Players&gt;List'!$B19)</f>
        <v>[HIT]</v>
      </c>
      <c r="G364" s="28" t="str">
        <f>HYPERLINK("https://www.youtube.com/watch?v=V153E4zEXLA&amp;t=106s",'Players&gt;List'!$B16)</f>
        <v>[GEA]</v>
      </c>
      <c r="H364" s="1"/>
      <c r="I364" s="1"/>
      <c r="J364" s="1"/>
      <c r="K364" s="1"/>
      <c r="L364" s="1"/>
      <c r="M364" s="1"/>
      <c r="N364" s="1"/>
    </row>
    <row r="365">
      <c r="A365" s="1"/>
      <c r="B365" s="14" t="s">
        <v>1590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4"/>
    </row>
    <row r="366">
      <c r="A366" s="1"/>
      <c r="B366" s="4" t="s">
        <v>1592</v>
      </c>
      <c r="D366" s="9"/>
      <c r="E366" s="17" t="s">
        <v>14</v>
      </c>
      <c r="F366" s="28" t="str">
        <f>HYPERLINK("https://youtu.be/KMMaIwMnvaI?t=101",'Players&gt;List'!$B10)</f>
        <v>[CAM]</v>
      </c>
      <c r="G366" s="28" t="str">
        <f>HYPERLINK("https://www.youtube.com/watch?v=V153E4zEXLA&amp;t=157s",'Players&gt;List'!$B16)</f>
        <v>[GEA]</v>
      </c>
      <c r="H366" s="1"/>
      <c r="I366" s="1"/>
      <c r="J366" s="1"/>
      <c r="K366" s="1"/>
      <c r="L366" s="1"/>
      <c r="M366" s="1"/>
      <c r="N366" s="1"/>
    </row>
    <row r="367">
      <c r="A367" s="1"/>
      <c r="B367" s="25" t="s">
        <v>117</v>
      </c>
      <c r="E367" s="26" t="s">
        <v>110</v>
      </c>
      <c r="F367" s="28" t="str">
        <f>HYPERLINK("https://www.youtube.com/watch?v=V153E4zEXLA&amp;t=167s",'Players&gt;List'!$B16)</f>
        <v>[GEA]</v>
      </c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4" t="s">
        <v>1602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4"/>
    </row>
    <row r="369">
      <c r="A369" s="1"/>
      <c r="B369" s="4" t="s">
        <v>1604</v>
      </c>
      <c r="D369" s="9"/>
      <c r="E369" s="17" t="s">
        <v>14</v>
      </c>
      <c r="F369" s="28" t="str">
        <f>HYPERLINK("https://youtu.be/KMMaIwMnvaI?t=112",'Players&gt;List'!$B10)</f>
        <v>[CAM]</v>
      </c>
      <c r="G369" s="28" t="str">
        <f>HYPERLINK("https://www.youtube.com/watch?v=V153E4zEXLA&amp;t=185s",'Players&gt;List'!$B16)</f>
        <v>[GEA]</v>
      </c>
      <c r="H369" s="1"/>
      <c r="I369" s="1"/>
      <c r="J369" s="1"/>
      <c r="K369" s="1"/>
      <c r="L369" s="1"/>
      <c r="M369" s="1"/>
      <c r="N369" s="1"/>
    </row>
    <row r="370">
      <c r="A370" s="1"/>
      <c r="B370" s="25" t="s">
        <v>88</v>
      </c>
      <c r="E370" s="26" t="s">
        <v>90</v>
      </c>
      <c r="F370" s="28" t="str">
        <f>HYPERLINK("https://www.youtube.com/watch?v=V153E4zEXLA&amp;t=217s",'Players&gt;List'!$B16)</f>
        <v>[GEA]</v>
      </c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4" t="s">
        <v>1612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4"/>
    </row>
    <row r="372">
      <c r="A372" s="1"/>
      <c r="B372" s="4" t="s">
        <v>1614</v>
      </c>
      <c r="D372" s="9"/>
      <c r="E372" s="17" t="s">
        <v>14</v>
      </c>
      <c r="F372" s="28" t="str">
        <f>HYPERLINK("https://youtu.be/KMMaIwMnvaI?t=241",'Players&gt;List'!$B10)</f>
        <v>[CAM]</v>
      </c>
      <c r="G372" s="28" t="str">
        <f>HYPERLINK("https://www.youtube.com/watch?v=V153E4zEXLA&amp;t=262s",'Players&gt;List'!$B16)</f>
        <v>[GEA]</v>
      </c>
      <c r="H372" s="1"/>
      <c r="I372" s="1"/>
      <c r="J372" s="1"/>
      <c r="K372" s="1"/>
      <c r="L372" s="1"/>
      <c r="M372" s="1"/>
      <c r="N372" s="1"/>
    </row>
    <row r="373">
      <c r="A373" s="1"/>
      <c r="B373" s="25" t="s">
        <v>157</v>
      </c>
      <c r="E373" s="26" t="s">
        <v>110</v>
      </c>
      <c r="F373" s="28" t="str">
        <f>HYPERLINK("https://www.youtube.com/watch?v=V153E4zEXLA&amp;t=328s",'Players&gt;List'!$B16)</f>
        <v>[GEA]</v>
      </c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4" t="s">
        <v>1623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4"/>
    </row>
    <row r="375">
      <c r="A375" s="1"/>
      <c r="B375" s="4" t="s">
        <v>1625</v>
      </c>
      <c r="D375" s="9"/>
      <c r="E375" s="17" t="s">
        <v>14</v>
      </c>
      <c r="F375" s="28" t="str">
        <f>HYPERLINK("https://youtu.be/KMMaIwMnvaI?t=348",'Players&gt;List'!$B10)</f>
        <v>[CAM]</v>
      </c>
      <c r="G375" s="28" t="str">
        <f>HYPERLINK("https://www.youtube.com/watch?v=IslYeI--SMo",'Players&gt;List'!$B29)</f>
        <v>[SYS]</v>
      </c>
      <c r="H375" s="28" t="str">
        <f>HYPERLINK("https://www.youtube.com/watch?v=3HeAxkkncU8&amp;t=1s",'Players&gt;List'!$B16)</f>
        <v>[GEA]</v>
      </c>
      <c r="I375" s="1"/>
      <c r="J375" s="1"/>
      <c r="K375" s="1"/>
      <c r="L375" s="1"/>
      <c r="M375" s="1"/>
      <c r="N375" s="1"/>
    </row>
    <row r="376">
      <c r="A376" s="1"/>
      <c r="B376" s="25" t="s">
        <v>117</v>
      </c>
      <c r="E376" s="26" t="s">
        <v>110</v>
      </c>
      <c r="F376" s="28" t="str">
        <f>HYPERLINK("https://www.youtube.com/watch?v=3HeAxkkncU8&amp;t=16s",'Players&gt;List'!$B16)</f>
        <v>[GEA]</v>
      </c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4" t="s">
        <v>1636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4"/>
    </row>
    <row r="378">
      <c r="A378" s="1"/>
      <c r="B378" s="4" t="s">
        <v>1639</v>
      </c>
      <c r="D378" s="9"/>
      <c r="E378" s="17" t="s">
        <v>14</v>
      </c>
      <c r="F378" s="28" t="str">
        <f>HYPERLINK("https://youtu.be/KMMaIwMnvaI?t=381",'Players&gt;List'!$B10)</f>
        <v>[CAM]</v>
      </c>
      <c r="G378" s="28" t="str">
        <f>HYPERLINK("https://youtu.be/IslYeI--SMo?t=22s",'Players&gt;List'!$B29)</f>
        <v>[SYS]</v>
      </c>
      <c r="H378" s="28" t="str">
        <f>HYPERLINK("https://www.youtube.com/watch?v=3HeAxkkncU8&amp;t=46s",'Players&gt;List'!$B16)</f>
        <v>[GEA]</v>
      </c>
      <c r="I378" s="1"/>
      <c r="J378" s="1"/>
      <c r="K378" s="1"/>
      <c r="L378" s="1"/>
      <c r="M378" s="1"/>
      <c r="N378" s="1"/>
    </row>
    <row r="379">
      <c r="A379" s="1"/>
      <c r="B379" s="25" t="s">
        <v>117</v>
      </c>
      <c r="E379" s="26" t="s">
        <v>110</v>
      </c>
      <c r="F379" s="28" t="str">
        <f>HYPERLINK("https://www.youtube.com/watch?v=3HeAxkkncU8&amp;t=68s",'Players&gt;List'!$B16)</f>
        <v>[GEA]</v>
      </c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4" t="s">
        <v>1649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4"/>
    </row>
    <row r="381">
      <c r="A381" s="1"/>
      <c r="B381" s="4" t="s">
        <v>1652</v>
      </c>
      <c r="D381" s="9"/>
      <c r="E381" s="17" t="s">
        <v>14</v>
      </c>
      <c r="F381" s="28" t="str">
        <f>HYPERLINK("https://youtu.be/KMMaIwMnvaI?t=412",'Players&gt;List'!$B10)</f>
        <v>[CAM]</v>
      </c>
      <c r="G381" s="28" t="str">
        <f>HYPERLINK("https://youtu.be/IslYeI--SMo?t=44s",'Players&gt;List'!$B29)</f>
        <v>[SYS]</v>
      </c>
      <c r="H381" s="28" t="str">
        <f>HYPERLINK("https://www.youtube.com/watch?v=3HeAxkkncU8&amp;t=117s",'Players&gt;List'!$B16)</f>
        <v>[GEA]</v>
      </c>
      <c r="I381" s="1"/>
      <c r="J381" s="1"/>
      <c r="K381" s="1"/>
      <c r="L381" s="1"/>
      <c r="M381" s="1"/>
      <c r="N381" s="1"/>
    </row>
    <row r="382">
      <c r="A382" s="1"/>
      <c r="B382" s="25" t="s">
        <v>108</v>
      </c>
      <c r="E382" s="26" t="s">
        <v>110</v>
      </c>
      <c r="F382" s="28" t="str">
        <f>HYPERLINK("https://www.youtube.com/watch?v=3HeAxkkncU8&amp;t=144s",'Players&gt;List'!$B16)</f>
        <v>[GEA]</v>
      </c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4" t="s">
        <v>1661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4"/>
    </row>
    <row r="384">
      <c r="A384" s="1"/>
      <c r="B384" s="4" t="s">
        <v>1664</v>
      </c>
      <c r="D384" s="9"/>
      <c r="E384" s="17" t="s">
        <v>14</v>
      </c>
      <c r="F384" s="28" t="str">
        <f>HYPERLINK("https://youtu.be/KMMaIwMnvaI?t=452",'Players&gt;List'!$B10)</f>
        <v>[CAM]</v>
      </c>
      <c r="G384" s="28" t="str">
        <f>HYPERLINK("https://youtu.be/IslYeI--SMo?t=1m13s",'Players&gt;List'!$B29)</f>
        <v>[SYS]</v>
      </c>
      <c r="H384" s="28" t="str">
        <f>HYPERLINK("https://www.youtube.com/watch?v=3HeAxkkncU8&amp;t=174s",'Players&gt;List'!$B16)</f>
        <v>[GEA]</v>
      </c>
      <c r="I384" s="1"/>
      <c r="J384" s="1"/>
      <c r="K384" s="1"/>
      <c r="L384" s="1"/>
      <c r="M384" s="1"/>
      <c r="N384" s="1"/>
    </row>
    <row r="385">
      <c r="A385" s="1"/>
      <c r="B385" s="25" t="s">
        <v>117</v>
      </c>
      <c r="E385" s="26" t="s">
        <v>110</v>
      </c>
      <c r="F385" s="28" t="str">
        <f>HYPERLINK("https://www.youtube.com/watch?v=kcu9ynra9lw&amp;index=220&amp;t=0s&amp;list=PLbU6uWaIKemqNvTeRxK-Ay6PRg9iwCKVi",'Players&gt;List'!$B19)</f>
        <v>[HIT]</v>
      </c>
      <c r="G385" s="28" t="str">
        <f>HYPERLINK("https://www.youtube.com/watch?v=3HeAxkkncU8&amp;t=230s",'Players&gt;List'!$B16)</f>
        <v>[GEA]</v>
      </c>
      <c r="H385" s="1"/>
      <c r="I385" s="1"/>
      <c r="J385" s="1"/>
      <c r="K385" s="1"/>
      <c r="L385" s="1"/>
      <c r="M385" s="1"/>
      <c r="N385" s="1"/>
    </row>
    <row r="386">
      <c r="A386" s="1"/>
      <c r="B386" s="14" t="s">
        <v>1674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4"/>
    </row>
    <row r="387">
      <c r="A387" s="1"/>
      <c r="B387" s="4" t="s">
        <v>1678</v>
      </c>
      <c r="D387" s="9"/>
      <c r="E387" s="17" t="s">
        <v>14</v>
      </c>
      <c r="F387" s="28" t="str">
        <f>HYPERLINK("https://youtu.be/KMMaIwMnvaI?t=519",'Players&gt;List'!$B10)</f>
        <v>[CAM]</v>
      </c>
      <c r="G387" s="28" t="str">
        <f>HYPERLINK("https://youtu.be/IslYeI--SMo?t=2m",'Players&gt;List'!$B29)</f>
        <v>[SYS]</v>
      </c>
      <c r="H387" s="28" t="str">
        <f>HYPERLINK("https://www.youtube.com/watch?v=3HeAxkkncU8&amp;t=303s",'Players&gt;List'!$B16)</f>
        <v>[GEA]</v>
      </c>
      <c r="I387" s="1"/>
      <c r="J387" s="1"/>
      <c r="K387" s="1"/>
      <c r="L387" s="1"/>
      <c r="M387" s="1"/>
      <c r="N387" s="1"/>
    </row>
    <row r="388">
      <c r="A388" s="1"/>
      <c r="B388" s="25" t="s">
        <v>131</v>
      </c>
      <c r="E388" s="26" t="s">
        <v>110</v>
      </c>
      <c r="F388" s="28" t="str">
        <f>HYPERLINK("https://www.youtube.com/watch?v=3HeAxkkncU8&amp;t=314s",'Players&gt;List'!$B16)</f>
        <v>[GEA]</v>
      </c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4" t="s">
        <v>1685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4"/>
    </row>
    <row r="390">
      <c r="A390" s="1"/>
      <c r="B390" s="4" t="s">
        <v>1687</v>
      </c>
      <c r="D390" s="9"/>
      <c r="E390" s="17" t="s">
        <v>14</v>
      </c>
      <c r="F390" s="28" t="str">
        <f>HYPERLINK("https://youtu.be/KMMaIwMnvaI?t=540",'Players&gt;List'!$B10)</f>
        <v>[CAM]</v>
      </c>
      <c r="G390" s="28" t="str">
        <f>HYPERLINK("https://www.youtube.com/watch?v=7dbhD3FujuA&amp;t=1s",'Players&gt;List'!$B16)</f>
        <v>[GEA]</v>
      </c>
      <c r="H390" s="1"/>
      <c r="I390" s="1"/>
      <c r="J390" s="1"/>
      <c r="K390" s="1"/>
      <c r="L390" s="1"/>
      <c r="M390" s="1"/>
      <c r="N390" s="1"/>
    </row>
    <row r="391">
      <c r="A391" s="1"/>
      <c r="B391" s="25" t="s">
        <v>117</v>
      </c>
      <c r="E391" s="26" t="s">
        <v>110</v>
      </c>
      <c r="F391" s="28" t="str">
        <f>HYPERLINK("https://www.youtube.com/watch?v=7dbhD3FujuA&amp;t=25s",'Players&gt;List'!$B16)</f>
        <v>[GEA]</v>
      </c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25" t="s">
        <v>157</v>
      </c>
      <c r="E392" s="26" t="s">
        <v>132</v>
      </c>
      <c r="F392" s="28" t="str">
        <f>HYPERLINK("https://www.youtube.com/watch?v=7dbhD3FujuA&amp;t=78s",'Players&gt;List'!$B16)</f>
        <v>[GEA]</v>
      </c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4" t="s">
        <v>1697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4"/>
    </row>
    <row r="394">
      <c r="A394" s="1"/>
      <c r="B394" s="4" t="s">
        <v>1701</v>
      </c>
      <c r="D394" s="9"/>
      <c r="E394" s="17" t="s">
        <v>14</v>
      </c>
      <c r="F394" s="28" t="str">
        <f>HYPERLINK("https://youtu.be/KMMaIwMnvaI?t=582",'Players&gt;List'!$B10)</f>
        <v>[CAM]</v>
      </c>
      <c r="G394" s="28" t="str">
        <f>HYPERLINK("https://www.youtube.com/watch?v=7dbhD3FujuA&amp;t=111s",'Players&gt;List'!$B16)</f>
        <v>[GEA]</v>
      </c>
      <c r="H394" s="1"/>
      <c r="I394" s="1"/>
      <c r="J394" s="1"/>
      <c r="K394" s="1"/>
      <c r="L394" s="1"/>
      <c r="M394" s="1"/>
      <c r="N394" s="1"/>
    </row>
    <row r="395">
      <c r="A395" s="1"/>
      <c r="B395" s="25" t="s">
        <v>117</v>
      </c>
      <c r="E395" s="26" t="s">
        <v>110</v>
      </c>
      <c r="F395" s="28" t="str">
        <f>HYPERLINK("https://www.youtube.com/watch?v=7dbhD3FujuA&amp;t=124s",'Players&gt;List'!$B16)</f>
        <v>[GEA]</v>
      </c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4" t="s">
        <v>1711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4"/>
    </row>
    <row r="397">
      <c r="A397" s="1"/>
      <c r="B397" s="4" t="s">
        <v>1713</v>
      </c>
      <c r="D397" s="9"/>
      <c r="E397" s="17" t="s">
        <v>14</v>
      </c>
      <c r="F397" s="28" t="str">
        <f>HYPERLINK("https://youtu.be/KMMaIwMnvaI?t=607",'Players&gt;List'!$B10)</f>
        <v>[CAM]</v>
      </c>
      <c r="G397" s="28" t="str">
        <f>HYPERLINK("https://www.youtube.com/watch?v=7dbhD3FujuA&amp;t=184s",'Players&gt;List'!$B16)</f>
        <v>[GEA]</v>
      </c>
      <c r="H397" s="1"/>
      <c r="I397" s="1"/>
      <c r="J397" s="1"/>
      <c r="K397" s="1"/>
      <c r="L397" s="1"/>
      <c r="M397" s="1"/>
      <c r="N397" s="1"/>
    </row>
    <row r="398">
      <c r="A398" s="1"/>
      <c r="B398" s="25" t="s">
        <v>108</v>
      </c>
      <c r="E398" s="26" t="s">
        <v>110</v>
      </c>
      <c r="F398" s="28" t="str">
        <f>HYPERLINK("https://www.youtube.com/watch?v=7dbhD3FujuA&amp;t=223s",'Players&gt;List'!$B16)</f>
        <v>[GEA]</v>
      </c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25" t="s">
        <v>131</v>
      </c>
      <c r="E399" s="26" t="s">
        <v>132</v>
      </c>
      <c r="F399" s="28" t="str">
        <f>HYPERLINK("https://www.youtube.com/watch?v=7dbhD3FujuA&amp;t=269s",'Players&gt;List'!$B16)</f>
        <v>[GEA]</v>
      </c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4" t="s">
        <v>1725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"/>
    </row>
    <row r="401">
      <c r="A401" s="1"/>
      <c r="B401" s="4" t="s">
        <v>1728</v>
      </c>
      <c r="D401" s="9"/>
      <c r="E401" s="17" t="s">
        <v>14</v>
      </c>
      <c r="F401" s="28" t="str">
        <f>HYPERLINK("https://youtu.be/KMMaIwMnvaI?t=701",'Players&gt;List'!$B10)</f>
        <v>[CAM]</v>
      </c>
      <c r="G401" s="28" t="str">
        <f>HYPERLINK("https://www.youtube.com/watch?v=7dbhD3FujuA&amp;t=306s",'Players&gt;List'!$B16)</f>
        <v>[GEA]</v>
      </c>
      <c r="H401" s="1"/>
      <c r="I401" s="1"/>
      <c r="J401" s="1"/>
      <c r="K401" s="1"/>
      <c r="L401" s="1"/>
      <c r="M401" s="1"/>
      <c r="N401" s="4"/>
    </row>
    <row r="402">
      <c r="A402" s="1"/>
      <c r="B402" s="25" t="s">
        <v>131</v>
      </c>
      <c r="E402" s="26" t="s">
        <v>110</v>
      </c>
      <c r="F402" s="28" t="str">
        <f>HYPERLINK("https://www.youtube.com/watch?v=7dbhD3FujuA&amp;t=343s",'Players&gt;List'!$B16)</f>
        <v>[GEA]</v>
      </c>
      <c r="G402" s="1"/>
      <c r="H402" s="1"/>
      <c r="I402" s="1"/>
      <c r="J402" s="1"/>
      <c r="K402" s="1"/>
      <c r="L402" s="1"/>
      <c r="M402" s="1"/>
      <c r="N402" s="4"/>
    </row>
    <row r="403">
      <c r="A403" s="1"/>
      <c r="B403" s="25" t="s">
        <v>108</v>
      </c>
      <c r="E403" s="26" t="s">
        <v>132</v>
      </c>
      <c r="F403" s="28" t="str">
        <f>HYPERLINK("https://www.youtube.com/watch?v=7dbhD3FujuA&amp;t=412s",'Players&gt;List'!$B16)</f>
        <v>[GEA]</v>
      </c>
      <c r="G403" s="1"/>
      <c r="H403" s="1"/>
      <c r="I403" s="1"/>
      <c r="J403" s="1"/>
      <c r="K403" s="1"/>
      <c r="L403" s="1"/>
      <c r="M403" s="1"/>
      <c r="N403" s="4"/>
    </row>
    <row r="404">
      <c r="A404" s="1"/>
      <c r="B404" s="14" t="s">
        <v>1740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"/>
    </row>
    <row r="405">
      <c r="A405" s="1"/>
      <c r="B405" s="4" t="s">
        <v>1744</v>
      </c>
      <c r="D405" s="9"/>
      <c r="E405" s="17" t="s">
        <v>14</v>
      </c>
      <c r="F405" s="28" t="str">
        <f>HYPERLINK("https://youtu.be/KMMaIwMnvaI?t=755",'Players&gt;List'!$B10)</f>
        <v>[CAM]</v>
      </c>
      <c r="G405" s="28" t="str">
        <f>HYPERLINK("https://www.youtube.com/watch?v=7dbhD3FujuA&amp;t=454s",'Players&gt;List'!$B16)</f>
        <v>[GEA]</v>
      </c>
      <c r="H405" s="1"/>
      <c r="I405" s="1"/>
      <c r="J405" s="1"/>
      <c r="K405" s="1"/>
      <c r="L405" s="1"/>
      <c r="M405" s="1"/>
      <c r="N405" s="1"/>
    </row>
    <row r="406">
      <c r="A406" s="1"/>
      <c r="B406" s="25" t="s">
        <v>387</v>
      </c>
      <c r="E406" s="26" t="s">
        <v>110</v>
      </c>
      <c r="F406" s="28" t="str">
        <f>HYPERLINK("https://www.youtube.com/watch?v=7dbhD3FujuA&amp;t=482s",'Players&gt;List'!$B16)</f>
        <v>[GEA]</v>
      </c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4" t="s">
        <v>1751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"/>
    </row>
    <row r="408">
      <c r="A408" s="1"/>
      <c r="B408" s="4" t="s">
        <v>1754</v>
      </c>
      <c r="D408" s="9"/>
      <c r="E408" s="17" t="s">
        <v>14</v>
      </c>
      <c r="F408" s="28" t="str">
        <f>HYPERLINK("https://youtu.be/D1l3NTyK97k?t=26",'Players&gt;List'!$B10)</f>
        <v>[CAM]</v>
      </c>
      <c r="G408" s="28" t="str">
        <f>HYPERLINK("https://www.youtube.com/watch?v=aQ9ToC7OmPY&amp;t=1s",'Players&gt;List'!$B16)</f>
        <v>[GEA]</v>
      </c>
      <c r="H408" s="1"/>
      <c r="I408" s="1"/>
      <c r="J408" s="1"/>
      <c r="K408" s="1"/>
      <c r="L408" s="1"/>
      <c r="M408" s="1"/>
      <c r="N408" s="1"/>
    </row>
    <row r="409">
      <c r="A409" s="1"/>
      <c r="B409" s="25" t="s">
        <v>88</v>
      </c>
      <c r="E409" s="26" t="s">
        <v>90</v>
      </c>
      <c r="F409" s="28" t="str">
        <f>HYPERLINK("https://www.youtube.com/watch?v=zYU0ilJyAa0",'Players&gt;List'!$B28)</f>
        <v>[SUN]</v>
      </c>
      <c r="G409" s="28" t="str">
        <f>HYPERLINK("https://www.youtube.com/watch?v=aQ9ToC7OmPY&amp;t=45s",'Players&gt;List'!$B16)</f>
        <v>[GEA]</v>
      </c>
      <c r="H409" s="1"/>
      <c r="I409" s="1"/>
      <c r="J409" s="1"/>
      <c r="K409" s="1"/>
      <c r="L409" s="1"/>
      <c r="M409" s="1"/>
      <c r="N409" s="1"/>
    </row>
    <row r="410">
      <c r="A410" s="1"/>
      <c r="B410" s="14" t="s">
        <v>1763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"/>
    </row>
    <row r="411">
      <c r="A411" s="1"/>
      <c r="B411" s="4" t="s">
        <v>1764</v>
      </c>
      <c r="D411" s="9"/>
      <c r="E411" s="17" t="s">
        <v>14</v>
      </c>
      <c r="F411" s="28" t="str">
        <f>HYPERLINK("https://youtu.be/D1l3NTyK97k?t=77",'Players&gt;List'!$B10)</f>
        <v>[CAM]</v>
      </c>
      <c r="G411" s="28" t="str">
        <f>HYPERLINK("https://www.youtube.com/watch?v=aQ9ToC7OmPY&amp;t=92s",'Players&gt;List'!$B16)</f>
        <v>[GEA]</v>
      </c>
      <c r="H411" s="1"/>
      <c r="I411" s="1"/>
      <c r="J411" s="1"/>
      <c r="K411" s="1"/>
      <c r="L411" s="1"/>
      <c r="M411" s="1"/>
      <c r="N411" s="1"/>
    </row>
    <row r="412">
      <c r="A412" s="1"/>
      <c r="B412" s="25" t="s">
        <v>88</v>
      </c>
      <c r="E412" s="26" t="s">
        <v>90</v>
      </c>
      <c r="F412" s="28" t="str">
        <f>HYPERLINK("https://www.youtube.com/watch?v=aQ9ToC7OmPY&amp;t=119s",'Players&gt;List'!$B16)</f>
        <v>[GEA]</v>
      </c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4" t="s">
        <v>1773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"/>
    </row>
    <row r="414">
      <c r="A414" s="1"/>
      <c r="B414" s="4" t="s">
        <v>1776</v>
      </c>
      <c r="D414" s="9"/>
      <c r="E414" s="17" t="s">
        <v>14</v>
      </c>
      <c r="F414" s="28" t="str">
        <f>HYPERLINK("https://youtu.be/D1l3NTyK97k?t=178",'Players&gt;List'!$B10)</f>
        <v>[CAM]</v>
      </c>
      <c r="G414" s="28" t="str">
        <f>HYPERLINK("https://www.youtube.com/watch?v=aQ9ToC7OmPY&amp;t=141s",'Players&gt;List'!$B16)</f>
        <v>[GEA]</v>
      </c>
      <c r="H414" s="1"/>
      <c r="I414" s="1"/>
      <c r="J414" s="1"/>
      <c r="K414" s="1"/>
      <c r="L414" s="1"/>
      <c r="M414" s="1"/>
      <c r="N414" s="4"/>
    </row>
    <row r="415">
      <c r="A415" s="1"/>
      <c r="B415" s="25" t="s">
        <v>88</v>
      </c>
      <c r="E415" s="26" t="s">
        <v>90</v>
      </c>
      <c r="F415" s="28" t="str">
        <f>HYPERLINK("https://www.youtube.com/watch?v=aQ9ToC7OmPY&amp;t=194s",'Players&gt;List'!$B16)</f>
        <v>[GEA]</v>
      </c>
      <c r="G415" s="1"/>
      <c r="H415" s="1"/>
      <c r="I415" s="1"/>
      <c r="J415" s="1"/>
      <c r="K415" s="1"/>
      <c r="L415" s="1"/>
      <c r="M415" s="1"/>
      <c r="N415" s="4"/>
    </row>
    <row r="416">
      <c r="A416" s="1"/>
      <c r="B416" s="14" t="s">
        <v>1783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"/>
    </row>
    <row r="417">
      <c r="A417" s="1"/>
      <c r="B417" s="4" t="s">
        <v>1784</v>
      </c>
      <c r="D417" s="9"/>
      <c r="E417" s="17" t="s">
        <v>14</v>
      </c>
      <c r="F417" s="28" t="str">
        <f>HYPERLINK("https://youtu.be/D1l3NTyK97k?t=257",'Players&gt;List'!$B10)</f>
        <v>[CAM]</v>
      </c>
      <c r="G417" s="28" t="str">
        <f>HYPERLINK("https://www.youtube.com/watch?v=aQ9ToC7OmPY&amp;t=261s",'Players&gt;List'!$B16)</f>
        <v>[GEA]</v>
      </c>
      <c r="H417" s="1"/>
      <c r="I417" s="1"/>
      <c r="J417" s="1"/>
      <c r="K417" s="1"/>
      <c r="L417" s="1"/>
      <c r="M417" s="1"/>
      <c r="N417" s="1"/>
    </row>
    <row r="418">
      <c r="A418" s="1"/>
      <c r="B418" s="25" t="s">
        <v>131</v>
      </c>
      <c r="E418" s="26" t="s">
        <v>110</v>
      </c>
      <c r="F418" s="28" t="str">
        <f>HYPERLINK("https://www.youtube.com/watch?v=aQ9ToC7OmPY&amp;t=266s",'Players&gt;List'!$B16)</f>
        <v>[GEA]</v>
      </c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4" t="s">
        <v>1792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4"/>
    </row>
    <row r="420">
      <c r="A420" s="1"/>
      <c r="B420" s="4" t="s">
        <v>1794</v>
      </c>
      <c r="D420" s="9"/>
      <c r="E420" s="17" t="s">
        <v>14</v>
      </c>
      <c r="F420" s="28" t="str">
        <f>HYPERLINK("https://youtu.be/D1l3NTyK97k?t=267",'Players&gt;List'!$B10)</f>
        <v>[CAM]</v>
      </c>
      <c r="G420" s="28" t="str">
        <f>HYPERLINK("https://www.youtube.com/watch?v=aQ9ToC7OmPY&amp;t=366s",'Players&gt;List'!$B16)</f>
        <v>[GEA]</v>
      </c>
      <c r="H420" s="1"/>
      <c r="I420" s="1"/>
      <c r="J420" s="1"/>
      <c r="K420" s="1"/>
      <c r="L420" s="1"/>
      <c r="M420" s="1"/>
      <c r="N420" s="1"/>
    </row>
    <row r="421">
      <c r="A421" s="1"/>
      <c r="B421" s="25" t="s">
        <v>387</v>
      </c>
      <c r="E421" s="26" t="s">
        <v>110</v>
      </c>
      <c r="F421" s="28" t="str">
        <f>HYPERLINK("https://www.youtube.com/watch?v=6c1eZmlALVs&amp;index=147&amp;list=PLbU6uWaIKemqNvTeRxK-Ay6PRg9iwCKVi&amp;t=0s",'Players&gt;List'!$B19)</f>
        <v>[HIT]</v>
      </c>
      <c r="G421" s="28" t="str">
        <f>HYPERLINK("https://www.youtube.com/watch?v=aQ9ToC7OmPY&amp;t=401s",'Players&gt;List'!$B16)</f>
        <v>[GEA]</v>
      </c>
      <c r="H421" s="1"/>
      <c r="I421" s="1"/>
      <c r="J421" s="1"/>
      <c r="K421" s="1"/>
      <c r="L421" s="1"/>
      <c r="M421" s="1"/>
      <c r="N421" s="1"/>
    </row>
    <row r="422">
      <c r="A422" s="1"/>
      <c r="B422" s="14" t="s">
        <v>1804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"/>
    </row>
    <row r="423">
      <c r="A423" s="1"/>
      <c r="B423" s="4" t="s">
        <v>1806</v>
      </c>
      <c r="D423" s="9"/>
      <c r="E423" s="17" t="s">
        <v>14</v>
      </c>
      <c r="F423" s="28" t="str">
        <f>HYPERLINK("https://youtu.be/D1l3NTyK97k?t=406",'Players&gt;List'!$B10)</f>
        <v>[CAM]</v>
      </c>
      <c r="G423" s="28" t="str">
        <f>HYPERLINK("https://www.youtube.com/watch?v=qfE3GiwjwK4&amp;t=5s",'Players&gt;List'!$B16)</f>
        <v>[GEA]</v>
      </c>
      <c r="H423" s="1"/>
      <c r="I423" s="1"/>
      <c r="J423" s="1"/>
      <c r="K423" s="1"/>
      <c r="L423" s="1"/>
      <c r="M423" s="1"/>
      <c r="N423" s="4"/>
    </row>
    <row r="424">
      <c r="A424" s="1"/>
      <c r="B424" s="25" t="s">
        <v>157</v>
      </c>
      <c r="E424" s="26" t="s">
        <v>110</v>
      </c>
      <c r="F424" s="28" t="str">
        <f>HYPERLINK("https://www.youtube.com/watch?v=qfE3GiwjwK4&amp;t=49s",'Players&gt;List'!$B16)</f>
        <v>[GEA]</v>
      </c>
      <c r="G424" s="1"/>
      <c r="H424" s="1"/>
      <c r="I424" s="1"/>
      <c r="J424" s="1"/>
      <c r="K424" s="1"/>
      <c r="L424" s="1"/>
      <c r="M424" s="1"/>
      <c r="N424" s="4"/>
    </row>
    <row r="425">
      <c r="A425" s="1"/>
      <c r="B425" s="25" t="s">
        <v>117</v>
      </c>
      <c r="E425" s="26" t="s">
        <v>132</v>
      </c>
      <c r="F425" s="28" t="str">
        <f>HYPERLINK("https://www.youtube.com/watch?v=50rmu5Rsge4",'Players&gt;List'!$B18)</f>
        <v>[HGB]</v>
      </c>
      <c r="G425" s="28" t="str">
        <f>HYPERLINK("https://www.youtube.com/watch?v=qfE3GiwjwK4&amp;t=126s",'Players&gt;List'!$B16)</f>
        <v>[GEA]</v>
      </c>
      <c r="H425" s="1"/>
      <c r="I425" s="1"/>
      <c r="J425" s="1"/>
      <c r="K425" s="1"/>
      <c r="L425" s="1"/>
      <c r="M425" s="1"/>
      <c r="N425" s="4"/>
    </row>
    <row r="426">
      <c r="A426" s="1"/>
      <c r="B426" s="14" t="s">
        <v>1815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"/>
    </row>
    <row r="427">
      <c r="A427" s="1"/>
      <c r="B427" s="4" t="s">
        <v>1818</v>
      </c>
      <c r="D427" s="9"/>
      <c r="E427" s="17" t="s">
        <v>14</v>
      </c>
      <c r="F427" s="28" t="str">
        <f>HYPERLINK("https://youtu.be/D1l3NTyK97k?t=501",'Players&gt;List'!$B10)</f>
        <v>[CAM]</v>
      </c>
      <c r="G427" s="28" t="str">
        <f>HYPERLINK("https://www.youtube.com/watch?v=qfE3GiwjwK4&amp;t=191s",'Players&gt;List'!$B16)</f>
        <v>[GEA]</v>
      </c>
      <c r="H427" s="1"/>
      <c r="I427" s="1"/>
      <c r="J427" s="1"/>
      <c r="K427" s="1"/>
      <c r="L427" s="1"/>
      <c r="M427" s="1"/>
      <c r="N427" s="1"/>
    </row>
    <row r="428">
      <c r="A428" s="1"/>
      <c r="B428" s="25" t="s">
        <v>88</v>
      </c>
      <c r="E428" s="26" t="s">
        <v>90</v>
      </c>
      <c r="F428" s="28" t="str">
        <f>HYPERLINK("https://www.youtube.com/watch?v=qfE3GiwjwK4&amp;t=219s",'Players&gt;List'!$B16)</f>
        <v>[GEA]</v>
      </c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4" t="s">
        <v>1827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"/>
    </row>
    <row r="430">
      <c r="A430" s="1"/>
      <c r="B430" s="4" t="s">
        <v>1829</v>
      </c>
      <c r="D430" s="9"/>
      <c r="E430" s="17" t="s">
        <v>14</v>
      </c>
      <c r="F430" s="28" t="str">
        <f>HYPERLINK("https://youtu.be/D1l3NTyK97k?t=548",'Players&gt;List'!$B10)</f>
        <v>[CAM]</v>
      </c>
      <c r="G430" s="28" t="str">
        <f>HYPERLINK("https://www.youtube.com/watch?v=qfE3GiwjwK4&amp;t=234s",'Players&gt;List'!$B16)</f>
        <v>[GEA]</v>
      </c>
      <c r="H430" s="1"/>
      <c r="I430" s="1"/>
      <c r="J430" s="1"/>
      <c r="K430" s="1"/>
      <c r="L430" s="1"/>
      <c r="M430" s="1"/>
      <c r="N430" s="4"/>
    </row>
    <row r="431">
      <c r="A431" s="1"/>
      <c r="B431" s="25" t="s">
        <v>387</v>
      </c>
      <c r="E431" s="26" t="s">
        <v>110</v>
      </c>
      <c r="F431" s="28" t="str">
        <f>HYPERLINK("https://www.youtube.com/watch?v=qfE3GiwjwK4&amp;t=275s",'Players&gt;List'!$B16)</f>
        <v>[GEA]</v>
      </c>
      <c r="G431" s="1"/>
      <c r="H431" s="1"/>
      <c r="I431" s="1"/>
      <c r="J431" s="1"/>
      <c r="K431" s="1"/>
      <c r="L431" s="1"/>
      <c r="M431" s="1"/>
      <c r="N431" s="4"/>
    </row>
    <row r="432">
      <c r="A432" s="1"/>
      <c r="B432" s="14" t="s">
        <v>1838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"/>
    </row>
    <row r="433">
      <c r="A433" s="1"/>
      <c r="B433" s="4" t="s">
        <v>1839</v>
      </c>
      <c r="D433" s="9"/>
      <c r="E433" s="17" t="s">
        <v>14</v>
      </c>
      <c r="F433" s="28" t="str">
        <f>HYPERLINK("https://youtu.be/D1l3NTyK97k?t=580",'Players&gt;List'!$B10)</f>
        <v>[CAM]</v>
      </c>
      <c r="G433" s="28" t="str">
        <f>HYPERLINK("https://www.youtube.com/watch?v=qfE3GiwjwK4&amp;t=318s",'Players&gt;List'!$B16)</f>
        <v>[GEA]</v>
      </c>
      <c r="H433" s="1"/>
      <c r="I433" s="1"/>
      <c r="J433" s="1"/>
      <c r="K433" s="1"/>
      <c r="L433" s="1"/>
      <c r="M433" s="1"/>
      <c r="N433" s="1"/>
    </row>
    <row r="434">
      <c r="A434" s="1"/>
      <c r="B434" s="25" t="s">
        <v>88</v>
      </c>
      <c r="E434" s="26" t="s">
        <v>90</v>
      </c>
      <c r="F434" s="28" t="str">
        <f>HYPERLINK("https://www.youtube.com/watch?v=qfE3GiwjwK4&amp;t=331s",'Players&gt;List'!$B16)</f>
        <v>[GEA]</v>
      </c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4" t="s">
        <v>1845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4"/>
    </row>
    <row r="436">
      <c r="A436" s="1"/>
      <c r="B436" s="4" t="s">
        <v>1846</v>
      </c>
      <c r="D436" s="9"/>
      <c r="E436" s="17" t="s">
        <v>14</v>
      </c>
      <c r="F436" s="28" t="str">
        <f>HYPERLINK("https://youtu.be/D1l3NTyK97k?t=714",'Players&gt;List'!$B10)</f>
        <v>[CAM]</v>
      </c>
      <c r="G436" s="28" t="str">
        <f>HYPERLINK("https://www.youtube.com/watch?v=qfE3GiwjwK4&amp;t=345s",'Players&gt;List'!$B16)</f>
        <v>[GEA]</v>
      </c>
      <c r="H436" s="1"/>
      <c r="I436" s="1"/>
      <c r="J436" s="1"/>
      <c r="K436" s="1"/>
      <c r="L436" s="1"/>
      <c r="M436" s="1"/>
      <c r="N436" s="1"/>
    </row>
    <row r="437">
      <c r="A437" s="1"/>
      <c r="B437" s="25" t="s">
        <v>88</v>
      </c>
      <c r="E437" s="26" t="s">
        <v>90</v>
      </c>
      <c r="F437" s="28" t="str">
        <f>HYPERLINK("https://www.youtube.com/watch?v=wnqr6Pzf778",'Players&gt;List'!$B18)</f>
        <v>[HGB]</v>
      </c>
      <c r="G437" s="28" t="str">
        <f>HYPERLINK("https://www.youtube.com/watch?v=qfE3GiwjwK4&amp;t=428s",'Players&gt;List'!$B16)</f>
        <v>[GEA]</v>
      </c>
      <c r="H437" s="1"/>
      <c r="I437" s="1"/>
      <c r="J437" s="1"/>
      <c r="K437" s="1"/>
      <c r="L437" s="1"/>
      <c r="M437" s="1"/>
      <c r="N437" s="1"/>
    </row>
    <row r="438">
      <c r="A438" s="1"/>
      <c r="B438" s="14" t="s">
        <v>1856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"/>
    </row>
    <row r="439">
      <c r="A439" s="1"/>
      <c r="B439" s="4" t="s">
        <v>1859</v>
      </c>
      <c r="D439" s="9"/>
      <c r="E439" s="17" t="s">
        <v>14</v>
      </c>
      <c r="F439" s="28" t="str">
        <f>HYPERLINK("https://youtu.be/Bn3hRK_cuBI?t=22",'Players&gt;List'!$B10)</f>
        <v>[CAM]</v>
      </c>
      <c r="G439" s="28" t="str">
        <f>HYPERLINK("https://www.youtube.com/watch?v=Z7_sJjIwx8s&amp;t=5s",'Players&gt;List'!$B16)</f>
        <v>[GEA]</v>
      </c>
      <c r="H439" s="1"/>
      <c r="I439" s="1"/>
      <c r="J439" s="1"/>
      <c r="K439" s="1"/>
      <c r="L439" s="1"/>
      <c r="M439" s="1"/>
      <c r="N439" s="1"/>
    </row>
    <row r="440">
      <c r="A440" s="1"/>
      <c r="B440" s="25" t="s">
        <v>149</v>
      </c>
      <c r="E440" s="26" t="s">
        <v>90</v>
      </c>
      <c r="F440" s="28" t="str">
        <f>HYPERLINK("https://www.youtube.com/watch?v=Z7_sJjIwx8s&amp;t=18s",'Players&gt;List'!$B16)</f>
        <v>[GEA]</v>
      </c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4" t="s">
        <v>1863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"/>
    </row>
    <row r="442">
      <c r="A442" s="1"/>
      <c r="B442" s="4" t="s">
        <v>1867</v>
      </c>
      <c r="D442" s="9"/>
      <c r="E442" s="17" t="s">
        <v>14</v>
      </c>
      <c r="F442" s="28" t="str">
        <f>HYPERLINK("https://youtu.be/Bn3hRK_cuBI?t=51",'Players&gt;List'!$B10)</f>
        <v>[CAM]</v>
      </c>
      <c r="G442" s="28" t="str">
        <f>HYPERLINK("https://www.youtube.com/watch?v=Z7_sJjIwx8s&amp;t=43s",'Players&gt;List'!$B16)</f>
        <v>[GEA]</v>
      </c>
      <c r="H442" s="1"/>
      <c r="I442" s="1"/>
      <c r="J442" s="1"/>
      <c r="K442" s="1"/>
      <c r="L442" s="1"/>
      <c r="M442" s="1"/>
      <c r="N442" s="1"/>
    </row>
    <row r="443">
      <c r="A443" s="1"/>
      <c r="B443" s="25" t="s">
        <v>166</v>
      </c>
      <c r="E443" s="26" t="s">
        <v>110</v>
      </c>
      <c r="F443" s="28" t="str">
        <f>HYPERLINK("https://www.youtube.com/watch?v=Z7_sJjIwx8s&amp;t=55s",'Players&gt;List'!$B16)</f>
        <v>[GEA]</v>
      </c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4" t="s">
        <v>1869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"/>
    </row>
    <row r="445">
      <c r="A445" s="1"/>
      <c r="B445" s="4" t="s">
        <v>1870</v>
      </c>
      <c r="D445" s="9"/>
      <c r="E445" s="17" t="s">
        <v>14</v>
      </c>
      <c r="F445" s="28" t="str">
        <f>HYPERLINK("https://youtu.be/Bn3hRK_cuBI?t=76",'Players&gt;List'!$B10)</f>
        <v>[CAM]</v>
      </c>
      <c r="G445" s="28" t="str">
        <f>HYPERLINK("https://www.youtube.com/watch?v=Z7_sJjIwx8s&amp;t=71s",'Players&gt;List'!$B16)</f>
        <v>[GEA]</v>
      </c>
      <c r="H445" s="1"/>
      <c r="I445" s="1"/>
      <c r="J445" s="1"/>
      <c r="K445" s="1"/>
      <c r="L445" s="1"/>
      <c r="M445" s="1"/>
      <c r="N445" s="1"/>
    </row>
    <row r="446">
      <c r="A446" s="1"/>
      <c r="B446" s="25" t="s">
        <v>233</v>
      </c>
      <c r="E446" s="26" t="s">
        <v>234</v>
      </c>
      <c r="F446" s="28" t="str">
        <f>HYPERLINK("https://www.youtube.com/watch?v=mlPzF6zhKuo&amp;index=242&amp;list=PLbU6uWaIKemqNvTeRxK-Ay6PRg9iwCKVi&amp;t=0s",'Players&gt;List'!$B19)</f>
        <v>[HIT]</v>
      </c>
      <c r="G446" s="28" t="str">
        <f>HYPERLINK("https://www.youtube.com/watch?v=Z7_sJjIwx8s&amp;t=78s",'Players&gt;List'!$B16)</f>
        <v>[GEA]</v>
      </c>
      <c r="H446" s="1"/>
      <c r="I446" s="1"/>
      <c r="J446" s="1"/>
      <c r="K446" s="1"/>
      <c r="L446" s="1"/>
      <c r="M446" s="1"/>
      <c r="N446" s="1"/>
    </row>
    <row r="447">
      <c r="A447" s="1"/>
      <c r="B447" s="14" t="s">
        <v>1873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"/>
    </row>
    <row r="448">
      <c r="A448" s="1"/>
      <c r="B448" s="4" t="s">
        <v>1874</v>
      </c>
      <c r="D448" s="9"/>
      <c r="E448" s="17" t="s">
        <v>14</v>
      </c>
      <c r="F448" s="28" t="str">
        <f>HYPERLINK("https://youtu.be/Bn3hRK_cuBI?t=86",'Players&gt;List'!$B10)</f>
        <v>[CAM]</v>
      </c>
      <c r="G448" s="28" t="str">
        <f>HYPERLINK("https://www.youtube.com/watch?v=Z7_sJjIwx8s&amp;t=130s",'Players&gt;List'!$B16)</f>
        <v>[GEA]</v>
      </c>
      <c r="H448" s="1"/>
      <c r="I448" s="1"/>
      <c r="J448" s="1"/>
      <c r="K448" s="1"/>
      <c r="L448" s="1"/>
      <c r="M448" s="1"/>
      <c r="N448" s="1"/>
    </row>
    <row r="449">
      <c r="A449" s="1"/>
      <c r="B449" s="25" t="s">
        <v>117</v>
      </c>
      <c r="E449" s="26" t="s">
        <v>110</v>
      </c>
      <c r="F449" s="28" t="str">
        <f>HYPERLINK("https://www.youtube.com/watch?v=Z7_sJjIwx8s&amp;t=142s",'Players&gt;List'!$B16)</f>
        <v>[GEA]</v>
      </c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4" t="s">
        <v>1878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"/>
    </row>
    <row r="451">
      <c r="A451" s="1"/>
      <c r="B451" s="4" t="s">
        <v>1880</v>
      </c>
      <c r="D451" s="9"/>
      <c r="E451" s="17" t="s">
        <v>14</v>
      </c>
      <c r="F451" s="28" t="str">
        <f>HYPERLINK("https://youtu.be/Bn3hRK_cuBI?t=142",'Players&gt;List'!$B10)</f>
        <v>[CAM]</v>
      </c>
      <c r="G451" s="28" t="str">
        <f>HYPERLINK("https://www.youtube.com/watch?v=Z7_sJjIwx8s&amp;t=173s",'Players&gt;List'!$B16)</f>
        <v>[GEA]</v>
      </c>
      <c r="H451" s="1"/>
      <c r="I451" s="1"/>
      <c r="J451" s="1"/>
      <c r="K451" s="1"/>
      <c r="L451" s="1"/>
      <c r="M451" s="1"/>
      <c r="N451" s="1"/>
    </row>
    <row r="452">
      <c r="A452" s="1"/>
      <c r="B452" s="25" t="s">
        <v>422</v>
      </c>
      <c r="E452" s="26" t="s">
        <v>110</v>
      </c>
      <c r="F452" s="28" t="str">
        <f>HYPERLINK("https://www.youtube.com/watch?v=Z7_sJjIwx8s&amp;t=208s",'Players&gt;List'!$B16)</f>
        <v>[GEA]</v>
      </c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25" t="s">
        <v>649</v>
      </c>
      <c r="E453" s="26" t="s">
        <v>147</v>
      </c>
      <c r="F453" s="28" t="str">
        <f>HYPERLINK("https://www.youtube.com/watch?v=Z7_sJjIwx8s&amp;t=261s",'Players&gt;List'!$B16)</f>
        <v>[GEA]</v>
      </c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4" t="s">
        <v>1891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"/>
    </row>
    <row r="455">
      <c r="A455" s="1"/>
      <c r="B455" s="4" t="s">
        <v>1892</v>
      </c>
      <c r="D455" s="9"/>
      <c r="E455" s="17" t="s">
        <v>14</v>
      </c>
      <c r="F455" s="28" t="str">
        <f>HYPERLINK("https://youtu.be/Bn3hRK_cuBI?t=193",'Players&gt;List'!$B10)</f>
        <v>[CAM]</v>
      </c>
      <c r="G455" s="28" t="str">
        <f>HYPERLINK("https://youtu.be/aBGPEWljcTs",'Players&gt;List'!$B29)</f>
        <v>[SYS]</v>
      </c>
      <c r="H455" s="28" t="str">
        <f>HYPERLINK("https://www.youtube.com/watch?v=UI9Qpvqnr3w&amp;t=5s",'Players&gt;List'!$B16)</f>
        <v>[GEA]</v>
      </c>
      <c r="I455" s="1"/>
      <c r="J455" s="1"/>
      <c r="K455" s="1"/>
      <c r="L455" s="1"/>
      <c r="M455" s="1"/>
      <c r="N455" s="1"/>
    </row>
    <row r="456">
      <c r="A456" s="1"/>
      <c r="B456" s="25" t="s">
        <v>117</v>
      </c>
      <c r="E456" s="26" t="s">
        <v>110</v>
      </c>
      <c r="F456" s="28" t="str">
        <f>HYPERLINK("https://www.youtube.com/watch?v=UI9Qpvqnr3w&amp;t=15s",'Players&gt;List'!$B16)</f>
        <v>[GEA]</v>
      </c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4" t="s">
        <v>1900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"/>
    </row>
    <row r="458">
      <c r="A458" s="1"/>
      <c r="B458" s="4" t="s">
        <v>1903</v>
      </c>
      <c r="D458" s="9"/>
      <c r="E458" s="17" t="s">
        <v>14</v>
      </c>
      <c r="F458" s="28" t="str">
        <f>HYPERLINK("https://youtu.be/Bn3hRK_cuBI?t=204",'Players&gt;List'!$B10)</f>
        <v>[CAM]</v>
      </c>
      <c r="G458" s="28" t="str">
        <f>HYPERLINK("https://youtu.be/aBGPEWljcTs?t=12s",'Players&gt;List'!$B29)</f>
        <v>[SYS]</v>
      </c>
      <c r="H458" s="28" t="str">
        <f>HYPERLINK("https://www.youtube.com/watch?v=UI9Qpvqnr3w&amp;t=32s",'Players&gt;List'!$B16)</f>
        <v>[GEA]</v>
      </c>
      <c r="I458" s="1"/>
      <c r="J458" s="1"/>
      <c r="K458" s="1"/>
      <c r="L458" s="1"/>
      <c r="M458" s="1"/>
      <c r="N458" s="1"/>
    </row>
    <row r="459">
      <c r="A459" s="1"/>
      <c r="B459" s="25" t="s">
        <v>117</v>
      </c>
      <c r="E459" s="26" t="s">
        <v>110</v>
      </c>
      <c r="F459" s="28" t="str">
        <f>HYPERLINK("https://www.twitch.tv/videos/401639896",'Players&gt;List'!$B24)</f>
        <v>[NIM]</v>
      </c>
      <c r="G459" s="28" t="str">
        <f>HYPERLINK("https://www.youtube.com/watch?v=UI9Qpvqnr3w&amp;t=49s",'Players&gt;List'!$B16)</f>
        <v>[GEA]</v>
      </c>
      <c r="H459" s="1"/>
      <c r="I459" s="1"/>
      <c r="J459" s="1"/>
      <c r="K459" s="1"/>
      <c r="L459" s="1"/>
      <c r="M459" s="1"/>
      <c r="N459" s="1"/>
    </row>
    <row r="460">
      <c r="A460" s="1"/>
      <c r="B460" s="14" t="s">
        <v>1917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"/>
    </row>
    <row r="461">
      <c r="A461" s="1"/>
      <c r="B461" s="4" t="s">
        <v>1920</v>
      </c>
      <c r="D461" s="9"/>
      <c r="E461" s="17" t="s">
        <v>14</v>
      </c>
      <c r="F461" s="28" t="str">
        <f>HYPERLINK("https://youtu.be/Bn3hRK_cuBI?t=269",'Players&gt;List'!$B10)</f>
        <v>[CAM]</v>
      </c>
      <c r="G461" s="28" t="str">
        <f>HYPERLINK("https://youtu.be/aBGPEWljcTs?t=35s",'Players&gt;List'!$B29)</f>
        <v>[SYS]</v>
      </c>
      <c r="H461" s="28" t="str">
        <f>HYPERLINK("https://www.youtube.com/watch?v=UI9Qpvqnr3w&amp;t=115s",'Players&gt;List'!$B16)</f>
        <v>[GEA]</v>
      </c>
      <c r="I461" s="1"/>
      <c r="J461" s="1"/>
      <c r="K461" s="1"/>
      <c r="L461" s="1"/>
      <c r="M461" s="1"/>
      <c r="N461" s="1"/>
    </row>
    <row r="462">
      <c r="A462" s="1"/>
      <c r="B462" s="25" t="s">
        <v>149</v>
      </c>
      <c r="E462" s="26" t="s">
        <v>90</v>
      </c>
      <c r="F462" s="28" t="str">
        <f>HYPERLINK("https://www.youtube.com/watch?v=UI9Qpvqnr3w&amp;t=135s",'Players&gt;List'!$B16)</f>
        <v>[GEA]</v>
      </c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4" t="s">
        <v>1932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"/>
    </row>
    <row r="464">
      <c r="A464" s="1"/>
      <c r="B464" s="4" t="s">
        <v>1934</v>
      </c>
      <c r="D464" s="9"/>
      <c r="E464" s="17" t="s">
        <v>14</v>
      </c>
      <c r="F464" s="28" t="str">
        <f>HYPERLINK("https://youtu.be/Bn3hRK_cuBI?t=291",'Players&gt;List'!$B10)</f>
        <v>[CAM]</v>
      </c>
      <c r="G464" s="28" t="str">
        <f>HYPERLINK("https://youtu.be/aBGPEWljcTs?t=58s",'Players&gt;List'!$B29)</f>
        <v>[SYS]</v>
      </c>
      <c r="H464" s="28" t="str">
        <f>HYPERLINK("https://www.youtube.com/watch?v=UI9Qpvqnr3w&amp;t=180s",'Players&gt;List'!$B16)</f>
        <v>[GEA]</v>
      </c>
      <c r="I464" s="1"/>
      <c r="J464" s="1"/>
      <c r="K464" s="1"/>
      <c r="L464" s="1"/>
      <c r="M464" s="1"/>
      <c r="N464" s="1"/>
    </row>
    <row r="465">
      <c r="A465" s="1"/>
      <c r="B465" s="25" t="s">
        <v>149</v>
      </c>
      <c r="E465" s="26" t="s">
        <v>90</v>
      </c>
      <c r="F465" s="28" t="str">
        <f>HYPERLINK("https://www.youtube.com/watch?v=UI9Qpvqnr3w&amp;t=204s",'Players&gt;List'!$B16)</f>
        <v>[GEA]</v>
      </c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4" t="s">
        <v>1944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"/>
    </row>
    <row r="467">
      <c r="A467" s="1"/>
      <c r="B467" s="4" t="s">
        <v>1948</v>
      </c>
      <c r="D467" s="9"/>
      <c r="E467" s="17" t="s">
        <v>14</v>
      </c>
      <c r="F467" s="28" t="str">
        <f>HYPERLINK("https://youtu.be/Bn3hRK_cuBI?t=437",'Players&gt;List'!$B10)</f>
        <v>[CAM]</v>
      </c>
      <c r="G467" s="28" t="str">
        <f>HYPERLINK("https://youtu.be/aBGPEWljcTs?t=1m24s",'Players&gt;List'!$B29)</f>
        <v>[SYS]</v>
      </c>
      <c r="H467" s="28" t="str">
        <f>HYPERLINK("https://www.youtube.com/watch?v=UI9Qpvqnr3w&amp;t=232s",'Players&gt;List'!$B16)</f>
        <v>[GEA]</v>
      </c>
      <c r="I467" s="1"/>
      <c r="J467" s="1"/>
      <c r="K467" s="1"/>
      <c r="L467" s="1"/>
      <c r="M467" s="1"/>
      <c r="N467" s="1"/>
    </row>
    <row r="468">
      <c r="A468" s="1"/>
      <c r="B468" s="25" t="s">
        <v>88</v>
      </c>
      <c r="E468" s="26" t="s">
        <v>90</v>
      </c>
      <c r="F468" s="28" t="str">
        <f>HYPERLINK("https://www.youtube.com/watch?v=UI9Qpvqnr3w&amp;t=276s",'Players&gt;List'!$B16)</f>
        <v>[GEA]</v>
      </c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4" t="s">
        <v>1960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"/>
    </row>
    <row r="470">
      <c r="A470" s="1"/>
      <c r="B470" s="4" t="s">
        <v>1962</v>
      </c>
      <c r="D470" s="9"/>
      <c r="E470" s="17" t="s">
        <v>14</v>
      </c>
      <c r="F470" s="28" t="str">
        <f>HYPERLINK("https://youtu.be/Bn3hRK_cuBI?t=511",'Players&gt;List'!$B10)</f>
        <v>[CAM]</v>
      </c>
      <c r="G470" s="28" t="str">
        <f>HYPERLINK("https://www.youtube.com/watch?v=9K9ytrxrafo&amp;t=5s",'Players&gt;List'!$B16)</f>
        <v>[GEA]</v>
      </c>
      <c r="H470" s="1"/>
      <c r="I470" s="1"/>
      <c r="J470" s="1"/>
      <c r="K470" s="1"/>
      <c r="L470" s="1"/>
      <c r="M470" s="1"/>
      <c r="N470" s="1"/>
    </row>
    <row r="471">
      <c r="A471" s="1"/>
      <c r="B471" s="25" t="s">
        <v>88</v>
      </c>
      <c r="E471" s="26" t="s">
        <v>90</v>
      </c>
      <c r="F471" s="28" t="str">
        <f>HYPERLINK("https://www.youtube.com/watch?v=9K9ytrxrafo&amp;t=17s",'Players&gt;List'!$B16)</f>
        <v>[GEA]</v>
      </c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4" t="s">
        <v>1973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"/>
    </row>
    <row r="473">
      <c r="A473" s="1"/>
      <c r="B473" s="4" t="s">
        <v>1975</v>
      </c>
      <c r="D473" s="9"/>
      <c r="E473" s="17" t="s">
        <v>14</v>
      </c>
      <c r="F473" s="28" t="str">
        <f>HYPERLINK("https://youtu.be/Bn3hRK_cuBI?t=531",'Players&gt;List'!$B10)</f>
        <v>[CAM]</v>
      </c>
      <c r="G473" s="28" t="str">
        <f>HYPERLINK("https://www.youtube.com/watch?v=9K9ytrxrafo&amp;t=36s",'Players&gt;List'!$B16)</f>
        <v>[GEA]</v>
      </c>
      <c r="H473" s="1"/>
      <c r="I473" s="1"/>
      <c r="J473" s="1"/>
      <c r="K473" s="1"/>
      <c r="L473" s="1"/>
      <c r="M473" s="1"/>
      <c r="N473" s="1"/>
    </row>
    <row r="474">
      <c r="A474" s="1"/>
      <c r="B474" s="25" t="s">
        <v>149</v>
      </c>
      <c r="E474" s="26" t="s">
        <v>90</v>
      </c>
      <c r="F474" s="28" t="str">
        <f>HYPERLINK("https://www.youtube.com/watch?v=9K9ytrxrafo&amp;t=47s",'Players&gt;List'!$B16)</f>
        <v>[GEA]</v>
      </c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4" t="s">
        <v>1981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"/>
    </row>
    <row r="476">
      <c r="A476" s="1"/>
      <c r="B476" s="4" t="s">
        <v>1985</v>
      </c>
      <c r="D476" s="9"/>
      <c r="E476" s="17" t="s">
        <v>14</v>
      </c>
      <c r="F476" s="28" t="str">
        <f>HYPERLINK("https://youtu.be/Bn3hRK_cuBI?t=841",'Players&gt;List'!$B10)</f>
        <v>[CAM]</v>
      </c>
      <c r="G476" s="28" t="str">
        <f>HYPERLINK("https://www.youtube.com/watch?v=9K9ytrxrafo&amp;t=65s",'Players&gt;List'!$B16)</f>
        <v>[GEA]</v>
      </c>
      <c r="H476" s="1"/>
      <c r="I476" s="1"/>
      <c r="J476" s="1"/>
      <c r="K476" s="1"/>
      <c r="L476" s="1"/>
      <c r="M476" s="1"/>
      <c r="N476" s="1"/>
    </row>
    <row r="477">
      <c r="A477" s="1"/>
      <c r="B477" s="25" t="s">
        <v>88</v>
      </c>
      <c r="E477" s="26" t="s">
        <v>90</v>
      </c>
      <c r="F477" s="28" t="str">
        <f>HYPERLINK("https://www.youtube.com/watch?v=9K9ytrxrafo&amp;t=79s",'Players&gt;List'!$B16)</f>
        <v>[GEA]</v>
      </c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4" t="s">
        <v>1992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"/>
    </row>
    <row r="479">
      <c r="A479" s="1"/>
      <c r="B479" s="4" t="s">
        <v>1995</v>
      </c>
      <c r="D479" s="9"/>
      <c r="E479" s="17" t="s">
        <v>14</v>
      </c>
      <c r="F479" s="28" t="str">
        <f>HYPERLINK("https://youtu.be/Bn3hRK_cuBI?t=1023",'Players&gt;List'!$B10)</f>
        <v>[CAM]</v>
      </c>
      <c r="G479" s="28" t="str">
        <f>HYPERLINK("https://www.youtube.com/watch?v=9K9ytrxrafo&amp;t=90s",'Players&gt;List'!$B16)</f>
        <v>[GEA]</v>
      </c>
      <c r="H479" s="1"/>
      <c r="I479" s="1"/>
      <c r="J479" s="1"/>
      <c r="K479" s="1"/>
      <c r="L479" s="1"/>
      <c r="M479" s="1"/>
      <c r="N479" s="1"/>
    </row>
    <row r="480">
      <c r="A480" s="1"/>
      <c r="B480" s="25" t="s">
        <v>166</v>
      </c>
      <c r="E480" s="26" t="s">
        <v>110</v>
      </c>
      <c r="F480" s="28" t="str">
        <f>HYPERLINK("https://www.youtube.com/watch?v=9K9ytrxrafo&amp;t=135s",'Players&gt;List'!$B16)</f>
        <v>[GEA]</v>
      </c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25" t="s">
        <v>444</v>
      </c>
      <c r="E481" s="26" t="s">
        <v>147</v>
      </c>
      <c r="F481" s="28" t="str">
        <f>HYPERLINK("https://www.youtube.com/watch?v=9K9ytrxrafo&amp;t=196s",'Players&gt;List'!$B16)</f>
        <v>[GEA]</v>
      </c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4" t="s">
        <v>2007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"/>
    </row>
    <row r="483">
      <c r="A483" s="1"/>
      <c r="B483" s="4" t="s">
        <v>2009</v>
      </c>
      <c r="D483" s="9"/>
      <c r="E483" s="17" t="s">
        <v>14</v>
      </c>
      <c r="F483" s="28" t="str">
        <f>HYPERLINK("https://youtu.be/Bn3hRK_cuBI?t=1074",'Players&gt;List'!$B10)</f>
        <v>[CAM]</v>
      </c>
      <c r="G483" s="28" t="str">
        <f>HYPERLINK("https://www.youtube.com/watch?v=9K9ytrxrafo&amp;t=209s",'Players&gt;List'!$B16)</f>
        <v>[GEA]</v>
      </c>
      <c r="H483" s="1"/>
      <c r="I483" s="1"/>
      <c r="J483" s="1"/>
      <c r="K483" s="1"/>
      <c r="L483" s="1"/>
      <c r="M483" s="1"/>
      <c r="N483" s="1"/>
    </row>
    <row r="484">
      <c r="A484" s="1"/>
      <c r="B484" s="25" t="s">
        <v>117</v>
      </c>
      <c r="E484" s="26" t="s">
        <v>110</v>
      </c>
      <c r="F484" s="28" t="str">
        <f>HYPERLINK("https://www.youtube.com/watch?v=9K9ytrxrafo&amp;t=242s",'Players&gt;List'!$B16)</f>
        <v>[GEA]</v>
      </c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25" t="s">
        <v>88</v>
      </c>
      <c r="E485" s="26" t="s">
        <v>147</v>
      </c>
      <c r="F485" s="28" t="str">
        <f>HYPERLINK("https://www.youtube.com/watch?v=9K9ytrxrafo&amp;t=274s",'Players&gt;List'!$B16)</f>
        <v>[GEA]</v>
      </c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25" t="s">
        <v>149</v>
      </c>
      <c r="E486" s="26" t="s">
        <v>147</v>
      </c>
      <c r="F486" s="28" t="str">
        <f>HYPERLINK("https://www.youtube.com/watch?v=9K9ytrxrafo&amp;t=289s",'Players&gt;List'!$B16)</f>
        <v>[GEA]</v>
      </c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25" t="s">
        <v>108</v>
      </c>
      <c r="E487" s="26" t="s">
        <v>132</v>
      </c>
      <c r="F487" s="28" t="str">
        <f>HYPERLINK("https://www.youtube.com/watch?v=9K9ytrxrafo&amp;t=317s",'Players&gt;List'!$B16)</f>
        <v>[GEA]</v>
      </c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4" t="s">
        <v>2029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"/>
    </row>
    <row r="489">
      <c r="A489" s="1"/>
      <c r="B489" s="4" t="s">
        <v>2032</v>
      </c>
      <c r="D489" s="9"/>
      <c r="E489" s="17" t="s">
        <v>14</v>
      </c>
      <c r="F489" s="28" t="str">
        <f>HYPERLINK("https://youtu.be/ZQXB29zqbUA?t=43",'Players&gt;List'!$B10)</f>
        <v>[CAM]</v>
      </c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25" t="s">
        <v>88</v>
      </c>
      <c r="E490" s="26" t="s">
        <v>90</v>
      </c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4" t="s">
        <v>2038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"/>
    </row>
    <row r="492">
      <c r="A492" s="1"/>
      <c r="B492" s="4" t="s">
        <v>2040</v>
      </c>
      <c r="D492" s="9"/>
      <c r="E492" s="17" t="s">
        <v>14</v>
      </c>
      <c r="F492" s="28" t="str">
        <f>HYPERLINK("https://youtu.be/ZQXB29zqbUA?t=197",'Players&gt;List'!$B10)</f>
        <v>[CAM]</v>
      </c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25" t="s">
        <v>149</v>
      </c>
      <c r="E493" s="26" t="s">
        <v>90</v>
      </c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4" t="s">
        <v>2046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"/>
    </row>
    <row r="495">
      <c r="A495" s="1"/>
      <c r="B495" s="4" t="s">
        <v>2049</v>
      </c>
      <c r="D495" s="9"/>
      <c r="E495" s="17" t="s">
        <v>14</v>
      </c>
      <c r="F495" s="28" t="str">
        <f>HYPERLINK("https://youtu.be/ZQXB29zqbUA?t=305",'Players&gt;List'!$B10)</f>
        <v>[CAM]</v>
      </c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25" t="s">
        <v>131</v>
      </c>
      <c r="E496" s="26" t="s">
        <v>110</v>
      </c>
      <c r="F496" s="28" t="str">
        <f>HYPERLINK("https://www.youtube.com/watch?v=oECa7bWf-Z0",'Players&gt;List'!$B18)</f>
        <v>[HGB]</v>
      </c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4" t="s">
        <v>2054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"/>
    </row>
    <row r="498">
      <c r="A498" s="1"/>
      <c r="B498" s="4" t="s">
        <v>2057</v>
      </c>
      <c r="D498" s="9"/>
      <c r="E498" s="17" t="s">
        <v>14</v>
      </c>
      <c r="F498" s="28" t="str">
        <f>HYPERLINK("https://youtu.be/ZQXB29zqbUA?t=346",'Players&gt;List'!$B10)</f>
        <v>[CAM]</v>
      </c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25" t="s">
        <v>649</v>
      </c>
      <c r="E499" s="26" t="s">
        <v>90</v>
      </c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25" t="s">
        <v>444</v>
      </c>
      <c r="E500" s="26" t="s">
        <v>147</v>
      </c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25" t="s">
        <v>335</v>
      </c>
      <c r="E501" s="26" t="s">
        <v>147</v>
      </c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4" t="s">
        <v>2064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"/>
    </row>
    <row r="503">
      <c r="A503" s="1"/>
      <c r="B503" s="4" t="s">
        <v>2066</v>
      </c>
      <c r="D503" s="9"/>
      <c r="E503" s="17" t="s">
        <v>14</v>
      </c>
      <c r="F503" s="28" t="str">
        <f>HYPERLINK("https://youtu.be/ZQXB29zqbUA?t=463",'Players&gt;List'!$B10)</f>
        <v>[CAM]</v>
      </c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25" t="s">
        <v>387</v>
      </c>
      <c r="E504" s="26" t="s">
        <v>110</v>
      </c>
      <c r="F504" s="28" t="str">
        <f>HYPERLINK("https://www.youtube.com/watch?v=OZoPaF5Ja0s&amp;index=214&amp;t=0s&amp;list=PLbU6uWaIKemqNvTeRxK-Ay6PRg9iwCKVi",'Players&gt;List'!$B19)</f>
        <v>[HIT]</v>
      </c>
      <c r="G504" s="28" t="str">
        <f>HYPERLINK("https://www.youtube.com/watch?v=nKFMSGXp-VQ",'Players&gt;List'!$B28)</f>
        <v>[SUN]</v>
      </c>
      <c r="H504" s="1"/>
      <c r="I504" s="1"/>
      <c r="J504" s="1"/>
      <c r="K504" s="1"/>
      <c r="L504" s="1"/>
      <c r="M504" s="1"/>
      <c r="N504" s="1"/>
    </row>
    <row r="505">
      <c r="A505" s="1"/>
      <c r="B505" s="25" t="s">
        <v>88</v>
      </c>
      <c r="E505" s="26" t="s">
        <v>147</v>
      </c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25" t="s">
        <v>649</v>
      </c>
      <c r="E506" s="26" t="s">
        <v>147</v>
      </c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4" t="s">
        <v>2072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"/>
    </row>
    <row r="508">
      <c r="A508" s="1"/>
      <c r="B508" s="4" t="s">
        <v>2074</v>
      </c>
      <c r="D508" s="9"/>
      <c r="E508" s="17" t="s">
        <v>14</v>
      </c>
      <c r="F508" s="28" t="str">
        <f>HYPERLINK("https://youtu.be/ZQXB29zqbUA?t=510",'Players&gt;List'!$B10)</f>
        <v>[CAM]</v>
      </c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25" t="s">
        <v>88</v>
      </c>
      <c r="E509" s="26" t="s">
        <v>90</v>
      </c>
      <c r="F509" s="28" t="str">
        <f>HYPERLINK("https://www.twitch.tv/videos/227385692",'Players&gt;List'!$B24)</f>
        <v>[NIM]</v>
      </c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4" t="s">
        <v>2081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"/>
    </row>
    <row r="511">
      <c r="A511" s="1"/>
      <c r="B511" s="4" t="s">
        <v>2083</v>
      </c>
      <c r="D511" s="9"/>
      <c r="E511" s="17" t="s">
        <v>14</v>
      </c>
      <c r="F511" s="28" t="str">
        <f>HYPERLINK("https://youtu.be/ZQXB29zqbUA?t=525",'Players&gt;List'!$B10)</f>
        <v>[CAM]</v>
      </c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25" t="s">
        <v>117</v>
      </c>
      <c r="E512" s="26" t="s">
        <v>110</v>
      </c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25" t="s">
        <v>88</v>
      </c>
      <c r="E513" s="26" t="s">
        <v>147</v>
      </c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25" t="s">
        <v>149</v>
      </c>
      <c r="E514" s="26" t="s">
        <v>147</v>
      </c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4" t="s">
        <v>2089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"/>
    </row>
    <row r="516">
      <c r="A516" s="1"/>
      <c r="B516" s="4" t="s">
        <v>2091</v>
      </c>
      <c r="D516" s="9"/>
      <c r="E516" s="17" t="s">
        <v>14</v>
      </c>
      <c r="F516" s="28" t="str">
        <f>HYPERLINK("https://youtu.be/ZQXB29zqbUA?t=648",'Players&gt;List'!$B10)</f>
        <v>[CAM]</v>
      </c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25" t="s">
        <v>88</v>
      </c>
      <c r="E517" s="26" t="s">
        <v>90</v>
      </c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4" t="s">
        <v>2097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"/>
    </row>
    <row r="519">
      <c r="A519" s="1"/>
      <c r="B519" s="4" t="s">
        <v>2099</v>
      </c>
      <c r="D519" s="9"/>
      <c r="E519" s="17" t="s">
        <v>14</v>
      </c>
      <c r="F519" s="28" t="str">
        <f>HYPERLINK("https://youtu.be/ZQXB29zqbUA?t=794",'Players&gt;List'!$B10)</f>
        <v>[CAM]</v>
      </c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25" t="s">
        <v>157</v>
      </c>
      <c r="E520" s="26" t="s">
        <v>110</v>
      </c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4" t="s">
        <v>2104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"/>
    </row>
    <row r="522">
      <c r="A522" s="1"/>
      <c r="B522" s="4" t="s">
        <v>2107</v>
      </c>
      <c r="D522" s="9"/>
      <c r="E522" s="17" t="s">
        <v>14</v>
      </c>
      <c r="F522" s="28" t="str">
        <f>HYPERLINK("https://youtu.be/ZQXB29zqbUA?t=867",'Players&gt;List'!$B10)</f>
        <v>[CAM]</v>
      </c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25" t="s">
        <v>117</v>
      </c>
      <c r="E523" s="26" t="s">
        <v>110</v>
      </c>
      <c r="F523" s="28" t="str">
        <f>HYPERLINK("https://www.youtube.com/watch?v=7gmatBypLds",'Players&gt;List'!$B32)</f>
        <v>[XEL]</v>
      </c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4" t="s">
        <v>2116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"/>
    </row>
    <row r="525">
      <c r="A525" s="1"/>
      <c r="B525" s="4" t="s">
        <v>2118</v>
      </c>
      <c r="D525" s="9"/>
      <c r="E525" s="17" t="s">
        <v>14</v>
      </c>
      <c r="F525" s="28" t="str">
        <f>HYPERLINK("https://youtu.be/OOoCizOG1YE?t=33",'Players&gt;List'!$B10)</f>
        <v>[CAM]</v>
      </c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25" t="s">
        <v>117</v>
      </c>
      <c r="E526" s="26" t="s">
        <v>110</v>
      </c>
      <c r="F526" s="28" t="str">
        <f>HYPERLINK("https://www.youtube.com/watch?v=LXRg69pldV8",'Players&gt;List'!$B28)</f>
        <v>[SUN]</v>
      </c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4" t="s">
        <v>2120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"/>
    </row>
    <row r="528">
      <c r="A528" s="1"/>
      <c r="B528" s="4" t="s">
        <v>2122</v>
      </c>
      <c r="D528" s="9"/>
      <c r="E528" s="17" t="s">
        <v>14</v>
      </c>
      <c r="F528" s="28" t="str">
        <f>HYPERLINK("https://youtu.be/OOoCizOG1YE?t=50",'Players&gt;List'!$B10)</f>
        <v>[CAM]</v>
      </c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25" t="s">
        <v>117</v>
      </c>
      <c r="E529" s="26" t="s">
        <v>110</v>
      </c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25" t="s">
        <v>88</v>
      </c>
      <c r="E530" s="26" t="s">
        <v>147</v>
      </c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25" t="s">
        <v>149</v>
      </c>
      <c r="E531" s="26" t="s">
        <v>147</v>
      </c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4" t="s">
        <v>2127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"/>
    </row>
    <row r="533">
      <c r="A533" s="1"/>
      <c r="B533" s="4" t="s">
        <v>2130</v>
      </c>
      <c r="D533" s="9"/>
      <c r="E533" s="17" t="s">
        <v>14</v>
      </c>
      <c r="F533" s="28" t="str">
        <f>HYPERLINK("https://youtu.be/OOoCizOG1YE?t=77",'Players&gt;List'!$B10)</f>
        <v>[CAM]</v>
      </c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25" t="s">
        <v>131</v>
      </c>
      <c r="E534" s="26" t="s">
        <v>110</v>
      </c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25" t="s">
        <v>149</v>
      </c>
      <c r="E535" s="26" t="s">
        <v>147</v>
      </c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4" t="s">
        <v>2137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"/>
    </row>
    <row r="537">
      <c r="A537" s="1"/>
      <c r="B537" s="4" t="s">
        <v>2140</v>
      </c>
      <c r="D537" s="9"/>
      <c r="E537" s="17" t="s">
        <v>14</v>
      </c>
      <c r="F537" s="28" t="str">
        <f>HYPERLINK("https://youtu.be/OOoCizOG1YE?t=111",'Players&gt;List'!$B10)</f>
        <v>[CAM]</v>
      </c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25" t="s">
        <v>108</v>
      </c>
      <c r="E538" s="26" t="s">
        <v>110</v>
      </c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25" t="s">
        <v>131</v>
      </c>
      <c r="E539" s="26" t="s">
        <v>132</v>
      </c>
      <c r="F539" s="28" t="str">
        <f>HYPERLINK("https://www.youtube.com/watch?v=sCkiErFRmpM",'Players&gt;List'!$B28)</f>
        <v>[SUN]</v>
      </c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4" t="s">
        <v>2146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"/>
    </row>
    <row r="541">
      <c r="A541" s="1"/>
      <c r="B541" s="4" t="s">
        <v>2148</v>
      </c>
      <c r="D541" s="9"/>
      <c r="E541" s="17" t="s">
        <v>14</v>
      </c>
      <c r="F541" s="28" t="str">
        <f>HYPERLINK("https://youtu.be/OOoCizOG1YE?t=339",'Players&gt;List'!$B10)</f>
        <v>[CAM]</v>
      </c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25" t="s">
        <v>117</v>
      </c>
      <c r="E542" s="26" t="s">
        <v>110</v>
      </c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25" t="s">
        <v>157</v>
      </c>
      <c r="E543" s="26" t="s">
        <v>132</v>
      </c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25" t="s">
        <v>108</v>
      </c>
      <c r="E544" s="26" t="s">
        <v>132</v>
      </c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4" t="s">
        <v>2154</v>
      </c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"/>
    </row>
    <row r="546">
      <c r="A546" s="1"/>
      <c r="B546" s="4" t="s">
        <v>2155</v>
      </c>
      <c r="D546" s="9"/>
      <c r="E546" s="17" t="s">
        <v>14</v>
      </c>
      <c r="F546" s="28" t="str">
        <f>HYPERLINK("https://youtu.be/OOoCizOG1YE?t=408",'Players&gt;List'!$B10)</f>
        <v>[CAM]</v>
      </c>
      <c r="G546" s="28" t="str">
        <f>HYPERLINK("https://www.youtube.com/watch?v=r-lA0QW5ixc",'Players&gt;List'!$B29)</f>
        <v>[SYS]</v>
      </c>
      <c r="H546" s="1"/>
      <c r="I546" s="1"/>
      <c r="J546" s="1"/>
      <c r="K546" s="1"/>
      <c r="L546" s="1"/>
      <c r="M546" s="1"/>
      <c r="N546" s="1"/>
    </row>
    <row r="547">
      <c r="A547" s="1"/>
      <c r="B547" s="25" t="s">
        <v>88</v>
      </c>
      <c r="E547" s="26" t="s">
        <v>90</v>
      </c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4" t="s">
        <v>2158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"/>
    </row>
    <row r="549">
      <c r="A549" s="1"/>
      <c r="B549" s="4" t="s">
        <v>2159</v>
      </c>
      <c r="D549" s="9"/>
      <c r="E549" s="17" t="s">
        <v>14</v>
      </c>
      <c r="F549" s="28" t="str">
        <f>HYPERLINK("https://youtu.be/OOoCizOG1YE?t=432",'Players&gt;List'!$B10)</f>
        <v>[CAM]</v>
      </c>
      <c r="G549" s="28" t="str">
        <f>HYPERLINK("https://youtu.be/r-lA0QW5ixc?t=15s",'Players&gt;List'!$B29)</f>
        <v>[SYS]</v>
      </c>
      <c r="H549" s="1"/>
      <c r="I549" s="1"/>
      <c r="J549" s="1"/>
      <c r="K549" s="1"/>
      <c r="L549" s="1"/>
      <c r="M549" s="1"/>
      <c r="N549" s="1"/>
    </row>
    <row r="550">
      <c r="A550" s="1"/>
      <c r="B550" s="25" t="s">
        <v>2162</v>
      </c>
      <c r="E550" s="26" t="s">
        <v>234</v>
      </c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25" t="s">
        <v>149</v>
      </c>
      <c r="E551" s="26" t="s">
        <v>147</v>
      </c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25" t="s">
        <v>117</v>
      </c>
      <c r="E552" s="26" t="s">
        <v>132</v>
      </c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4" t="s">
        <v>2163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"/>
    </row>
    <row r="554">
      <c r="A554" s="1"/>
      <c r="B554" s="4" t="s">
        <v>2164</v>
      </c>
      <c r="D554" s="9"/>
      <c r="E554" s="17" t="s">
        <v>14</v>
      </c>
      <c r="F554" s="28" t="str">
        <f>HYPERLINK("https://youtu.be/OOoCizOG1YE?t=484",'Players&gt;List'!$B10)</f>
        <v>[CAM]</v>
      </c>
      <c r="G554" s="28" t="str">
        <f>HYPERLINK("https://youtu.be/r-lA0QW5ixc?t=46s",'Players&gt;List'!$B29)</f>
        <v>[SYS]</v>
      </c>
      <c r="H554" s="1"/>
      <c r="I554" s="1"/>
      <c r="J554" s="1"/>
      <c r="K554" s="1"/>
      <c r="L554" s="1"/>
      <c r="M554" s="1"/>
      <c r="N554" s="1"/>
    </row>
    <row r="555">
      <c r="A555" s="1"/>
      <c r="B555" s="25" t="s">
        <v>387</v>
      </c>
      <c r="E555" s="26" t="s">
        <v>110</v>
      </c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25" t="s">
        <v>422</v>
      </c>
      <c r="E556" s="26" t="s">
        <v>132</v>
      </c>
      <c r="F556" s="28" t="str">
        <f>HYPERLINK("https://www.twitch.tv/videos/227384106",'Players&gt;List'!$B24)</f>
        <v>[NIM]</v>
      </c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4" t="s">
        <v>2168</v>
      </c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"/>
    </row>
    <row r="558">
      <c r="A558" s="1"/>
      <c r="B558" s="4" t="s">
        <v>2169</v>
      </c>
      <c r="D558" s="9"/>
      <c r="E558" s="17" t="s">
        <v>14</v>
      </c>
      <c r="F558" s="28" t="str">
        <f>HYPERLINK("https://youtu.be/OOoCizOG1YE?t=554",'Players&gt;List'!$B10)</f>
        <v>[CAM]</v>
      </c>
      <c r="G558" s="28" t="str">
        <f>HYPERLINK("https://youtu.be/r-lA0QW5ixc?t=1m12s",'Players&gt;List'!$B29)</f>
        <v>[SYS]</v>
      </c>
      <c r="H558" s="1"/>
      <c r="I558" s="1"/>
      <c r="J558" s="1"/>
      <c r="K558" s="1"/>
      <c r="L558" s="1"/>
      <c r="M558" s="1"/>
      <c r="N558" s="1"/>
    </row>
    <row r="559">
      <c r="A559" s="1"/>
      <c r="B559" s="25" t="s">
        <v>2171</v>
      </c>
      <c r="E559" s="26" t="s">
        <v>380</v>
      </c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4" t="s">
        <v>2173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"/>
    </row>
    <row r="561">
      <c r="A561" s="1"/>
      <c r="B561" s="4" t="s">
        <v>2174</v>
      </c>
      <c r="D561" s="9"/>
      <c r="E561" s="17" t="s">
        <v>14</v>
      </c>
      <c r="F561" s="28" t="str">
        <f>HYPERLINK("https://youtu.be/OOoCizOG1YE?t=1009",'Players&gt;List'!$B10)</f>
        <v>[CAM]</v>
      </c>
      <c r="G561" s="28" t="str">
        <f>HYPERLINK("https://youtu.be/r-lA0QW5ixc?t=1m39s",'Players&gt;List'!$B29)</f>
        <v>[SYS]</v>
      </c>
      <c r="H561" s="1"/>
      <c r="I561" s="1"/>
      <c r="J561" s="1"/>
      <c r="K561" s="1"/>
      <c r="L561" s="1"/>
      <c r="M561" s="1"/>
      <c r="N561" s="1"/>
    </row>
    <row r="562">
      <c r="A562" s="1"/>
      <c r="B562" s="25" t="s">
        <v>387</v>
      </c>
      <c r="E562" s="26" t="s">
        <v>110</v>
      </c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25" t="s">
        <v>108</v>
      </c>
      <c r="E563" s="26" t="s">
        <v>132</v>
      </c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25" t="s">
        <v>2177</v>
      </c>
      <c r="E564" s="26" t="s">
        <v>1418</v>
      </c>
      <c r="F564" s="28" t="str">
        <f>HYPERLINK("https://www.youtube.com/watch?v=F5dc4TTgwAI",'Players&gt;List'!$B32)</f>
        <v>[XEL]</v>
      </c>
      <c r="G564" s="28" t="str">
        <f>HYPERLINK("https://www.youtube.com/watch?v=xQP9kD5prJs",'Players&gt;List'!$B14)</f>
        <v>[ESP]</v>
      </c>
      <c r="H564" s="28" t="str">
        <f>HYPERLINK("https://www.youtube.com/watch?v=VRLSYg9aGkU&amp;index=321&amp;list=PLbU6uWaIKemqNvTeRxK-Ay6PRg9iwCKVi&amp;t=0s",'Players&gt;List'!$B19)</f>
        <v>[HIT]</v>
      </c>
      <c r="I564" s="1"/>
      <c r="J564" s="1"/>
      <c r="K564" s="1"/>
      <c r="L564" s="1"/>
      <c r="M564" s="1"/>
      <c r="N564" s="1"/>
    </row>
    <row r="565">
      <c r="A565" s="1"/>
      <c r="B565" s="14" t="s">
        <v>2179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"/>
    </row>
    <row r="566">
      <c r="A566" s="1"/>
      <c r="B566" s="4" t="s">
        <v>2181</v>
      </c>
      <c r="D566" s="9"/>
      <c r="E566" s="17" t="s">
        <v>14</v>
      </c>
      <c r="F566" s="28" t="str">
        <f>HYPERLINK("https://youtu.be/OOoCizOG1YE?t=1182",'Players&gt;List'!$B10)</f>
        <v>[CAM]</v>
      </c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25" t="s">
        <v>335</v>
      </c>
      <c r="E567" s="26" t="s">
        <v>90</v>
      </c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25" t="s">
        <v>649</v>
      </c>
      <c r="E568" s="26" t="s">
        <v>147</v>
      </c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25" t="s">
        <v>117</v>
      </c>
      <c r="E569" s="26" t="s">
        <v>132</v>
      </c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25" t="s">
        <v>108</v>
      </c>
      <c r="E570" s="26" t="s">
        <v>132</v>
      </c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25" t="s">
        <v>2184</v>
      </c>
      <c r="E571" s="26" t="s">
        <v>2185</v>
      </c>
      <c r="F571" s="28" t="str">
        <f>HYPERLINK("https://www.youtube.com/watch?v=7QSRwG8GnWE",'Players&gt;List'!$B32)</f>
        <v>[XEL]</v>
      </c>
      <c r="G571" s="28" t="str">
        <f>HYPERLINK("https://www.youtube.com/watch?v=-7d2qgMHjUQ&amp;index=264&amp;list=PLbU6uWaIKemqNvTeRxK-Ay6PRg9iwCKVi&amp;t=0s",'Players&gt;List'!$B19)</f>
        <v>[HIT]</v>
      </c>
      <c r="H571" s="1"/>
      <c r="I571" s="1"/>
      <c r="J571" s="1"/>
      <c r="K571" s="1"/>
      <c r="L571" s="1"/>
      <c r="M571" s="1"/>
      <c r="N571" s="1"/>
    </row>
    <row r="572">
      <c r="A572" s="1"/>
      <c r="B572" s="14" t="s">
        <v>2188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"/>
    </row>
    <row r="573">
      <c r="A573" s="1"/>
      <c r="B573" s="4" t="s">
        <v>2189</v>
      </c>
      <c r="D573" s="9"/>
      <c r="E573" s="17" t="s">
        <v>14</v>
      </c>
      <c r="F573" s="28" t="str">
        <f>HYPERLINK("https://youtu.be/OOoCizOG1YE?t=1231",'Players&gt;List'!$B10)</f>
        <v>[CAM]</v>
      </c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25" t="s">
        <v>88</v>
      </c>
      <c r="E574" s="26" t="s">
        <v>90</v>
      </c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4" t="s">
        <v>2191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"/>
    </row>
    <row r="576">
      <c r="A576" s="1"/>
      <c r="B576" s="4" t="s">
        <v>2193</v>
      </c>
      <c r="D576" s="9"/>
      <c r="E576" s="17" t="s">
        <v>14</v>
      </c>
      <c r="F576" s="28" t="str">
        <f>HYPERLINK("https://youtu.be/OOoCizOG1YE?t=1267",'Players&gt;List'!$B10)</f>
        <v>[CAM]</v>
      </c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25" t="s">
        <v>88</v>
      </c>
      <c r="E577" s="26" t="s">
        <v>90</v>
      </c>
      <c r="F577" s="28" t="str">
        <f>HYPERLINK("https://www.twitch.tv/videos/410180420",'Players&gt;List'!$B24)</f>
        <v>[NIM]</v>
      </c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4" t="s">
        <v>2195</v>
      </c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"/>
    </row>
    <row r="579">
      <c r="A579" s="1"/>
      <c r="B579" s="4" t="s">
        <v>2197</v>
      </c>
      <c r="D579" s="9"/>
      <c r="E579" s="17" t="s">
        <v>14</v>
      </c>
      <c r="F579" s="28" t="str">
        <f>HYPERLINK("https://youtu.be/OOoCizOG1YE?t=1314",'Players&gt;List'!$B10)</f>
        <v>[CAM]</v>
      </c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25" t="s">
        <v>117</v>
      </c>
      <c r="E580" s="26" t="s">
        <v>110</v>
      </c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4" t="s">
        <v>2199</v>
      </c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"/>
    </row>
    <row r="582">
      <c r="A582" s="1"/>
      <c r="B582" s="4" t="s">
        <v>2202</v>
      </c>
      <c r="D582" s="9"/>
      <c r="E582" s="17" t="s">
        <v>14</v>
      </c>
      <c r="F582" s="28" t="str">
        <f>HYPERLINK("https://youtu.be/OOoCizOG1YE?t=1376",'Players&gt;List'!$B10)</f>
        <v>[CAM]</v>
      </c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25" t="s">
        <v>108</v>
      </c>
      <c r="E583" s="26" t="s">
        <v>110</v>
      </c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25" t="s">
        <v>131</v>
      </c>
      <c r="E584" s="26" t="s">
        <v>132</v>
      </c>
      <c r="F584" s="28" t="str">
        <f>HYPERLINK("https://www.twitch.tv/videos/227383277",'Players&gt;List'!$B24)</f>
        <v>[NIM]</v>
      </c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4" t="s">
        <v>2205</v>
      </c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"/>
    </row>
    <row r="586">
      <c r="A586" s="1"/>
      <c r="B586" s="4" t="s">
        <v>2208</v>
      </c>
      <c r="D586" s="9"/>
      <c r="E586" s="17" t="s">
        <v>14</v>
      </c>
      <c r="F586" s="28" t="str">
        <f>HYPERLINK("https://youtu.be/Fs27uIpCf-A?t=24",'Players&gt;List'!$B10)</f>
        <v>[CAM]</v>
      </c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25" t="s">
        <v>88</v>
      </c>
      <c r="E587" s="26" t="s">
        <v>90</v>
      </c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4" t="s">
        <v>2209</v>
      </c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"/>
    </row>
    <row r="589">
      <c r="A589" s="1"/>
      <c r="B589" s="4" t="s">
        <v>2210</v>
      </c>
      <c r="D589" s="9"/>
      <c r="E589" s="17" t="s">
        <v>14</v>
      </c>
      <c r="F589" s="28" t="str">
        <f>HYPERLINK("https://youtu.be/Fs27uIpCf-A?t=97",'Players&gt;List'!$B10)</f>
        <v>[CAM]</v>
      </c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25" t="s">
        <v>1715</v>
      </c>
      <c r="E590" s="26" t="s">
        <v>234</v>
      </c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25" t="s">
        <v>88</v>
      </c>
      <c r="E591" s="26" t="s">
        <v>147</v>
      </c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25" t="s">
        <v>149</v>
      </c>
      <c r="E592" s="26" t="s">
        <v>147</v>
      </c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25" t="s">
        <v>2213</v>
      </c>
      <c r="E593" s="26" t="s">
        <v>147</v>
      </c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25" t="s">
        <v>117</v>
      </c>
      <c r="E594" s="26" t="s">
        <v>132</v>
      </c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25" t="s">
        <v>157</v>
      </c>
      <c r="E595" s="26" t="s">
        <v>132</v>
      </c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4" t="s">
        <v>2216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"/>
    </row>
    <row r="597">
      <c r="A597" s="1"/>
      <c r="B597" s="4" t="s">
        <v>2217</v>
      </c>
      <c r="D597" s="9"/>
      <c r="E597" s="17" t="s">
        <v>14</v>
      </c>
      <c r="F597" s="28" t="str">
        <f>HYPERLINK("https://youtu.be/Fs27uIpCf-A?t=164",'Players&gt;List'!$B10)</f>
        <v>[CAM]</v>
      </c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25" t="s">
        <v>117</v>
      </c>
      <c r="E598" s="26" t="s">
        <v>110</v>
      </c>
      <c r="F598" s="28" t="str">
        <f>HYPERLINK("https://www.youtube.com/watch?v=ZCD3UjPoeWI",'Players&gt;List'!$B32)</f>
        <v>[XEL]</v>
      </c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25" t="s">
        <v>157</v>
      </c>
      <c r="E599" s="26" t="s">
        <v>132</v>
      </c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4" t="s">
        <v>2220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"/>
    </row>
    <row r="601">
      <c r="A601" s="1"/>
      <c r="B601" s="4" t="s">
        <v>2221</v>
      </c>
      <c r="D601" s="9"/>
      <c r="E601" s="17" t="s">
        <v>14</v>
      </c>
      <c r="F601" s="28" t="str">
        <f>HYPERLINK("https://youtu.be/Fs27uIpCf-A?t=366",'Players&gt;List'!$B10)</f>
        <v>[CAM]</v>
      </c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25" t="s">
        <v>117</v>
      </c>
      <c r="E602" s="26" t="s">
        <v>110</v>
      </c>
      <c r="F602" s="28" t="str">
        <f>HYPERLINK("https://www.youtube.com/watch?v=YFC5U0Hq_L0",'Players&gt;List'!$B18)</f>
        <v>[HGB]</v>
      </c>
      <c r="G602" s="28" t="str">
        <f>HYPERLINK("https://www.twitch.tv/videos/227380791",'Players&gt;List'!$B24)</f>
        <v>[NIM]</v>
      </c>
      <c r="H602" s="1"/>
      <c r="I602" s="1"/>
      <c r="J602" s="1"/>
      <c r="K602" s="1"/>
      <c r="L602" s="1"/>
      <c r="M602" s="1"/>
      <c r="N602" s="1"/>
    </row>
    <row r="603">
      <c r="A603" s="1"/>
      <c r="B603" s="25" t="s">
        <v>157</v>
      </c>
      <c r="E603" s="26" t="s">
        <v>132</v>
      </c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4" t="s">
        <v>2223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"/>
    </row>
    <row r="605">
      <c r="A605" s="1"/>
      <c r="B605" s="4" t="s">
        <v>2224</v>
      </c>
      <c r="D605" s="9"/>
      <c r="E605" s="17" t="s">
        <v>14</v>
      </c>
      <c r="F605" s="28" t="str">
        <f>HYPERLINK("https://youtu.be/Fs27uIpCf-A?t=466",'Players&gt;List'!$B10)</f>
        <v>[CAM]</v>
      </c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25" t="s">
        <v>88</v>
      </c>
      <c r="E606" s="26" t="s">
        <v>90</v>
      </c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4" t="s">
        <v>2227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"/>
    </row>
    <row r="608">
      <c r="A608" s="1"/>
      <c r="B608" s="4" t="s">
        <v>2228</v>
      </c>
      <c r="D608" s="9"/>
      <c r="E608" s="17" t="s">
        <v>14</v>
      </c>
      <c r="F608" s="28" t="str">
        <f>HYPERLINK("https://youtu.be/Fs27uIpCf-A?t=543",'Players&gt;List'!$B10)</f>
        <v>[CAM]</v>
      </c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25" t="s">
        <v>88</v>
      </c>
      <c r="E609" s="26" t="s">
        <v>90</v>
      </c>
      <c r="F609" s="28" t="str">
        <f>HYPERLINK("https://www.youtube.com/watch?v=ywEn8Qrgi5s",'Players&gt;List'!$B28)</f>
        <v>[SUN]</v>
      </c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4" t="s">
        <v>2229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"/>
    </row>
    <row r="611">
      <c r="A611" s="1"/>
      <c r="B611" s="4" t="s">
        <v>2230</v>
      </c>
      <c r="D611" s="9"/>
      <c r="E611" s="17" t="s">
        <v>14</v>
      </c>
      <c r="F611" s="28" t="str">
        <f>HYPERLINK("https://youtu.be/Fs27uIpCf-A?t=601",'Players&gt;List'!$B10)</f>
        <v>[CAM]</v>
      </c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25" t="s">
        <v>88</v>
      </c>
      <c r="E612" s="26" t="s">
        <v>90</v>
      </c>
      <c r="F612" s="28" t="str">
        <f>HYPERLINK("https://www.twitch.tv/videos/227379770",'Players&gt;List'!$B24)</f>
        <v>[NIM]</v>
      </c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4" t="s">
        <v>2233</v>
      </c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"/>
    </row>
    <row r="614">
      <c r="A614" s="1"/>
      <c r="B614" s="4" t="s">
        <v>2234</v>
      </c>
      <c r="D614" s="9"/>
      <c r="E614" s="17" t="s">
        <v>14</v>
      </c>
      <c r="F614" s="28" t="str">
        <f>HYPERLINK("https://youtu.be/Fs27uIpCf-A?t=887",'Players&gt;List'!$B10)</f>
        <v>[CAM]</v>
      </c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25" t="s">
        <v>233</v>
      </c>
      <c r="E615" s="26" t="s">
        <v>234</v>
      </c>
      <c r="F615" s="28" t="str">
        <f>HYPERLINK("https://www.twitch.tv/videos/227378668",'Players&gt;List'!$B24)</f>
        <v>[NIM]</v>
      </c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25" t="s">
        <v>108</v>
      </c>
      <c r="E616" s="26" t="s">
        <v>132</v>
      </c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4" t="s">
        <v>2238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"/>
    </row>
    <row r="618">
      <c r="A618" s="1"/>
      <c r="B618" s="4" t="s">
        <v>2240</v>
      </c>
      <c r="D618" s="9"/>
      <c r="E618" s="17" t="s">
        <v>14</v>
      </c>
      <c r="F618" s="28" t="str">
        <f>HYPERLINK("https://youtu.be/Fs27uIpCf-A?t=1011",'Players&gt;List'!$B10)</f>
        <v>[CAM]</v>
      </c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25" t="s">
        <v>2241</v>
      </c>
      <c r="E619" s="26" t="s">
        <v>110</v>
      </c>
      <c r="F619" s="28" t="str">
        <f>HYPERLINK("https://www.youtube.com/watch?v=99wA4M8JvZY",'Players&gt;List'!$B11)</f>
        <v>[CHB]</v>
      </c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25" t="s">
        <v>649</v>
      </c>
      <c r="E620" s="26" t="s">
        <v>147</v>
      </c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4" t="s">
        <v>2244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"/>
    </row>
    <row r="622">
      <c r="A622" s="1"/>
      <c r="B622" s="4" t="s">
        <v>2247</v>
      </c>
      <c r="D622" s="9"/>
      <c r="E622" s="17" t="s">
        <v>14</v>
      </c>
      <c r="F622" s="28" t="str">
        <f>HYPERLINK("https://youtu.be/Fs27uIpCf-A?t=1161",'Players&gt;List'!$B10)</f>
        <v>[CAM]</v>
      </c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25" t="s">
        <v>108</v>
      </c>
      <c r="E623" s="26" t="s">
        <v>110</v>
      </c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4" t="s">
        <v>2248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"/>
    </row>
    <row r="625">
      <c r="A625" s="1"/>
      <c r="B625" s="4" t="s">
        <v>2250</v>
      </c>
      <c r="D625" s="9"/>
      <c r="E625" s="17" t="s">
        <v>14</v>
      </c>
      <c r="F625" s="28" t="str">
        <f>HYPERLINK("https://youtu.be/cgtbS2oLjwA?t=12",'Players&gt;List'!$B10)</f>
        <v>[CAM]</v>
      </c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25" t="s">
        <v>117</v>
      </c>
      <c r="E626" s="26" t="s">
        <v>110</v>
      </c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25" t="s">
        <v>88</v>
      </c>
      <c r="E627" s="26" t="s">
        <v>147</v>
      </c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4" t="s">
        <v>2253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"/>
    </row>
    <row r="629">
      <c r="A629" s="1"/>
      <c r="B629" s="4" t="s">
        <v>2254</v>
      </c>
      <c r="D629" s="9"/>
      <c r="E629" s="17" t="s">
        <v>14</v>
      </c>
      <c r="F629" s="28" t="str">
        <f>HYPERLINK("https://youtu.be/cgtbS2oLjwA?t=27",'Players&gt;List'!$B10)</f>
        <v>[CAM]</v>
      </c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25" t="s">
        <v>117</v>
      </c>
      <c r="E630" s="26" t="s">
        <v>110</v>
      </c>
      <c r="F630" s="28" t="str">
        <f>HYPERLINK("https://www.twitch.tv/videos/273665051",'Players&gt;List'!$B24)</f>
        <v>[NIM]</v>
      </c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4" t="s">
        <v>2257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"/>
    </row>
    <row r="632">
      <c r="A632" s="1"/>
      <c r="B632" s="4" t="s">
        <v>2259</v>
      </c>
      <c r="D632" s="9"/>
      <c r="E632" s="17" t="s">
        <v>14</v>
      </c>
      <c r="F632" s="28" t="str">
        <f>HYPERLINK("https://youtu.be/cgtbS2oLjwA?t=54",'Players&gt;List'!$B10)</f>
        <v>[CAM]</v>
      </c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25" t="s">
        <v>88</v>
      </c>
      <c r="E633" s="26" t="s">
        <v>90</v>
      </c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4" t="s">
        <v>2261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"/>
    </row>
    <row r="635">
      <c r="A635" s="1"/>
      <c r="B635" s="4" t="s">
        <v>2262</v>
      </c>
      <c r="D635" s="9"/>
      <c r="E635" s="17" t="s">
        <v>14</v>
      </c>
      <c r="F635" s="28" t="str">
        <f>HYPERLINK("https://youtu.be/cgtbS2oLjwA?t=98",'Players&gt;List'!$B10)</f>
        <v>[CAM]</v>
      </c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25" t="s">
        <v>488</v>
      </c>
      <c r="E636" s="26" t="s">
        <v>234</v>
      </c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4" t="s">
        <v>2264</v>
      </c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"/>
    </row>
    <row r="638">
      <c r="A638" s="1"/>
      <c r="B638" s="4" t="s">
        <v>2266</v>
      </c>
      <c r="D638" s="9"/>
      <c r="E638" s="17" t="s">
        <v>14</v>
      </c>
      <c r="F638" s="28" t="str">
        <f>HYPERLINK("https://youtu.be/cgtbS2oLjwA?t=318",'Players&gt;List'!$B10)</f>
        <v>[CAM]</v>
      </c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25" t="s">
        <v>117</v>
      </c>
      <c r="E639" s="26" t="s">
        <v>110</v>
      </c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25" t="s">
        <v>88</v>
      </c>
      <c r="E640" s="26" t="s">
        <v>147</v>
      </c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25" t="s">
        <v>149</v>
      </c>
      <c r="E641" s="26" t="s">
        <v>147</v>
      </c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4" t="s">
        <v>2267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"/>
    </row>
    <row r="643">
      <c r="A643" s="1"/>
      <c r="B643" s="4" t="s">
        <v>2269</v>
      </c>
      <c r="D643" s="9"/>
      <c r="E643" s="17" t="s">
        <v>14</v>
      </c>
      <c r="F643" s="28" t="str">
        <f>HYPERLINK("https://youtu.be/cgtbS2oLjwA?t=370",'Players&gt;List'!$B10)</f>
        <v>[CAM]</v>
      </c>
      <c r="G643" s="28" t="str">
        <f>HYPERLINK("https://www.youtube.com/watch?v=OI6U1JjA1-A",'Players&gt;List'!$B29)</f>
        <v>[SYS]</v>
      </c>
      <c r="H643" s="1"/>
      <c r="I643" s="1"/>
      <c r="J643" s="1"/>
      <c r="K643" s="1"/>
      <c r="L643" s="1"/>
      <c r="M643" s="1"/>
      <c r="N643" s="1"/>
    </row>
    <row r="644">
      <c r="A644" s="1"/>
      <c r="B644" s="25" t="s">
        <v>88</v>
      </c>
      <c r="E644" s="26" t="s">
        <v>90</v>
      </c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4" t="s">
        <v>2272</v>
      </c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"/>
    </row>
    <row r="646">
      <c r="A646" s="1"/>
      <c r="B646" s="4" t="s">
        <v>2273</v>
      </c>
      <c r="D646" s="9"/>
      <c r="E646" s="17" t="s">
        <v>14</v>
      </c>
      <c r="F646" s="28" t="str">
        <f>HYPERLINK("https://youtu.be/cgtbS2oLjwA?t=387",'Players&gt;List'!$B10)</f>
        <v>[CAM]</v>
      </c>
      <c r="G646" s="28" t="str">
        <f>HYPERLINK("https://youtu.be/OI6U1JjA1-A?t=13s",'Players&gt;List'!$B29)</f>
        <v>[SYS]</v>
      </c>
      <c r="H646" s="1"/>
      <c r="I646" s="1"/>
      <c r="J646" s="1"/>
      <c r="K646" s="1"/>
      <c r="L646" s="1"/>
      <c r="M646" s="1"/>
      <c r="N646" s="1"/>
    </row>
    <row r="647">
      <c r="A647" s="1"/>
      <c r="B647" s="25" t="s">
        <v>88</v>
      </c>
      <c r="E647" s="26" t="s">
        <v>90</v>
      </c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25" t="s">
        <v>335</v>
      </c>
      <c r="E648" s="26" t="s">
        <v>147</v>
      </c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4" t="s">
        <v>2277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"/>
    </row>
    <row r="650">
      <c r="A650" s="1"/>
      <c r="B650" s="4" t="s">
        <v>2280</v>
      </c>
      <c r="D650" s="9"/>
      <c r="E650" s="17" t="s">
        <v>14</v>
      </c>
      <c r="F650" s="28" t="str">
        <f>HYPERLINK("https://youtu.be/cgtbS2oLjwA?t=402",'Players&gt;List'!$B10)</f>
        <v>[CAM]</v>
      </c>
      <c r="G650" s="28" t="str">
        <f>HYPERLINK("https://youtu.be/OI6U1JjA1-A?t=26s",'Players&gt;List'!$B29)</f>
        <v>[SYS]</v>
      </c>
      <c r="H650" s="1"/>
      <c r="I650" s="1"/>
      <c r="J650" s="1"/>
      <c r="K650" s="1"/>
      <c r="L650" s="1"/>
      <c r="M650" s="1"/>
      <c r="N650" s="1"/>
    </row>
    <row r="651">
      <c r="A651" s="1"/>
      <c r="B651" s="25" t="s">
        <v>108</v>
      </c>
      <c r="E651" s="26" t="s">
        <v>110</v>
      </c>
      <c r="F651" s="28" t="str">
        <f>HYPERLINK("https://www.twitch.tv/videos/273665046",'Players&gt;List'!$B24)</f>
        <v>[NIM]</v>
      </c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25" t="s">
        <v>197</v>
      </c>
      <c r="E652" s="26" t="s">
        <v>147</v>
      </c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25" t="s">
        <v>88</v>
      </c>
      <c r="E653" s="26" t="s">
        <v>147</v>
      </c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4" t="s">
        <v>2283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"/>
    </row>
    <row r="655">
      <c r="A655" s="1"/>
      <c r="B655" s="4" t="s">
        <v>2286</v>
      </c>
      <c r="D655" s="9"/>
      <c r="E655" s="17" t="s">
        <v>14</v>
      </c>
      <c r="F655" s="28" t="str">
        <f>HYPERLINK("https://youtu.be/cgtbS2oLjwA?t=438",'Players&gt;List'!$B10)</f>
        <v>[CAM]</v>
      </c>
      <c r="G655" s="28" t="str">
        <f>HYPERLINK("https://youtu.be/OI6U1JjA1-A?t=1m",'Players&gt;List'!$B29)</f>
        <v>[SYS]</v>
      </c>
      <c r="H655" s="1"/>
      <c r="I655" s="1"/>
      <c r="J655" s="1"/>
      <c r="K655" s="1"/>
      <c r="L655" s="1"/>
      <c r="M655" s="1"/>
      <c r="N655" s="1"/>
    </row>
    <row r="656">
      <c r="A656" s="1"/>
      <c r="B656" s="25" t="s">
        <v>108</v>
      </c>
      <c r="E656" s="26" t="s">
        <v>110</v>
      </c>
      <c r="F656" s="28" t="str">
        <f>HYPERLINK("https://www.twitch.tv/videos/273665048",'Players&gt;List'!$B24)</f>
        <v>[NIM]</v>
      </c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4" t="s">
        <v>2289</v>
      </c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"/>
    </row>
    <row r="658">
      <c r="A658" s="1"/>
      <c r="B658" s="4" t="s">
        <v>2291</v>
      </c>
      <c r="D658" s="9"/>
      <c r="E658" s="17" t="s">
        <v>14</v>
      </c>
      <c r="F658" s="28" t="str">
        <f>HYPERLINK("https://youtu.be/cgtbS2oLjwA?t=584",'Players&gt;List'!$B10)</f>
        <v>[CAM]</v>
      </c>
      <c r="G658" s="28" t="str">
        <f>HYPERLINK("https://youtu.be/OI6U1JjA1-A?t=1m17s",'Players&gt;List'!$B29)</f>
        <v>[SYS]</v>
      </c>
      <c r="H658" s="1"/>
      <c r="I658" s="1"/>
      <c r="J658" s="1"/>
      <c r="K658" s="1"/>
      <c r="L658" s="1"/>
      <c r="M658" s="1"/>
      <c r="N658" s="1"/>
    </row>
    <row r="659">
      <c r="A659" s="1"/>
      <c r="B659" s="25" t="s">
        <v>157</v>
      </c>
      <c r="E659" s="26" t="s">
        <v>110</v>
      </c>
      <c r="F659" s="28" t="str">
        <f>HYPERLINK("https://www.twitch.tv/videos/273665045",'Players&gt;List'!$B24)</f>
        <v>[NIM]</v>
      </c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4" t="s">
        <v>2294</v>
      </c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"/>
    </row>
    <row r="661">
      <c r="A661" s="1"/>
      <c r="B661" s="4" t="s">
        <v>2295</v>
      </c>
      <c r="D661" s="9"/>
      <c r="E661" s="17" t="s">
        <v>14</v>
      </c>
      <c r="F661" s="28" t="str">
        <f>HYPERLINK("https://youtu.be/cgtbS2oLjwA?t=641",'Players&gt;List'!$B10)</f>
        <v>[CAM]</v>
      </c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25" t="s">
        <v>335</v>
      </c>
      <c r="E662" s="26" t="s">
        <v>90</v>
      </c>
      <c r="F662" s="28" t="str">
        <f>HYPERLINK("https://www.twitch.tv/videos/273665050",'Players&gt;List'!$B24)</f>
        <v>[NIM]</v>
      </c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4" t="s">
        <v>2300</v>
      </c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"/>
    </row>
    <row r="664">
      <c r="A664" s="1"/>
      <c r="B664" s="4" t="s">
        <v>2302</v>
      </c>
      <c r="D664" s="9"/>
      <c r="E664" s="17" t="s">
        <v>14</v>
      </c>
      <c r="F664" s="28" t="str">
        <f>HYPERLINK("https://youtu.be/cgtbS2oLjwA?t=662",'Players&gt;List'!$B10)</f>
        <v>[CAM]</v>
      </c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25" t="s">
        <v>88</v>
      </c>
      <c r="E665" s="26" t="s">
        <v>90</v>
      </c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4" t="s">
        <v>2306</v>
      </c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"/>
    </row>
    <row r="667">
      <c r="A667" s="1"/>
      <c r="B667" s="4" t="s">
        <v>2307</v>
      </c>
      <c r="D667" s="9"/>
      <c r="E667" s="17" t="s">
        <v>14</v>
      </c>
      <c r="F667" s="28" t="str">
        <f>HYPERLINK("https://youtu.be/cgtbS2oLjwA?t=709",'Players&gt;List'!$B10)</f>
        <v>[CAM]</v>
      </c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25" t="s">
        <v>88</v>
      </c>
      <c r="E668" s="26" t="s">
        <v>90</v>
      </c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4" t="s">
        <v>2310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"/>
    </row>
    <row r="670">
      <c r="A670" s="1"/>
      <c r="B670" s="4" t="s">
        <v>2311</v>
      </c>
      <c r="D670" s="9"/>
      <c r="E670" s="17" t="s">
        <v>14</v>
      </c>
      <c r="F670" s="28" t="str">
        <f>HYPERLINK("https://youtu.be/cgtbS2oLjwA?t=778",'Players&gt;List'!$B10)</f>
        <v>[CAM]</v>
      </c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25" t="s">
        <v>117</v>
      </c>
      <c r="E671" s="26" t="s">
        <v>110</v>
      </c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4" t="s">
        <v>2313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"/>
    </row>
    <row r="673">
      <c r="A673" s="1"/>
      <c r="B673" s="4" t="s">
        <v>2315</v>
      </c>
      <c r="D673" s="9"/>
      <c r="E673" s="17" t="s">
        <v>14</v>
      </c>
      <c r="F673" s="28" t="str">
        <f>HYPERLINK("https://youtu.be/cgtbS2oLjwA?t=1106",'Players&gt;List'!$B10)</f>
        <v>[CAM]</v>
      </c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25" t="s">
        <v>117</v>
      </c>
      <c r="E674" s="26" t="s">
        <v>110</v>
      </c>
      <c r="F674" s="28" t="str">
        <f>HYPERLINK("https://www.youtube.com/watch?v=MQxqnbvvxlA&amp;index=257&amp;list=PLbU6uWaIKemqNvTeRxK-Ay6PRg9iwCKVi&amp;t=0s",'Players&gt;List'!$B19)</f>
        <v>[HIT]</v>
      </c>
      <c r="G674" s="28" t="str">
        <f>HYPERLINK("https://www.youtube.com/watch?v=QEkuRCAxTs0",'Players&gt;List'!$B8)</f>
        <v>[ABA]</v>
      </c>
      <c r="H674" s="1"/>
      <c r="I674" s="1"/>
      <c r="J674" s="1"/>
      <c r="K674" s="1"/>
      <c r="L674" s="1"/>
      <c r="M674" s="1"/>
      <c r="N674" s="1"/>
    </row>
    <row r="675">
      <c r="A675" s="1"/>
      <c r="B675" s="14" t="s">
        <v>2318</v>
      </c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"/>
    </row>
    <row r="676">
      <c r="A676" s="1"/>
      <c r="B676" s="4" t="s">
        <v>2319</v>
      </c>
      <c r="D676" s="9"/>
      <c r="E676" s="17" t="s">
        <v>14</v>
      </c>
      <c r="F676" s="28" t="str">
        <f>HYPERLINK("https://youtu.be/PekUdw0z06M?t=158",'Players&gt;List'!$B10)</f>
        <v>[CAM]</v>
      </c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25" t="s">
        <v>88</v>
      </c>
      <c r="E677" s="26" t="s">
        <v>90</v>
      </c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4" t="s">
        <v>2324</v>
      </c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"/>
    </row>
    <row r="679">
      <c r="A679" s="1"/>
      <c r="B679" s="4" t="s">
        <v>2325</v>
      </c>
      <c r="D679" s="9"/>
      <c r="E679" s="17" t="s">
        <v>14</v>
      </c>
      <c r="F679" s="28" t="str">
        <f>HYPERLINK("https://youtu.be/PekUdw0z06M?t=200",'Players&gt;List'!$B10)</f>
        <v>[CAM]</v>
      </c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25" t="s">
        <v>387</v>
      </c>
      <c r="E680" s="26" t="s">
        <v>110</v>
      </c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4" t="s">
        <v>2328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"/>
    </row>
    <row r="682">
      <c r="A682" s="1"/>
      <c r="B682" s="4" t="s">
        <v>2329</v>
      </c>
      <c r="D682" s="9"/>
      <c r="E682" s="17" t="s">
        <v>14</v>
      </c>
      <c r="F682" s="28" t="str">
        <f>HYPERLINK("https://youtu.be/PekUdw0z06M?t=307",'Players&gt;List'!$B10)</f>
        <v>[CAM]</v>
      </c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25" t="s">
        <v>2213</v>
      </c>
      <c r="E683" s="26" t="s">
        <v>90</v>
      </c>
      <c r="F683" s="28" t="str">
        <f>HYPERLINK("https://www.twitch.tv/videos/273665049",'Players&gt;List'!$B24)</f>
        <v>[NIM]</v>
      </c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4" t="s">
        <v>2332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"/>
    </row>
    <row r="685">
      <c r="A685" s="1"/>
      <c r="B685" s="4" t="s">
        <v>2334</v>
      </c>
      <c r="D685" s="9"/>
      <c r="E685" s="17" t="s">
        <v>14</v>
      </c>
      <c r="F685" s="28" t="str">
        <f>HYPERLINK("https://youtu.be/PekUdw0z06M?t=334",'Players&gt;List'!$B10)</f>
        <v>[CAM]</v>
      </c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25" t="s">
        <v>422</v>
      </c>
      <c r="E686" s="26" t="s">
        <v>110</v>
      </c>
      <c r="F686" s="28" t="str">
        <f>HYPERLINK("https://www.youtube.com/watch?v=4a2zfDyVvAE",'Players&gt;List'!$B32)</f>
        <v>[XEL]</v>
      </c>
      <c r="G686" s="28" t="str">
        <f>HYPERLINK("https://www.youtube.com/watch?v=MFrRbieOJZw&amp;index=271&amp;list=PLbU6uWaIKemqNvTeRxK-Ay6PRg9iwCKVi&amp;t=0s",'Players&gt;List'!$B19)</f>
        <v>[HIT]</v>
      </c>
      <c r="H686" s="28" t="str">
        <f>HYPERLINK("https://www.youtube.com/watch?v=2hh89xPebx0",'Players&gt;List'!$B8)</f>
        <v>[ABA]</v>
      </c>
      <c r="I686" s="1"/>
      <c r="J686" s="1"/>
      <c r="K686" s="1"/>
      <c r="L686" s="1"/>
      <c r="M686" s="1"/>
      <c r="N686" s="1"/>
    </row>
    <row r="687">
      <c r="A687" s="1"/>
      <c r="B687" s="25" t="s">
        <v>88</v>
      </c>
      <c r="E687" s="26" t="s">
        <v>147</v>
      </c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4" t="s">
        <v>2341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"/>
    </row>
    <row r="689">
      <c r="A689" s="1"/>
      <c r="B689" s="4" t="s">
        <v>2343</v>
      </c>
      <c r="D689" s="9"/>
      <c r="E689" s="17" t="s">
        <v>14</v>
      </c>
      <c r="F689" s="28" t="str">
        <f>HYPERLINK("https://youtu.be/PekUdw0z06M?t=533",'Players&gt;List'!$B10)</f>
        <v>[CAM]</v>
      </c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25" t="s">
        <v>88</v>
      </c>
      <c r="E690" s="26" t="s">
        <v>90</v>
      </c>
      <c r="F690" s="28" t="str">
        <f>HYPERLINK("https://www.twitch.tv/videos/273665047",'Players&gt;List'!$B24)</f>
        <v>[NIM]</v>
      </c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4" t="s">
        <v>2347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"/>
    </row>
    <row r="692">
      <c r="A692" s="1"/>
      <c r="B692" s="4" t="s">
        <v>2349</v>
      </c>
      <c r="D692" s="9"/>
      <c r="E692" s="17" t="s">
        <v>14</v>
      </c>
      <c r="F692" s="28" t="str">
        <f>HYPERLINK("https://youtu.be/PekUdw0z06M?t=608",'Players&gt;List'!$B10)</f>
        <v>[CAM]</v>
      </c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25" t="s">
        <v>131</v>
      </c>
      <c r="E693" s="26" t="s">
        <v>110</v>
      </c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4" t="s">
        <v>2352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"/>
    </row>
    <row r="695">
      <c r="A695" s="1"/>
      <c r="B695" s="4" t="s">
        <v>2353</v>
      </c>
      <c r="D695" s="9"/>
      <c r="E695" s="17" t="s">
        <v>14</v>
      </c>
      <c r="F695" s="28" t="str">
        <f>HYPERLINK("https://youtu.be/PekUdw0z06M?t=671",'Players&gt;List'!$B10)</f>
        <v>[CAM]</v>
      </c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25" t="s">
        <v>668</v>
      </c>
      <c r="E696" s="26" t="s">
        <v>234</v>
      </c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25" t="s">
        <v>88</v>
      </c>
      <c r="E697" s="26" t="s">
        <v>147</v>
      </c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25" t="s">
        <v>149</v>
      </c>
      <c r="E698" s="26" t="s">
        <v>147</v>
      </c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4" t="s">
        <v>2357</v>
      </c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"/>
    </row>
    <row r="700">
      <c r="A700" s="1"/>
      <c r="B700" s="4" t="s">
        <v>2359</v>
      </c>
      <c r="D700" s="9"/>
      <c r="E700" s="17" t="s">
        <v>14</v>
      </c>
      <c r="F700" s="28" t="str">
        <f>HYPERLINK("https://youtu.be/PekUdw0z06M?t=721",'Players&gt;List'!$B10)</f>
        <v>[CAM]</v>
      </c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25" t="s">
        <v>649</v>
      </c>
      <c r="E701" s="26" t="s">
        <v>90</v>
      </c>
      <c r="F701" s="28" t="str">
        <f>HYPERLINK("https://www.youtube.com/watch?v=JuBnlLBPK1Q",'Players&gt;List'!$B32)</f>
        <v>[XEL]</v>
      </c>
      <c r="G701" s="28" t="str">
        <f>HYPERLINK("https://www.youtube.com/watch?v=6ThMeVsWjMg&amp;index=289&amp;list=PLbU6uWaIKemqNvTeRxK-Ay6PRg9iwCKVi&amp;t=0s",'Players&gt;List'!$B19)</f>
        <v>[HIT]</v>
      </c>
      <c r="H701" s="28" t="str">
        <f>HYPERLINK("https://www.youtube.com/watch?v=ppbR5Qa_Zc8",'Players&gt;List'!$B8)</f>
        <v>[ABA]</v>
      </c>
      <c r="I701" s="1"/>
      <c r="J701" s="1"/>
      <c r="K701" s="1"/>
      <c r="L701" s="1"/>
      <c r="M701" s="1"/>
      <c r="N701" s="1"/>
    </row>
    <row r="702">
      <c r="A702" s="1"/>
      <c r="B702" s="14" t="s">
        <v>2364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"/>
    </row>
    <row r="703">
      <c r="A703" s="1"/>
      <c r="B703" s="4" t="s">
        <v>2366</v>
      </c>
      <c r="D703" s="9"/>
      <c r="E703" s="17" t="s">
        <v>14</v>
      </c>
      <c r="F703" s="28" t="str">
        <f>HYPERLINK("https://youtu.be/PekUdw0z06M?t=799",'Players&gt;List'!$B10)</f>
        <v>[CAM]</v>
      </c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25" t="s">
        <v>131</v>
      </c>
      <c r="E704" s="26" t="s">
        <v>110</v>
      </c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4" t="s">
        <v>2368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"/>
    </row>
    <row r="706">
      <c r="A706" s="1"/>
      <c r="B706" s="4" t="s">
        <v>2370</v>
      </c>
      <c r="D706" s="9"/>
      <c r="E706" s="17" t="s">
        <v>14</v>
      </c>
      <c r="F706" s="28" t="str">
        <f>HYPERLINK("https://youtu.be/PekUdw0z06M?t=1337",'Players&gt;List'!$B10)</f>
        <v>[CAM]</v>
      </c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25" t="s">
        <v>88</v>
      </c>
      <c r="E707" s="26" t="s">
        <v>90</v>
      </c>
      <c r="F707" s="28" t="str">
        <f>HYPERLINK("https://www.youtube.com/watch?v=rczUkfFrMmw&amp;index=290&amp;list=PLbU6uWaIKemqNvTeRxK-Ay6PRg9iwCKVi&amp;t=0s",'Players&gt;List'!$B19)</f>
        <v>[HIT]</v>
      </c>
      <c r="G707" s="28" t="str">
        <f>HYPERLINK("https://www.youtube.com/watch?v=OsliFO8-qeU",'Players&gt;List'!$B8)</f>
        <v>[ABA]</v>
      </c>
      <c r="H707" s="1"/>
      <c r="I707" s="1"/>
      <c r="J707" s="1"/>
      <c r="K707" s="1"/>
      <c r="L707" s="1"/>
      <c r="M707" s="1"/>
      <c r="N707" s="1"/>
    </row>
    <row r="708">
      <c r="A708" s="1"/>
      <c r="B708" s="14" t="s">
        <v>2372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"/>
    </row>
    <row r="709">
      <c r="A709" s="1"/>
      <c r="B709" s="4" t="s">
        <v>2374</v>
      </c>
      <c r="D709" s="9"/>
      <c r="E709" s="17" t="s">
        <v>14</v>
      </c>
      <c r="F709" s="28" t="str">
        <f>HYPERLINK("https://youtu.be/8pCSuYay3WU?t=13",'Players&gt;List'!$B10)</f>
        <v>[CAM]</v>
      </c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25" t="s">
        <v>88</v>
      </c>
      <c r="E710" s="26" t="s">
        <v>90</v>
      </c>
      <c r="F710" s="28" t="str">
        <f>HYPERLINK("https://www.youtube.com/watch?v=0DpCxAjXUKw",'Players&gt;List'!$B28)</f>
        <v>[SUN]</v>
      </c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4" t="s">
        <v>2377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"/>
    </row>
    <row r="712">
      <c r="A712" s="1"/>
      <c r="B712" s="4" t="s">
        <v>2379</v>
      </c>
      <c r="D712" s="9"/>
      <c r="E712" s="17" t="s">
        <v>14</v>
      </c>
      <c r="F712" s="28" t="str">
        <f>HYPERLINK("https://youtu.be/8pCSuYay3WU?t=32",'Players&gt;List'!$B10)</f>
        <v>[CAM]</v>
      </c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25" t="s">
        <v>88</v>
      </c>
      <c r="E713" s="26" t="s">
        <v>90</v>
      </c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4" t="s">
        <v>2382</v>
      </c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"/>
    </row>
    <row r="715">
      <c r="A715" s="1"/>
      <c r="B715" s="4" t="s">
        <v>2384</v>
      </c>
      <c r="D715" s="9"/>
      <c r="E715" s="17" t="s">
        <v>14</v>
      </c>
      <c r="F715" s="28" t="str">
        <f>HYPERLINK("https://youtu.be/8pCSuYay3WU?t=58",'Players&gt;List'!$B10)</f>
        <v>[CAM]</v>
      </c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25" t="s">
        <v>117</v>
      </c>
      <c r="E716" s="26" t="s">
        <v>110</v>
      </c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4" t="s">
        <v>2388</v>
      </c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"/>
    </row>
    <row r="718">
      <c r="A718" s="1"/>
      <c r="B718" s="4" t="s">
        <v>2390</v>
      </c>
      <c r="D718" s="9"/>
      <c r="E718" s="17" t="s">
        <v>14</v>
      </c>
      <c r="F718" s="28" t="str">
        <f>HYPERLINK("https://www.twitch.tv/videos/139534573",'Players&gt;List'!$B17)</f>
        <v>[GOL]</v>
      </c>
      <c r="G718" s="28" t="str">
        <f>HYPERLINK("https://youtu.be/8pCSuYay3WU?t=717",'Players&gt;List'!$B10)</f>
        <v>[CAM]</v>
      </c>
      <c r="H718" s="1"/>
      <c r="I718" s="1"/>
      <c r="J718" s="1"/>
      <c r="K718" s="1"/>
      <c r="L718" s="1"/>
      <c r="M718" s="1"/>
      <c r="N718" s="1"/>
    </row>
    <row r="719">
      <c r="A719" s="1"/>
      <c r="B719" s="25" t="s">
        <v>117</v>
      </c>
      <c r="E719" s="26" t="s">
        <v>110</v>
      </c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25" t="s">
        <v>157</v>
      </c>
      <c r="E720" s="26" t="s">
        <v>132</v>
      </c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4" t="s">
        <v>2394</v>
      </c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"/>
    </row>
    <row r="722">
      <c r="A722" s="1"/>
      <c r="B722" s="4" t="s">
        <v>2396</v>
      </c>
      <c r="D722" s="9"/>
      <c r="E722" s="17" t="s">
        <v>14</v>
      </c>
      <c r="F722" s="28" t="str">
        <f>HYPERLINK("https://youtu.be/8pCSuYay3WU?t=869",'Players&gt;List'!$B10)</f>
        <v>[CAM]</v>
      </c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25" t="s">
        <v>88</v>
      </c>
      <c r="E723" s="26" t="s">
        <v>90</v>
      </c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4" t="s">
        <v>2397</v>
      </c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"/>
    </row>
    <row r="725">
      <c r="A725" s="1"/>
      <c r="B725" s="4" t="s">
        <v>2399</v>
      </c>
      <c r="D725" s="9"/>
      <c r="E725" s="17" t="s">
        <v>14</v>
      </c>
      <c r="F725" s="28" t="str">
        <f>HYPERLINK("https://youtu.be/akNxwJALVWY?t=42",'Players&gt;List'!$B10)</f>
        <v>[CAM]</v>
      </c>
      <c r="G725" s="28" t="str">
        <f>HYPERLINK("https://youtu.be/PUCmJrKfa24",'Players&gt;List'!$B29)</f>
        <v>[SYS]</v>
      </c>
      <c r="H725" s="1"/>
      <c r="I725" s="1"/>
      <c r="J725" s="1"/>
      <c r="K725" s="1"/>
      <c r="L725" s="1"/>
      <c r="M725" s="1"/>
      <c r="N725" s="1"/>
    </row>
    <row r="726">
      <c r="A726" s="1"/>
      <c r="B726" s="25" t="s">
        <v>387</v>
      </c>
      <c r="E726" s="26" t="s">
        <v>110</v>
      </c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4" t="s">
        <v>2403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"/>
    </row>
    <row r="728">
      <c r="A728" s="1"/>
      <c r="B728" s="4" t="s">
        <v>2406</v>
      </c>
      <c r="D728" s="9"/>
      <c r="E728" s="17" t="s">
        <v>14</v>
      </c>
      <c r="F728" s="28" t="str">
        <f>HYPERLINK("https://youtu.be/akNxwJALVWY?t=74",'Players&gt;List'!$B10)</f>
        <v>[CAM]</v>
      </c>
      <c r="G728" s="28" t="str">
        <f>HYPERLINK("https://youtu.be/PUCmJrKfa24?t=29s",'Players&gt;List'!$B29)</f>
        <v>[SYS]</v>
      </c>
      <c r="H728" s="1"/>
      <c r="I728" s="1"/>
      <c r="J728" s="1"/>
      <c r="K728" s="1"/>
      <c r="L728" s="1"/>
      <c r="M728" s="1"/>
      <c r="N728" s="1"/>
    </row>
    <row r="729">
      <c r="A729" s="1"/>
      <c r="B729" s="25" t="s">
        <v>88</v>
      </c>
      <c r="E729" s="26" t="s">
        <v>90</v>
      </c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4" t="s">
        <v>2408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"/>
    </row>
    <row r="731">
      <c r="A731" s="1"/>
      <c r="B731" s="4" t="s">
        <v>2409</v>
      </c>
      <c r="D731" s="9"/>
      <c r="E731" s="17" t="s">
        <v>14</v>
      </c>
      <c r="F731" s="28" t="str">
        <f>HYPERLINK("https://youtu.be/akNxwJALVWY?t=105",'Players&gt;List'!$B10)</f>
        <v>[CAM]</v>
      </c>
      <c r="G731" s="28" t="str">
        <f>HYPERLINK("https://youtu.be/PUCmJrKfa24?t=55s",'Players&gt;List'!$B29)</f>
        <v>[SYS]</v>
      </c>
      <c r="H731" s="1"/>
      <c r="I731" s="1"/>
      <c r="J731" s="1"/>
      <c r="K731" s="1"/>
      <c r="L731" s="1"/>
      <c r="M731" s="1"/>
      <c r="N731" s="1"/>
    </row>
    <row r="732">
      <c r="A732" s="1"/>
      <c r="B732" s="25" t="s">
        <v>108</v>
      </c>
      <c r="E732" s="26" t="s">
        <v>110</v>
      </c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25" t="s">
        <v>1715</v>
      </c>
      <c r="E733" s="26" t="s">
        <v>358</v>
      </c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4" t="s">
        <v>2412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"/>
    </row>
    <row r="735">
      <c r="A735" s="1"/>
      <c r="B735" s="4" t="s">
        <v>2414</v>
      </c>
      <c r="D735" s="9"/>
      <c r="E735" s="17" t="s">
        <v>14</v>
      </c>
      <c r="F735" s="28" t="str">
        <f>HYPERLINK("https://youtu.be/akNxwJALVWY?t=139",'Players&gt;List'!$B10)</f>
        <v>[CAM]</v>
      </c>
      <c r="G735" s="28" t="str">
        <f>HYPERLINK("https://youtu.be/PUCmJrKfa24?t=1m27s",'Players&gt;List'!$B29)</f>
        <v>[SYS]</v>
      </c>
      <c r="H735" s="1"/>
      <c r="I735" s="1"/>
      <c r="J735" s="1"/>
      <c r="K735" s="1"/>
      <c r="L735" s="1"/>
      <c r="M735" s="1"/>
      <c r="N735" s="1"/>
    </row>
    <row r="736">
      <c r="A736" s="1"/>
      <c r="B736" s="25" t="s">
        <v>88</v>
      </c>
      <c r="E736" s="26" t="s">
        <v>90</v>
      </c>
      <c r="F736" s="28" t="str">
        <f>HYPERLINK("https://www.twitch.tv/videos/227386459",'Players&gt;List'!$B24)</f>
        <v>[NIM]</v>
      </c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4" t="s">
        <v>2421</v>
      </c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"/>
    </row>
    <row r="738">
      <c r="A738" s="1"/>
      <c r="B738" s="4" t="s">
        <v>2423</v>
      </c>
      <c r="D738" s="9"/>
      <c r="E738" s="17" t="s">
        <v>14</v>
      </c>
      <c r="F738" s="28" t="str">
        <f>HYPERLINK("https://youtu.be/akNxwJALVWY?t=240",'Players&gt;List'!$B10)</f>
        <v>[CAM]</v>
      </c>
      <c r="G738" s="28" t="str">
        <f>HYPERLINK("https://youtu.be/PUCmJrKfa24?t=1m49s",'Players&gt;List'!$B29)</f>
        <v>[SYS]</v>
      </c>
      <c r="H738" s="1"/>
      <c r="I738" s="1"/>
      <c r="J738" s="1"/>
      <c r="K738" s="1"/>
      <c r="L738" s="1"/>
      <c r="M738" s="1"/>
      <c r="N738" s="1"/>
    </row>
    <row r="739">
      <c r="A739" s="1"/>
      <c r="B739" s="25" t="s">
        <v>422</v>
      </c>
      <c r="E739" s="26" t="s">
        <v>110</v>
      </c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25" t="s">
        <v>131</v>
      </c>
      <c r="E740" s="26" t="s">
        <v>132</v>
      </c>
      <c r="F740" s="28" t="str">
        <f>HYPERLINK("https://www.twitch.tv/videos/227387735",'Players&gt;List'!$B24)</f>
        <v>[NIM]</v>
      </c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4" t="s">
        <v>2430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"/>
    </row>
    <row r="742">
      <c r="A742" s="1"/>
      <c r="B742" s="4" t="s">
        <v>2433</v>
      </c>
      <c r="D742" s="9"/>
      <c r="E742" s="17" t="s">
        <v>14</v>
      </c>
      <c r="F742" s="28" t="str">
        <f>HYPERLINK("https://youtu.be/akNxwJALVWY?t=370",'Players&gt;List'!$B10)</f>
        <v>[CAM]</v>
      </c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25" t="s">
        <v>1720</v>
      </c>
      <c r="E743" s="26" t="s">
        <v>234</v>
      </c>
      <c r="F743" s="28" t="str">
        <f>HYPERLINK("https://www.youtube.com/watch?v=KxwAyul9oWY",'Players&gt;List'!$B28)</f>
        <v>[SUN]</v>
      </c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4" t="s">
        <v>2436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"/>
    </row>
    <row r="745">
      <c r="A745" s="1"/>
      <c r="B745" s="4" t="s">
        <v>2437</v>
      </c>
      <c r="D745" s="9"/>
      <c r="E745" s="17" t="s">
        <v>14</v>
      </c>
      <c r="F745" s="28" t="str">
        <f>HYPERLINK("https://youtu.be/akNxwJALVWY?t=400",'Players&gt;List'!$B10)</f>
        <v>[CAM]</v>
      </c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25" t="s">
        <v>88</v>
      </c>
      <c r="E746" s="26" t="s">
        <v>90</v>
      </c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4" t="s">
        <v>2439</v>
      </c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"/>
    </row>
    <row r="748">
      <c r="A748" s="1"/>
      <c r="B748" s="4" t="s">
        <v>2441</v>
      </c>
      <c r="D748" s="9"/>
      <c r="E748" s="17" t="s">
        <v>14</v>
      </c>
      <c r="F748" s="28" t="str">
        <f>HYPERLINK("https://youtu.be/akNxwJALVWY?t=421",'Players&gt;List'!$B10)</f>
        <v>[CAM]</v>
      </c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25" t="s">
        <v>88</v>
      </c>
      <c r="E749" s="26" t="s">
        <v>90</v>
      </c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4" t="s">
        <v>2445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"/>
    </row>
    <row r="751">
      <c r="A751" s="1"/>
      <c r="B751" s="4" t="s">
        <v>2447</v>
      </c>
      <c r="D751" s="9"/>
      <c r="E751" s="17" t="s">
        <v>14</v>
      </c>
      <c r="F751" s="28" t="str">
        <f>HYPERLINK("https://youtu.be/akNxwJALVWY?t=450",'Players&gt;List'!$B10)</f>
        <v>[CAM]</v>
      </c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25" t="s">
        <v>387</v>
      </c>
      <c r="E752" s="26" t="s">
        <v>110</v>
      </c>
      <c r="F752" s="28" t="str">
        <f>HYPERLINK("https://www.youtube.com/watch?v=oqG86mEtaSg",'Players&gt;List'!$B18)</f>
        <v>[HGB]</v>
      </c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4" t="s">
        <v>2451</v>
      </c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"/>
    </row>
    <row r="754">
      <c r="A754" s="1"/>
      <c r="B754" s="4" t="s">
        <v>2453</v>
      </c>
      <c r="D754" s="9"/>
      <c r="E754" s="17" t="s">
        <v>14</v>
      </c>
      <c r="F754" s="28" t="str">
        <f>HYPERLINK("https://youtu.be/akNxwJALVWY?t=757",'Players&gt;List'!$B10)</f>
        <v>[CAM]</v>
      </c>
      <c r="G754" s="28" t="str">
        <f>HYPERLINK("https://www.youtube.com/watch?v=pypobXpbp8E",'Players&gt;List'!$B28)</f>
        <v>[SUN]</v>
      </c>
      <c r="H754" s="1"/>
      <c r="I754" s="1"/>
      <c r="J754" s="1"/>
      <c r="K754" s="1"/>
      <c r="L754" s="1"/>
      <c r="M754" s="1"/>
      <c r="N754" s="1"/>
    </row>
    <row r="755">
      <c r="A755" s="1"/>
      <c r="B755" s="25" t="s">
        <v>335</v>
      </c>
      <c r="E755" s="26" t="s">
        <v>90</v>
      </c>
      <c r="F755" s="28" t="str">
        <f>HYPERLINK("https://www.youtube.com/watch?v=e7_oBqmjBeQ",'Players&gt;List'!$B18)</f>
        <v>[HGB]</v>
      </c>
      <c r="G755" s="28" t="str">
        <f>HYPERLINK("https://www.youtube.com/watch?v=pypobXpbp8E",'Players&gt;List'!$B28)</f>
        <v>[SUN]</v>
      </c>
      <c r="H755" s="1"/>
      <c r="I755" s="1"/>
      <c r="J755" s="1"/>
      <c r="K755" s="1"/>
      <c r="L755" s="1"/>
      <c r="M755" s="1"/>
      <c r="N755" s="1"/>
    </row>
    <row r="756">
      <c r="A756" s="1"/>
      <c r="B756" s="25" t="s">
        <v>131</v>
      </c>
      <c r="E756" s="26" t="s">
        <v>132</v>
      </c>
      <c r="F756" s="28" t="str">
        <f>HYPERLINK("https://www.youtube.com/watch?v=2eSelMic9LE",'Players&gt;List'!$B28)</f>
        <v>[SUN]</v>
      </c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4" t="s">
        <v>2461</v>
      </c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"/>
    </row>
    <row r="758">
      <c r="A758" s="1"/>
      <c r="B758" s="4" t="s">
        <v>2464</v>
      </c>
      <c r="D758" s="9"/>
      <c r="E758" s="17" t="s">
        <v>14</v>
      </c>
      <c r="F758" s="28" t="str">
        <f>HYPERLINK("https://youtu.be/bjGcJjejpzE?t=15",'Players&gt;List'!$B10)</f>
        <v>[CAM]</v>
      </c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25" t="s">
        <v>88</v>
      </c>
      <c r="E759" s="26" t="s">
        <v>90</v>
      </c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4" t="s">
        <v>2468</v>
      </c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"/>
    </row>
    <row r="761">
      <c r="A761" s="1"/>
      <c r="B761" s="4" t="s">
        <v>2469</v>
      </c>
      <c r="D761" s="9"/>
      <c r="E761" s="17" t="s">
        <v>14</v>
      </c>
      <c r="F761" s="28" t="str">
        <f>HYPERLINK("https://youtu.be/bjGcJjejpzE?t=123",'Players&gt;List'!$B10)</f>
        <v>[CAM]</v>
      </c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25" t="s">
        <v>131</v>
      </c>
      <c r="E762" s="26" t="s">
        <v>110</v>
      </c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4" t="s">
        <v>2473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"/>
    </row>
    <row r="764">
      <c r="A764" s="1"/>
      <c r="B764" s="4" t="s">
        <v>2475</v>
      </c>
      <c r="D764" s="9"/>
      <c r="E764" s="17" t="s">
        <v>14</v>
      </c>
      <c r="F764" s="28" t="str">
        <f>HYPERLINK("https://youtu.be/bjGcJjejpzE?t=161",'Players&gt;List'!$B10)</f>
        <v>[CAM]</v>
      </c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25" t="s">
        <v>88</v>
      </c>
      <c r="E765" s="26" t="s">
        <v>90</v>
      </c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4" t="s">
        <v>2476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"/>
    </row>
    <row r="767">
      <c r="A767" s="1"/>
      <c r="B767" s="4" t="s">
        <v>2477</v>
      </c>
      <c r="D767" s="9"/>
      <c r="E767" s="17" t="s">
        <v>14</v>
      </c>
      <c r="F767" s="28" t="str">
        <f>HYPERLINK("https://youtu.be/bjGcJjejpzE?t=193",'Players&gt;List'!$B10)</f>
        <v>[CAM]</v>
      </c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25" t="s">
        <v>88</v>
      </c>
      <c r="E768" s="26" t="s">
        <v>90</v>
      </c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4" t="s">
        <v>2478</v>
      </c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"/>
    </row>
    <row r="770">
      <c r="A770" s="1"/>
      <c r="B770" s="4" t="s">
        <v>2480</v>
      </c>
      <c r="D770" s="9"/>
      <c r="E770" s="17" t="s">
        <v>14</v>
      </c>
      <c r="F770" s="28" t="str">
        <f>HYPERLINK("https://youtu.be/bjGcJjejpzE?t=227",'Players&gt;List'!$B10)</f>
        <v>[CAM]</v>
      </c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25" t="s">
        <v>88</v>
      </c>
      <c r="E771" s="26" t="s">
        <v>90</v>
      </c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4" t="s">
        <v>2482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"/>
    </row>
    <row r="773">
      <c r="A773" s="1"/>
      <c r="B773" s="4" t="s">
        <v>2483</v>
      </c>
      <c r="D773" s="9"/>
      <c r="E773" s="17" t="s">
        <v>14</v>
      </c>
      <c r="F773" s="28" t="str">
        <f>HYPERLINK("https://youtu.be/bjGcJjejpzE?t=273",'Players&gt;List'!$B10)</f>
        <v>[CAM]</v>
      </c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25" t="s">
        <v>117</v>
      </c>
      <c r="E774" s="26" t="s">
        <v>110</v>
      </c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25" t="s">
        <v>88</v>
      </c>
      <c r="E775" s="26" t="s">
        <v>147</v>
      </c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25" t="s">
        <v>149</v>
      </c>
      <c r="E776" s="26" t="s">
        <v>147</v>
      </c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4" t="s">
        <v>2486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"/>
    </row>
    <row r="778">
      <c r="A778" s="1"/>
      <c r="B778" s="4" t="s">
        <v>2488</v>
      </c>
      <c r="D778" s="9"/>
      <c r="E778" s="17" t="s">
        <v>14</v>
      </c>
      <c r="F778" s="28" t="str">
        <f>HYPERLINK("https://youtu.be/bjGcJjejpzE?t=470",'Players&gt;List'!$B10)</f>
        <v>[CAM]</v>
      </c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25" t="s">
        <v>131</v>
      </c>
      <c r="E779" s="26" t="s">
        <v>110</v>
      </c>
      <c r="F779" s="28" t="str">
        <f>HYPERLINK("https://www.youtube.com/watch?v=tSEnltY5Fu4",'Players&gt;List'!$B18)</f>
        <v>[HGB]</v>
      </c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25" t="s">
        <v>149</v>
      </c>
      <c r="E780" s="26" t="s">
        <v>147</v>
      </c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25" t="s">
        <v>335</v>
      </c>
      <c r="E781" s="26" t="s">
        <v>147</v>
      </c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25" t="s">
        <v>166</v>
      </c>
      <c r="E782" s="26" t="s">
        <v>132</v>
      </c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4" t="s">
        <v>2494</v>
      </c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"/>
    </row>
    <row r="784">
      <c r="A784" s="1"/>
      <c r="B784" s="4" t="s">
        <v>2496</v>
      </c>
      <c r="D784" s="9"/>
      <c r="E784" s="17" t="s">
        <v>14</v>
      </c>
      <c r="F784" s="28" t="str">
        <f>HYPERLINK("https://youtu.be/bjGcJjejpzE?t=569",'Players&gt;List'!$B10)</f>
        <v>[CAM]</v>
      </c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25" t="s">
        <v>88</v>
      </c>
      <c r="E785" s="26" t="s">
        <v>90</v>
      </c>
      <c r="F785" s="28" t="str">
        <f>HYPERLINK("https://www.youtube.com/watch?v=j10kZKokqJA",'Players&gt;List'!$B28)</f>
        <v>[SUN]</v>
      </c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4" t="s">
        <v>2500</v>
      </c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"/>
    </row>
    <row r="787">
      <c r="A787" s="1"/>
      <c r="B787" s="4" t="s">
        <v>2503</v>
      </c>
      <c r="D787" s="9"/>
      <c r="E787" s="17" t="s">
        <v>14</v>
      </c>
      <c r="F787" s="28" t="str">
        <f>HYPERLINK("https://youtu.be/bjGcJjejpzE?t=857",'Players&gt;List'!$B10)</f>
        <v>[CAM]</v>
      </c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25" t="s">
        <v>88</v>
      </c>
      <c r="E788" s="26" t="s">
        <v>90</v>
      </c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4" t="s">
        <v>2506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"/>
    </row>
    <row r="790">
      <c r="A790" s="1"/>
      <c r="B790" s="4" t="s">
        <v>2507</v>
      </c>
      <c r="D790" s="9"/>
      <c r="E790" s="17" t="s">
        <v>14</v>
      </c>
      <c r="F790" s="28" t="str">
        <f>HYPERLINK("https://youtu.be/bjGcJjejpzE?t=1157",'Players&gt;List'!$B10)</f>
        <v>[CAM]</v>
      </c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25" t="s">
        <v>88</v>
      </c>
      <c r="E791" s="26" t="s">
        <v>90</v>
      </c>
      <c r="F791" s="28" t="str">
        <f>HYPERLINK("https://www.youtube.com/watch?v=Zx18wFKJgz8",'Players&gt;List'!$B28)</f>
        <v>[SUN]</v>
      </c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4" t="s">
        <v>2510</v>
      </c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"/>
    </row>
    <row r="793">
      <c r="A793" s="1"/>
      <c r="B793" s="4" t="s">
        <v>2512</v>
      </c>
      <c r="D793" s="9"/>
      <c r="E793" s="17" t="s">
        <v>14</v>
      </c>
      <c r="F793" s="28" t="str">
        <f>HYPERLINK("https://youtu.be/yjFgWPX2Nk4?t=12",'Players&gt;List'!$B10)</f>
        <v>[CAM]</v>
      </c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25" t="s">
        <v>117</v>
      </c>
      <c r="E794" s="26" t="s">
        <v>110</v>
      </c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4" t="s">
        <v>2517</v>
      </c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"/>
    </row>
    <row r="796">
      <c r="A796" s="1"/>
      <c r="B796" s="4" t="s">
        <v>2518</v>
      </c>
      <c r="D796" s="9"/>
      <c r="E796" s="17" t="s">
        <v>14</v>
      </c>
      <c r="F796" s="28" t="str">
        <f>HYPERLINK("https://youtu.be/yjFgWPX2Nk4?t=44",'Players&gt;List'!$B10)</f>
        <v>[CAM]</v>
      </c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25" t="s">
        <v>422</v>
      </c>
      <c r="E797" s="26" t="s">
        <v>110</v>
      </c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25" t="s">
        <v>649</v>
      </c>
      <c r="E798" s="26" t="s">
        <v>147</v>
      </c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25" t="s">
        <v>88</v>
      </c>
      <c r="E799" s="26" t="s">
        <v>147</v>
      </c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4" t="s">
        <v>2523</v>
      </c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"/>
    </row>
    <row r="801">
      <c r="A801" s="1"/>
      <c r="B801" s="4" t="s">
        <v>2524</v>
      </c>
      <c r="D801" s="9"/>
      <c r="E801" s="17" t="s">
        <v>14</v>
      </c>
      <c r="F801" s="28" t="str">
        <f>HYPERLINK("https://youtu.be/yjFgWPX2Nk4?t=88",'Players&gt;List'!$B10)</f>
        <v>[CAM]</v>
      </c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25" t="s">
        <v>88</v>
      </c>
      <c r="E802" s="26" t="s">
        <v>90</v>
      </c>
      <c r="F802" s="28" t="str">
        <f>HYPERLINK("https://www.youtube.com/watch?v=qPbemRW50y8",'Players&gt;List'!$B8)</f>
        <v>[ABA]</v>
      </c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4" t="s">
        <v>2531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"/>
    </row>
    <row r="804">
      <c r="A804" s="1"/>
      <c r="B804" s="4" t="s">
        <v>2533</v>
      </c>
      <c r="D804" s="9"/>
      <c r="E804" s="17" t="s">
        <v>14</v>
      </c>
      <c r="F804" s="28" t="str">
        <f>HYPERLINK("https://youtu.be/yjFgWPX2Nk4?t=105",'Players&gt;List'!$B10)</f>
        <v>[CAM]</v>
      </c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25" t="s">
        <v>457</v>
      </c>
      <c r="E805" s="26" t="s">
        <v>110</v>
      </c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25" t="s">
        <v>335</v>
      </c>
      <c r="E806" s="26" t="s">
        <v>147</v>
      </c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4" t="s">
        <v>2535</v>
      </c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"/>
    </row>
    <row r="808">
      <c r="A808" s="1"/>
      <c r="B808" s="4" t="s">
        <v>2537</v>
      </c>
      <c r="D808" s="9"/>
      <c r="E808" s="17" t="s">
        <v>14</v>
      </c>
      <c r="F808" s="28" t="str">
        <f>HYPERLINK("https://youtu.be/yjFgWPX2Nk4?t=223",'Players&gt;List'!$B10)</f>
        <v>[CAM]</v>
      </c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25" t="s">
        <v>131</v>
      </c>
      <c r="E809" s="26" t="s">
        <v>110</v>
      </c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4" t="s">
        <v>2543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"/>
    </row>
    <row r="811">
      <c r="A811" s="1"/>
      <c r="B811" s="4" t="s">
        <v>2545</v>
      </c>
      <c r="D811" s="9"/>
      <c r="E811" s="17" t="s">
        <v>14</v>
      </c>
      <c r="F811" s="28" t="str">
        <f>HYPERLINK("https://youtu.be/yjFgWPX2Nk4?t=264",'Players&gt;List'!$B10)</f>
        <v>[CAM]</v>
      </c>
      <c r="G811" s="28" t="str">
        <f>HYPERLINK("https://www.youtube.com/watch?v=T9X8s9oq7Do",'Players&gt;List'!$B29)</f>
        <v>[SYS]</v>
      </c>
      <c r="H811" s="1"/>
      <c r="I811" s="1"/>
      <c r="J811" s="1"/>
      <c r="K811" s="1"/>
      <c r="L811" s="1"/>
      <c r="M811" s="1"/>
      <c r="N811" s="1"/>
    </row>
    <row r="812">
      <c r="A812" s="1"/>
      <c r="B812" s="25" t="s">
        <v>457</v>
      </c>
      <c r="E812" s="26" t="s">
        <v>110</v>
      </c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4" t="s">
        <v>2549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"/>
    </row>
    <row r="814">
      <c r="A814" s="1"/>
      <c r="B814" s="4" t="s">
        <v>2552</v>
      </c>
      <c r="D814" s="9"/>
      <c r="E814" s="17" t="s">
        <v>14</v>
      </c>
      <c r="F814" s="28" t="str">
        <f>HYPERLINK("https://youtu.be/yjFgWPX2Nk4?t=294",'Players&gt;List'!$B10)</f>
        <v>[CAM]</v>
      </c>
      <c r="G814" s="28" t="str">
        <f>HYPERLINK("https://youtu.be/T9X8s9oq7Do?t=40s",'Players&gt;List'!$B29)</f>
        <v>[SYS]</v>
      </c>
      <c r="H814" s="1"/>
      <c r="I814" s="1"/>
      <c r="J814" s="1"/>
      <c r="K814" s="1"/>
      <c r="L814" s="1"/>
      <c r="M814" s="1"/>
      <c r="N814" s="1"/>
    </row>
    <row r="815">
      <c r="A815" s="1"/>
      <c r="B815" s="25" t="s">
        <v>108</v>
      </c>
      <c r="E815" s="26" t="s">
        <v>110</v>
      </c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25" t="s">
        <v>88</v>
      </c>
      <c r="E816" s="26" t="s">
        <v>147</v>
      </c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25" t="s">
        <v>149</v>
      </c>
      <c r="E817" s="26" t="s">
        <v>147</v>
      </c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25" t="s">
        <v>157</v>
      </c>
      <c r="E818" s="26" t="s">
        <v>132</v>
      </c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4" t="s">
        <v>2561</v>
      </c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"/>
    </row>
    <row r="820">
      <c r="A820" s="1"/>
      <c r="B820" s="4" t="s">
        <v>2564</v>
      </c>
      <c r="D820" s="9"/>
      <c r="E820" s="17" t="s">
        <v>14</v>
      </c>
      <c r="F820" s="28" t="str">
        <f>HYPERLINK("https://youtu.be/yjFgWPX2Nk4?t=386",'Players&gt;List'!$B10)</f>
        <v>[CAM]</v>
      </c>
      <c r="G820" s="28" t="str">
        <f>HYPERLINK("https://youtu.be/T9X8s9oq7Do?t=1m22s",'Players&gt;List'!$B29)</f>
        <v>[SYS]</v>
      </c>
      <c r="H820" s="1"/>
      <c r="I820" s="1"/>
      <c r="J820" s="1"/>
      <c r="K820" s="1"/>
      <c r="L820" s="1"/>
      <c r="M820" s="1"/>
      <c r="N820" s="1"/>
    </row>
    <row r="821">
      <c r="A821" s="1"/>
      <c r="B821" s="25" t="s">
        <v>108</v>
      </c>
      <c r="E821" s="26" t="s">
        <v>110</v>
      </c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4" t="s">
        <v>2569</v>
      </c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"/>
    </row>
    <row r="823">
      <c r="A823" s="1"/>
      <c r="B823" s="4" t="s">
        <v>2572</v>
      </c>
      <c r="D823" s="9"/>
      <c r="E823" s="17" t="s">
        <v>14</v>
      </c>
      <c r="F823" s="28" t="str">
        <f>HYPERLINK("https://youtu.be/yjFgWPX2Nk4?t=460",'Players&gt;List'!$B10)</f>
        <v>[CAM]</v>
      </c>
      <c r="G823" s="28" t="str">
        <f>HYPERLINK("https://youtu.be/T9X8s9oq7Do?t=2m47s",'Players&gt;List'!$B29)</f>
        <v>[SYS]</v>
      </c>
      <c r="H823" s="1"/>
      <c r="I823" s="1"/>
      <c r="J823" s="1"/>
      <c r="K823" s="1"/>
      <c r="L823" s="1"/>
      <c r="M823" s="1"/>
      <c r="N823" s="1"/>
    </row>
    <row r="824">
      <c r="A824" s="1"/>
      <c r="B824" s="25" t="s">
        <v>157</v>
      </c>
      <c r="E824" s="26" t="s">
        <v>110</v>
      </c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4" t="s">
        <v>2576</v>
      </c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"/>
    </row>
    <row r="826">
      <c r="A826" s="1"/>
      <c r="B826" s="4" t="s">
        <v>2578</v>
      </c>
      <c r="D826" s="9"/>
      <c r="E826" s="17" t="s">
        <v>14</v>
      </c>
      <c r="F826" s="28" t="str">
        <f>HYPERLINK("https://youtu.be/yjFgWPX2Nk4?t=508",'Players&gt;List'!$B10)</f>
        <v>[CAM]</v>
      </c>
      <c r="G826" s="28" t="str">
        <f>HYPERLINK("https://youtu.be/T9X8s9oq7Do?t=3m10s",'Players&gt;List'!$B29)</f>
        <v>[SYS]</v>
      </c>
      <c r="H826" s="1"/>
      <c r="I826" s="1"/>
      <c r="J826" s="1"/>
      <c r="K826" s="1"/>
      <c r="L826" s="1"/>
      <c r="M826" s="1"/>
      <c r="N826" s="1"/>
    </row>
    <row r="827">
      <c r="A827" s="1"/>
      <c r="B827" s="25" t="s">
        <v>88</v>
      </c>
      <c r="E827" s="26" t="s">
        <v>90</v>
      </c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4" t="s">
        <v>2580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"/>
    </row>
    <row r="829">
      <c r="A829" s="1"/>
      <c r="B829" s="4" t="s">
        <v>2581</v>
      </c>
      <c r="D829" s="9"/>
      <c r="E829" s="17" t="s">
        <v>14</v>
      </c>
      <c r="F829" s="28" t="str">
        <f>HYPERLINK("https://youtu.be/yjFgWPX2Nk4?t=606",'Players&gt;List'!$B10)</f>
        <v>[CAM]</v>
      </c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25" t="s">
        <v>457</v>
      </c>
      <c r="E830" s="26" t="s">
        <v>110</v>
      </c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25" t="s">
        <v>117</v>
      </c>
      <c r="E831" s="26" t="s">
        <v>132</v>
      </c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4" t="s">
        <v>2582</v>
      </c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"/>
    </row>
    <row r="833">
      <c r="A833" s="1"/>
      <c r="B833" s="4" t="s">
        <v>2585</v>
      </c>
      <c r="D833" s="9"/>
      <c r="E833" s="17" t="s">
        <v>14</v>
      </c>
      <c r="F833" s="28" t="str">
        <f>HYPERLINK("https://youtu.be/yjFgWPX2Nk4?t=734",'Players&gt;List'!$B10)</f>
        <v>[CAM]</v>
      </c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25" t="s">
        <v>88</v>
      </c>
      <c r="E834" s="26" t="s">
        <v>90</v>
      </c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4" t="s">
        <v>2589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"/>
    </row>
    <row r="836">
      <c r="A836" s="1"/>
      <c r="B836" s="4" t="s">
        <v>2591</v>
      </c>
      <c r="D836" s="9"/>
      <c r="E836" s="17" t="s">
        <v>14</v>
      </c>
      <c r="F836" s="28" t="str">
        <f>HYPERLINK("https://youtu.be/yjFgWPX2Nk4?t=766",'Players&gt;List'!$B10)</f>
        <v>[CAM]</v>
      </c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25" t="s">
        <v>149</v>
      </c>
      <c r="E837" s="26" t="s">
        <v>90</v>
      </c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4" t="s">
        <v>2594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"/>
    </row>
    <row r="839">
      <c r="A839" s="1"/>
      <c r="B839" s="4" t="s">
        <v>2596</v>
      </c>
      <c r="D839" s="9"/>
      <c r="E839" s="17" t="s">
        <v>14</v>
      </c>
      <c r="F839" s="28" t="str">
        <f>HYPERLINK("https://youtu.be/yjFgWPX2Nk4?t=803",'Players&gt;List'!$B10)</f>
        <v>[CAM]</v>
      </c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25" t="s">
        <v>387</v>
      </c>
      <c r="E840" s="26" t="s">
        <v>110</v>
      </c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4" t="s">
        <v>2600</v>
      </c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"/>
    </row>
    <row r="842">
      <c r="A842" s="1"/>
      <c r="B842" s="4" t="s">
        <v>2601</v>
      </c>
      <c r="D842" s="9"/>
      <c r="E842" s="17" t="s">
        <v>14</v>
      </c>
      <c r="F842" s="28" t="str">
        <f>HYPERLINK("https://youtu.be/yjFgWPX2Nk4?t=992",'Players&gt;List'!$B10)</f>
        <v>[CAM]</v>
      </c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25" t="s">
        <v>108</v>
      </c>
      <c r="E843" s="26" t="s">
        <v>110</v>
      </c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25" t="s">
        <v>117</v>
      </c>
      <c r="E844" s="26" t="s">
        <v>132</v>
      </c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4" t="s">
        <v>2607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"/>
    </row>
    <row r="846">
      <c r="A846" s="1"/>
      <c r="B846" s="4" t="s">
        <v>2609</v>
      </c>
      <c r="D846" s="9"/>
      <c r="E846" s="17" t="s">
        <v>14</v>
      </c>
      <c r="F846" s="28" t="str">
        <f>HYPERLINK("https://youtu.be/gPTiuXj0szY?t=25",'Players&gt;List'!$B10)</f>
        <v>[CAM]</v>
      </c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25" t="s">
        <v>88</v>
      </c>
      <c r="E847" s="26" t="s">
        <v>90</v>
      </c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4" t="s">
        <v>2612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"/>
    </row>
    <row r="849">
      <c r="A849" s="1"/>
      <c r="B849" s="4" t="s">
        <v>2614</v>
      </c>
      <c r="D849" s="9"/>
      <c r="E849" s="17" t="s">
        <v>14</v>
      </c>
      <c r="F849" s="28" t="str">
        <f>HYPERLINK("https://youtu.be/gPTiuXj0szY?t=890",'Players&gt;List'!$B10)</f>
        <v>[CAM]</v>
      </c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25" t="s">
        <v>2618</v>
      </c>
      <c r="E850" s="26" t="s">
        <v>380</v>
      </c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4" t="s">
        <v>2619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"/>
    </row>
    <row r="852">
      <c r="A852" s="1"/>
      <c r="B852" s="4" t="s">
        <v>2621</v>
      </c>
      <c r="D852" s="9"/>
      <c r="E852" s="17" t="s">
        <v>14</v>
      </c>
      <c r="F852" s="28" t="str">
        <f>HYPERLINK("https://youtu.be/gPTiuXj0szY?t=1032",'Players&gt;List'!$B10)</f>
        <v>[CAM]</v>
      </c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25" t="s">
        <v>157</v>
      </c>
      <c r="E853" s="26" t="s">
        <v>110</v>
      </c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4" t="s">
        <v>2624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"/>
    </row>
    <row r="855">
      <c r="A855" s="1"/>
      <c r="B855" s="4" t="s">
        <v>2627</v>
      </c>
      <c r="D855" s="9"/>
      <c r="E855" s="17" t="s">
        <v>14</v>
      </c>
      <c r="F855" s="28" t="str">
        <f>HYPERLINK("https://youtu.be/gPTiuXj0szY?t=1063",'Players&gt;List'!$B10)</f>
        <v>[CAM]</v>
      </c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25" t="s">
        <v>108</v>
      </c>
      <c r="E856" s="26" t="s">
        <v>110</v>
      </c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4" t="s">
        <v>2631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"/>
    </row>
    <row r="858">
      <c r="A858" s="1"/>
      <c r="B858" s="4" t="s">
        <v>2633</v>
      </c>
      <c r="D858" s="9"/>
      <c r="E858" s="17" t="s">
        <v>14</v>
      </c>
      <c r="F858" s="28" t="str">
        <f>HYPERLINK("https://youtu.be/gPTiuXj0szY?t=1615",'Players&gt;List'!$B10)</f>
        <v>[CAM]</v>
      </c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25" t="s">
        <v>1147</v>
      </c>
      <c r="E859" s="26" t="s">
        <v>110</v>
      </c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25" t="s">
        <v>131</v>
      </c>
      <c r="E860" s="26" t="s">
        <v>132</v>
      </c>
      <c r="F860" s="28" t="str">
        <f>HYPERLINK("https://www.youtube.com/watch?v=hyHIVEkf9pg&amp;index=272&amp;list=PLbU6uWaIKemqNvTeRxK-Ay6PRg9iwCKVi&amp;t=0s",'Players&gt;List'!$B19)</f>
        <v>[HIT]</v>
      </c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4" t="s">
        <v>2638</v>
      </c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"/>
    </row>
    <row r="862">
      <c r="A862" s="1"/>
      <c r="B862" s="4" t="s">
        <v>2640</v>
      </c>
      <c r="D862" s="9"/>
      <c r="E862" s="17" t="s">
        <v>14</v>
      </c>
      <c r="F862" s="28" t="str">
        <f>HYPERLINK("https://youtu.be/tNEPvq4r-90?t=58",'Players&gt;List'!$B10)</f>
        <v>[CAM]</v>
      </c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25" t="s">
        <v>157</v>
      </c>
      <c r="E863" s="26" t="s">
        <v>110</v>
      </c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25" t="s">
        <v>197</v>
      </c>
      <c r="E864" s="26" t="s">
        <v>147</v>
      </c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4" t="s">
        <v>2643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"/>
    </row>
    <row r="866">
      <c r="A866" s="1"/>
      <c r="B866" s="4" t="s">
        <v>2645</v>
      </c>
      <c r="D866" s="9"/>
      <c r="E866" s="17" t="s">
        <v>14</v>
      </c>
      <c r="F866" s="28" t="str">
        <f>HYPERLINK("https://youtu.be/tNEPvq4r-90?t=695",'Players&gt;List'!$B10)</f>
        <v>[CAM]</v>
      </c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25" t="s">
        <v>2296</v>
      </c>
      <c r="E867" s="26" t="s">
        <v>234</v>
      </c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25" t="s">
        <v>108</v>
      </c>
      <c r="E868" s="26" t="s">
        <v>132</v>
      </c>
      <c r="F868" s="28" t="str">
        <f>HYPERLINK("https://www.youtube.com/watch?v=e7KxKU6vFxI&amp;index=308&amp;list=PLbU6uWaIKemqNvTeRxK-Ay6PRg9iwCKVi&amp;t=0s",'Players&gt;List'!$B19)</f>
        <v>[HIT]</v>
      </c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4" t="s">
        <v>2649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"/>
    </row>
    <row r="870">
      <c r="A870" s="1"/>
      <c r="B870" s="4" t="s">
        <v>2650</v>
      </c>
      <c r="D870" s="9"/>
      <c r="E870" s="17" t="s">
        <v>14</v>
      </c>
      <c r="F870" s="28" t="str">
        <f>HYPERLINK("https://youtu.be/tNEPvq4r-90?t=849",'Players&gt;List'!$B10)</f>
        <v>[CAM]</v>
      </c>
      <c r="G870" s="28" t="str">
        <f>HYPERLINK("https://www.youtube.com/watch?v=EWQSD89e3ZA",'Players&gt;List'!$B28)</f>
        <v>[SUN]</v>
      </c>
      <c r="H870" s="1"/>
      <c r="I870" s="1"/>
      <c r="J870" s="1"/>
      <c r="K870" s="1"/>
      <c r="L870" s="1"/>
      <c r="M870" s="1"/>
      <c r="N870" s="1"/>
    </row>
    <row r="871">
      <c r="A871" s="1"/>
      <c r="B871" s="25" t="s">
        <v>88</v>
      </c>
      <c r="E871" s="26" t="s">
        <v>90</v>
      </c>
      <c r="F871" s="28" t="str">
        <f>HYPERLINK("https://www.youtube.com/watch?v=jjyq-cL_E9c",'Players&gt;List'!$B18)</f>
        <v>[HGB]</v>
      </c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25" t="s">
        <v>444</v>
      </c>
      <c r="E872" s="26" t="s">
        <v>147</v>
      </c>
      <c r="F872" s="28" t="str">
        <f>HYPERLINK("https://www.youtube.com/watch?v=EWQSD89e3ZA",'Players&gt;List'!$B28)</f>
        <v>[SUN]</v>
      </c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4" t="s">
        <v>2657</v>
      </c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"/>
    </row>
    <row r="874">
      <c r="A874" s="1"/>
      <c r="B874" s="4" t="s">
        <v>2659</v>
      </c>
      <c r="D874" s="9"/>
      <c r="E874" s="17" t="s">
        <v>14</v>
      </c>
      <c r="F874" s="28" t="str">
        <f>HYPERLINK("https://youtu.be/tNEPvq4r-90?t=890",'Players&gt;List'!$B10)</f>
        <v>[CAM]</v>
      </c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25" t="s">
        <v>117</v>
      </c>
      <c r="E875" s="26" t="s">
        <v>110</v>
      </c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4" t="s">
        <v>2661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"/>
    </row>
    <row r="877">
      <c r="A877" s="1"/>
      <c r="B877" s="4" t="s">
        <v>2662</v>
      </c>
      <c r="D877" s="9"/>
      <c r="E877" s="17" t="s">
        <v>14</v>
      </c>
      <c r="F877" s="28" t="str">
        <f>HYPERLINK("https://youtu.be/tNEPvq4r-90?t=937",'Players&gt;List'!$B10)</f>
        <v>[CAM]</v>
      </c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25" t="s">
        <v>88</v>
      </c>
      <c r="E878" s="26" t="s">
        <v>90</v>
      </c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4" t="s">
        <v>2664</v>
      </c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"/>
    </row>
    <row r="880">
      <c r="A880" s="1"/>
      <c r="B880" s="4" t="s">
        <v>2666</v>
      </c>
      <c r="D880" s="9"/>
      <c r="E880" s="17" t="s">
        <v>14</v>
      </c>
      <c r="F880" s="28" t="str">
        <f>HYPERLINK("https://youtu.be/qYpwECPbIqU?t=24",'Players&gt;List'!$B10)</f>
        <v>[CAM]</v>
      </c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25" t="s">
        <v>88</v>
      </c>
      <c r="E881" s="26" t="s">
        <v>90</v>
      </c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4" t="s">
        <v>2670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"/>
    </row>
    <row r="883">
      <c r="A883" s="1"/>
      <c r="B883" s="4" t="s">
        <v>2673</v>
      </c>
      <c r="D883" s="9"/>
      <c r="E883" s="17" t="s">
        <v>14</v>
      </c>
      <c r="F883" s="28" t="str">
        <f>HYPERLINK("https://youtu.be/qYpwECPbIqU?t=39",'Players&gt;List'!$B10)</f>
        <v>[CAM]</v>
      </c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25" t="s">
        <v>88</v>
      </c>
      <c r="E884" s="26" t="s">
        <v>90</v>
      </c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4" t="s">
        <v>2676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"/>
    </row>
    <row r="886">
      <c r="A886" s="1"/>
      <c r="B886" s="4" t="s">
        <v>2678</v>
      </c>
      <c r="D886" s="9"/>
      <c r="E886" s="17" t="s">
        <v>14</v>
      </c>
      <c r="F886" s="28" t="str">
        <f>HYPERLINK("https://youtu.be/qYpwECPbIqU?t=60",'Players&gt;List'!$B10)</f>
        <v>[CAM]</v>
      </c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25" t="s">
        <v>88</v>
      </c>
      <c r="E887" s="26" t="s">
        <v>90</v>
      </c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25" t="s">
        <v>157</v>
      </c>
      <c r="E888" s="26" t="s">
        <v>132</v>
      </c>
      <c r="F888" s="28" t="str">
        <f>HYPERLINK("https://www.youtube.com/watch?v=00pg4N0MmBU&amp;index=309&amp;list=PLbU6uWaIKemqNvTeRxK-Ay6PRg9iwCKVi&amp;t=0s",'Players&gt;List'!$B19)</f>
        <v>[HIT]</v>
      </c>
      <c r="G888" s="28" t="str">
        <f>HYPERLINK("https://www.youtube.com/watch?v=6mr1uQ9ksRE",'Players&gt;List'!$B15)</f>
        <v>[FNY]</v>
      </c>
      <c r="H888" s="1"/>
      <c r="I888" s="1"/>
      <c r="J888" s="1"/>
      <c r="K888" s="1"/>
      <c r="L888" s="1"/>
      <c r="M888" s="1"/>
      <c r="N888" s="1"/>
    </row>
    <row r="889">
      <c r="A889" s="1"/>
      <c r="B889" s="14" t="s">
        <v>2686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"/>
    </row>
    <row r="890">
      <c r="A890" s="1"/>
      <c r="B890" s="4" t="s">
        <v>2689</v>
      </c>
      <c r="D890" s="9"/>
      <c r="E890" s="17" t="s">
        <v>14</v>
      </c>
      <c r="F890" s="28" t="str">
        <f>HYPERLINK("https://youtu.be/qYpwECPbIqU?t=97",'Players&gt;List'!$B10)</f>
        <v>[CAM]</v>
      </c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25" t="s">
        <v>149</v>
      </c>
      <c r="E891" s="26" t="s">
        <v>90</v>
      </c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4" t="s">
        <v>2692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"/>
    </row>
    <row r="893">
      <c r="A893" s="1"/>
      <c r="B893" s="4" t="s">
        <v>2693</v>
      </c>
      <c r="D893" s="9"/>
      <c r="E893" s="17" t="s">
        <v>14</v>
      </c>
      <c r="F893" s="28" t="str">
        <f>HYPERLINK("https://youtu.be/qYpwECPbIqU?t=264",'Players&gt;List'!$B10)</f>
        <v>[CAM]</v>
      </c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25" t="s">
        <v>88</v>
      </c>
      <c r="E894" s="26" t="s">
        <v>90</v>
      </c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4" t="s">
        <v>2698</v>
      </c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"/>
    </row>
    <row r="896">
      <c r="A896" s="1"/>
      <c r="B896" s="4" t="s">
        <v>2704</v>
      </c>
      <c r="D896" s="9"/>
      <c r="E896" s="17" t="s">
        <v>14</v>
      </c>
      <c r="F896" s="28" t="str">
        <f>HYPERLINK("https://youtu.be/qYpwECPbIqU?t=348",'Players&gt;List'!$B10)</f>
        <v>[CAM]</v>
      </c>
      <c r="G896" s="28" t="str">
        <f>HYPERLINK("https://www.youtube.com/watch?v=CloCowA1hs0",'Players&gt;List'!$B29)</f>
        <v>[SYS]</v>
      </c>
      <c r="H896" s="1"/>
      <c r="I896" s="1"/>
      <c r="J896" s="1"/>
      <c r="K896" s="1"/>
      <c r="L896" s="1"/>
      <c r="M896" s="1"/>
      <c r="N896" s="1"/>
    </row>
    <row r="897">
      <c r="A897" s="1"/>
      <c r="B897" s="25" t="s">
        <v>88</v>
      </c>
      <c r="E897" s="26" t="s">
        <v>90</v>
      </c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4" t="s">
        <v>2708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"/>
    </row>
    <row r="899">
      <c r="A899" s="1"/>
      <c r="B899" s="4" t="s">
        <v>2710</v>
      </c>
      <c r="D899" s="9"/>
      <c r="E899" s="17" t="s">
        <v>14</v>
      </c>
      <c r="F899" s="28" t="str">
        <f>HYPERLINK("https://youtu.be/qYpwECPbIqU?t=968",'Players&gt;List'!$B10)</f>
        <v>[CAM]</v>
      </c>
      <c r="G899" s="28" t="str">
        <f>HYPERLINK("https://youtu.be/CloCowA1hs0?t=16s",'Players&gt;List'!$B29)</f>
        <v>[SYS]</v>
      </c>
      <c r="H899" s="1"/>
      <c r="I899" s="1"/>
      <c r="J899" s="1"/>
      <c r="K899" s="1"/>
      <c r="L899" s="1"/>
      <c r="M899" s="1"/>
      <c r="N899" s="1"/>
    </row>
    <row r="900">
      <c r="A900" s="1"/>
      <c r="B900" s="25" t="s">
        <v>157</v>
      </c>
      <c r="E900" s="26" t="s">
        <v>110</v>
      </c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4" t="s">
        <v>2715</v>
      </c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"/>
    </row>
    <row r="902">
      <c r="A902" s="1"/>
      <c r="B902" s="4" t="s">
        <v>2717</v>
      </c>
      <c r="D902" s="9"/>
      <c r="E902" s="17" t="s">
        <v>14</v>
      </c>
      <c r="F902" s="28" t="str">
        <f>HYPERLINK("https://youtu.be/qYpwECPbIqU?t=1036",'Players&gt;List'!$B10)</f>
        <v>[CAM]</v>
      </c>
      <c r="G902" s="28" t="str">
        <f>HYPERLINK("https://youtu.be/CloCowA1hs0?t=1m6s",'Players&gt;List'!$B29)</f>
        <v>[SYS]</v>
      </c>
      <c r="H902" s="1"/>
      <c r="I902" s="1"/>
      <c r="J902" s="1"/>
      <c r="K902" s="1"/>
      <c r="L902" s="1"/>
      <c r="M902" s="1"/>
      <c r="N902" s="1"/>
    </row>
    <row r="903">
      <c r="A903" s="1"/>
      <c r="B903" s="25" t="s">
        <v>88</v>
      </c>
      <c r="E903" s="26" t="s">
        <v>90</v>
      </c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4" t="s">
        <v>2724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"/>
    </row>
    <row r="905">
      <c r="A905" s="1"/>
      <c r="B905" s="4" t="s">
        <v>2726</v>
      </c>
      <c r="D905" s="9"/>
      <c r="E905" s="17" t="s">
        <v>14</v>
      </c>
      <c r="F905" s="28" t="str">
        <f>HYPERLINK("https://youtu.be/qYpwECPbIqU?t=1053",'Players&gt;List'!$B10)</f>
        <v>[CAM]</v>
      </c>
      <c r="G905" s="28" t="str">
        <f>HYPERLINK("https://youtu.be/CloCowA1hs0?t=1m25s",'Players&gt;List'!$B29)</f>
        <v>[SYS]</v>
      </c>
      <c r="H905" s="1"/>
      <c r="I905" s="1"/>
      <c r="J905" s="1"/>
      <c r="K905" s="1"/>
      <c r="L905" s="1"/>
      <c r="M905" s="1"/>
      <c r="N905" s="1"/>
    </row>
    <row r="906">
      <c r="A906" s="1"/>
      <c r="B906" s="25" t="s">
        <v>117</v>
      </c>
      <c r="E906" s="26" t="s">
        <v>110</v>
      </c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4" t="s">
        <v>2732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"/>
    </row>
    <row r="908">
      <c r="A908" s="1"/>
      <c r="B908" s="4" t="s">
        <v>2735</v>
      </c>
      <c r="D908" s="9"/>
      <c r="E908" s="17" t="s">
        <v>14</v>
      </c>
      <c r="F908" s="28" t="str">
        <f>HYPERLINK("https://youtu.be/qYpwECPbIqU?t=1452",'Players&gt;List'!$B10)</f>
        <v>[CAM]</v>
      </c>
      <c r="G908" s="28" t="str">
        <f>HYPERLINK("https://youtu.be/CloCowA1hs0?t=1m40s",'Players&gt;List'!$B29)</f>
        <v>[SYS]</v>
      </c>
      <c r="H908" s="1"/>
      <c r="I908" s="1"/>
      <c r="J908" s="1"/>
      <c r="K908" s="1"/>
      <c r="L908" s="1"/>
      <c r="M908" s="1"/>
      <c r="N908" s="1"/>
    </row>
    <row r="909">
      <c r="A909" s="1"/>
      <c r="B909" s="25" t="s">
        <v>117</v>
      </c>
      <c r="E909" s="26" t="s">
        <v>110</v>
      </c>
      <c r="F909" s="28" t="str">
        <f>HYPERLINK("https://www.youtube.com/watch?v=fsg6sAlHgFo&amp;index=320&amp;list=PLbU6uWaIKemqNvTeRxK-Ay6PRg9iwCKVi&amp;t=0s",'Players&gt;List'!$B19)</f>
        <v>[HIT]</v>
      </c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4" t="s">
        <v>2742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"/>
    </row>
    <row r="911">
      <c r="A911" s="1"/>
      <c r="B911" s="4" t="s">
        <v>2743</v>
      </c>
      <c r="D911" s="9"/>
      <c r="E911" s="17" t="s">
        <v>14</v>
      </c>
      <c r="F911" s="28" t="str">
        <f>HYPERLINK("https://youtu.be/CJ44J1lGP1Q?t=28",'Players&gt;List'!$B10)</f>
        <v>[CAM]</v>
      </c>
      <c r="G911" s="28" t="str">
        <f>HYPERLINK("https://www.youtube.com/watch?v=S52V_RsvOps",'Players&gt;List'!$B28)</f>
        <v>[SUN]</v>
      </c>
      <c r="H911" s="1"/>
      <c r="I911" s="1"/>
      <c r="J911" s="1"/>
      <c r="K911" s="1"/>
      <c r="L911" s="1"/>
      <c r="M911" s="1"/>
      <c r="N911" s="1"/>
    </row>
    <row r="912">
      <c r="A912" s="1"/>
      <c r="B912" s="25" t="s">
        <v>335</v>
      </c>
      <c r="E912" s="26" t="s">
        <v>90</v>
      </c>
      <c r="F912" s="28" t="str">
        <f>HYPERLINK("https://www.youtube.com/watch?v=gSSJ7AN018k",'Players&gt;List'!$B8)</f>
        <v>[ABA]</v>
      </c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25" t="s">
        <v>444</v>
      </c>
      <c r="E913" s="26" t="s">
        <v>147</v>
      </c>
      <c r="F913" s="28" t="str">
        <f>HYPERLINK("https://youtu.be/CJ44J1lGP1Q?t=28",'Players&gt;List'!$B10)</f>
        <v>[CAM]</v>
      </c>
      <c r="G913" s="28" t="str">
        <f>HYPERLINK("https://www.youtube.com/watch?v=S52V_RsvOps",'Players&gt;List'!$B28)</f>
        <v>[SUN]</v>
      </c>
      <c r="H913" s="1"/>
      <c r="I913" s="1"/>
      <c r="J913" s="1"/>
      <c r="K913" s="1"/>
      <c r="L913" s="1"/>
      <c r="M913" s="1"/>
      <c r="N913" s="1"/>
    </row>
    <row r="914">
      <c r="A914" s="1"/>
      <c r="B914" s="14" t="s">
        <v>2757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"/>
    </row>
    <row r="915">
      <c r="A915" s="1"/>
      <c r="B915" s="4" t="s">
        <v>2759</v>
      </c>
      <c r="D915" s="9"/>
      <c r="E915" s="17" t="s">
        <v>14</v>
      </c>
      <c r="F915" s="28" t="str">
        <f>HYPERLINK("https://youtu.be/CJ44J1lGP1Q?t=41",'Players&gt;List'!$B10)</f>
        <v>[CAM]</v>
      </c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25" t="s">
        <v>88</v>
      </c>
      <c r="E916" s="26" t="s">
        <v>90</v>
      </c>
      <c r="F916" s="28" t="str">
        <f>HYPERLINK("https://www.youtube.com/watch?v=NTA4QVTosqA",'Players&gt;List'!$B8)</f>
        <v>[ABA]</v>
      </c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4" t="s">
        <v>2762</v>
      </c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"/>
    </row>
    <row r="918">
      <c r="A918" s="1"/>
      <c r="B918" s="4" t="s">
        <v>2764</v>
      </c>
      <c r="D918" s="9"/>
      <c r="E918" s="17" t="s">
        <v>14</v>
      </c>
      <c r="F918" s="28" t="str">
        <f>HYPERLINK("https://youtu.be/CJ44J1lGP1Q?t=171",'Players&gt;List'!$B10)</f>
        <v>[CAM]</v>
      </c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25" t="s">
        <v>117</v>
      </c>
      <c r="E919" s="26" t="s">
        <v>110</v>
      </c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4" t="s">
        <v>2766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"/>
    </row>
    <row r="921">
      <c r="A921" s="1"/>
      <c r="B921" s="4" t="s">
        <v>2768</v>
      </c>
      <c r="D921" s="9"/>
      <c r="E921" s="17" t="s">
        <v>14</v>
      </c>
      <c r="F921" s="28" t="str">
        <f>HYPERLINK("https://youtu.be/CJ44J1lGP1Q?t=281",'Players&gt;List'!$B10)</f>
        <v>[CAM]</v>
      </c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25" t="s">
        <v>131</v>
      </c>
      <c r="E922" s="26" t="s">
        <v>110</v>
      </c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4" t="s">
        <v>2771</v>
      </c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"/>
    </row>
    <row r="924">
      <c r="A924" s="1"/>
      <c r="B924" s="4" t="s">
        <v>2772</v>
      </c>
      <c r="D924" s="9"/>
      <c r="E924" s="17" t="s">
        <v>14</v>
      </c>
      <c r="F924" s="28" t="str">
        <f>HYPERLINK("https://youtu.be/CJ44J1lGP1Q?t=479",'Players&gt;List'!$B10)</f>
        <v>[CAM]</v>
      </c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25" t="s">
        <v>117</v>
      </c>
      <c r="E925" s="26" t="s">
        <v>110</v>
      </c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4" t="s">
        <v>2776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"/>
    </row>
    <row r="927">
      <c r="A927" s="1"/>
      <c r="B927" s="4" t="s">
        <v>2778</v>
      </c>
      <c r="D927" s="9"/>
      <c r="E927" s="17" t="s">
        <v>14</v>
      </c>
      <c r="F927" s="28" t="str">
        <f>HYPERLINK("https://youtu.be/CJ44J1lGP1Q?t=581",'Players&gt;List'!$B10)</f>
        <v>[CAM]</v>
      </c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25" t="s">
        <v>422</v>
      </c>
      <c r="E928" s="26" t="s">
        <v>110</v>
      </c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4" t="s">
        <v>2782</v>
      </c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"/>
    </row>
    <row r="930">
      <c r="A930" s="1"/>
      <c r="B930" s="4" t="s">
        <v>2783</v>
      </c>
      <c r="D930" s="9"/>
      <c r="E930" s="17" t="s">
        <v>14</v>
      </c>
      <c r="F930" s="28" t="str">
        <f>HYPERLINK("https://youtu.be/CJ44J1lGP1Q?t=758",'Players&gt;List'!$B10)</f>
        <v>[CAM]</v>
      </c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25" t="s">
        <v>88</v>
      </c>
      <c r="E931" s="26" t="s">
        <v>90</v>
      </c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4" t="s">
        <v>2786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"/>
    </row>
    <row r="933">
      <c r="A933" s="1"/>
      <c r="B933" s="4" t="s">
        <v>2788</v>
      </c>
      <c r="D933" s="9"/>
      <c r="E933" s="17" t="s">
        <v>14</v>
      </c>
      <c r="F933" s="28" t="str">
        <f>HYPERLINK("https://youtu.be/CJ44J1lGP1Q?t=810",'Players&gt;List'!$B10)</f>
        <v>[CAM]</v>
      </c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25" t="s">
        <v>2790</v>
      </c>
      <c r="E934" s="26" t="s">
        <v>110</v>
      </c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4" t="s">
        <v>2792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"/>
    </row>
    <row r="936">
      <c r="A936" s="1"/>
      <c r="B936" s="4" t="s">
        <v>2794</v>
      </c>
      <c r="D936" s="9"/>
      <c r="E936" s="17" t="s">
        <v>14</v>
      </c>
      <c r="F936" s="28" t="str">
        <f>HYPERLINK("https://youtu.be/CJ44J1lGP1Q?t=994",'Players&gt;List'!$B10)</f>
        <v>[CAM]</v>
      </c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25" t="s">
        <v>400</v>
      </c>
      <c r="E937" s="26" t="s">
        <v>234</v>
      </c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4" t="s">
        <v>2796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"/>
    </row>
    <row r="939">
      <c r="A939" s="1"/>
      <c r="B939" s="4" t="s">
        <v>2798</v>
      </c>
      <c r="D939" s="9"/>
      <c r="E939" s="17" t="s">
        <v>14</v>
      </c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25" t="s">
        <v>422</v>
      </c>
      <c r="E940" s="26" t="s">
        <v>110</v>
      </c>
      <c r="F940" s="28" t="str">
        <f>HYPERLINK("https://www.youtube.com/watch?v=n8XQqIatvAk",'Players&gt;List'!$B8)</f>
        <v>[ABA]</v>
      </c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25" t="s">
        <v>1385</v>
      </c>
      <c r="E941" s="26" t="s">
        <v>132</v>
      </c>
      <c r="F941" s="28" t="str">
        <f>HYPERLINK("https://youtu.be/CJ44J1lGP1Q?t=1276",'Players&gt;List'!$B10)</f>
        <v>[CAM]</v>
      </c>
      <c r="G941" s="28" t="str">
        <f>HYPERLINK("https://www.youtube.com/watch?v=zxadTieHzTU",'Players&gt;List'!$B28)</f>
        <v>[SUN]</v>
      </c>
      <c r="H941" s="1"/>
      <c r="I941" s="1"/>
      <c r="J941" s="1"/>
      <c r="K941" s="1"/>
      <c r="L941" s="1"/>
      <c r="M941" s="1"/>
      <c r="N941" s="1"/>
    </row>
    <row r="942">
      <c r="A942" s="1"/>
      <c r="B942" s="14" t="s">
        <v>2806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"/>
    </row>
    <row r="943">
      <c r="A943" s="1"/>
      <c r="B943" s="4" t="s">
        <v>2808</v>
      </c>
      <c r="D943" s="9"/>
      <c r="E943" s="17" t="s">
        <v>14</v>
      </c>
      <c r="F943" s="28" t="str">
        <f>HYPERLINK("https://youtu.be/0Mjz6rUq8L4?t=84",'Players&gt;List'!$B10)</f>
        <v>[CAM]</v>
      </c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25" t="s">
        <v>197</v>
      </c>
      <c r="E944" s="26" t="s">
        <v>90</v>
      </c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25" t="s">
        <v>117</v>
      </c>
      <c r="E945" s="26" t="s">
        <v>132</v>
      </c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4" t="s">
        <v>2814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"/>
    </row>
    <row r="947">
      <c r="A947" s="1"/>
      <c r="B947" s="4" t="s">
        <v>2816</v>
      </c>
      <c r="D947" s="9"/>
      <c r="E947" s="17" t="s">
        <v>14</v>
      </c>
      <c r="F947" s="28" t="str">
        <f>HYPERLINK("https://youtu.be/0Mjz6rUq8L4?t=155",'Players&gt;List'!$B10)</f>
        <v>[CAM]</v>
      </c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25" t="s">
        <v>117</v>
      </c>
      <c r="E948" s="26" t="s">
        <v>110</v>
      </c>
      <c r="F948" s="28" t="str">
        <f>HYPERLINK("https://www.youtube.com/watch?v=DnhTVeVXg-0",'Players&gt;List'!$B8)</f>
        <v>[ABA]</v>
      </c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25" t="s">
        <v>149</v>
      </c>
      <c r="E949" s="26" t="s">
        <v>147</v>
      </c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25" t="s">
        <v>88</v>
      </c>
      <c r="E950" s="26" t="s">
        <v>147</v>
      </c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4" t="s">
        <v>2821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"/>
    </row>
    <row r="952">
      <c r="A952" s="1"/>
      <c r="B952" s="4" t="s">
        <v>2823</v>
      </c>
      <c r="D952" s="9"/>
      <c r="E952" s="17" t="s">
        <v>14</v>
      </c>
      <c r="F952" s="28" t="str">
        <f>HYPERLINK("https://youtu.be/0Mjz6rUq8L4?t=226",'Players&gt;List'!$B10)</f>
        <v>[CAM]</v>
      </c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25" t="s">
        <v>2177</v>
      </c>
      <c r="E953" s="26" t="s">
        <v>380</v>
      </c>
      <c r="F953" s="28" t="str">
        <f>HYPERLINK("https://www.youtube.com/watch?v=3lG5zPF9Obs",'Players&gt;List'!$B18)</f>
        <v>[HGB]</v>
      </c>
      <c r="G953" s="28" t="str">
        <f>HYPERLINK("https://www.youtube.com/watch?v=J6ujOJgbWFY",'Players&gt;List'!$B28)</f>
        <v>[SUN]</v>
      </c>
      <c r="H953" s="1"/>
      <c r="I953" s="1"/>
      <c r="J953" s="1"/>
      <c r="K953" s="1"/>
      <c r="L953" s="1"/>
      <c r="M953" s="1"/>
      <c r="N953" s="1"/>
    </row>
    <row r="954">
      <c r="A954" s="1"/>
      <c r="B954" s="14" t="s">
        <v>2828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"/>
    </row>
    <row r="955">
      <c r="A955" s="1"/>
      <c r="B955" s="4" t="s">
        <v>2829</v>
      </c>
      <c r="D955" s="9"/>
      <c r="E955" s="17" t="s">
        <v>14</v>
      </c>
      <c r="F955" s="28" t="str">
        <f>HYPERLINK("https://youtu.be/0Mjz6rUq8L4?t=258",'Players&gt;List'!$B10)</f>
        <v>[CAM]</v>
      </c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25" t="s">
        <v>149</v>
      </c>
      <c r="E956" s="26" t="s">
        <v>90</v>
      </c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25" t="s">
        <v>88</v>
      </c>
      <c r="E957" s="26" t="s">
        <v>147</v>
      </c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4" t="s">
        <v>2831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"/>
    </row>
    <row r="959">
      <c r="A959" s="1"/>
      <c r="B959" s="4" t="s">
        <v>2832</v>
      </c>
      <c r="D959" s="9"/>
      <c r="E959" s="17" t="s">
        <v>14</v>
      </c>
      <c r="F959" s="28" t="str">
        <f>HYPERLINK("https://youtu.be/0Mjz6rUq8L4?t=1609",'Players&gt;List'!$B10)</f>
        <v>[CAM]</v>
      </c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25" t="s">
        <v>88</v>
      </c>
      <c r="E960" s="26" t="s">
        <v>90</v>
      </c>
      <c r="F960" s="18" t="str">
        <f>HYPERLINK("https://www.youtube.com/watch?v=Uz1udNwhB-Q",'Players&gt;List'!$B32)</f>
        <v>[XEL]</v>
      </c>
      <c r="G960" s="28" t="str">
        <f>HYPERLINK("https://www.youtube.com/watch?v=7kKWtkmBf-0&amp;index=326&amp;list=PLbU6uWaIKemqNvTeRxK-Ay6PRg9iwCKVi&amp;t=0s",'Players&gt;List'!$B19)</f>
        <v>[HIT]</v>
      </c>
      <c r="H960" s="28" t="str">
        <f>HYPERLINK("https://www.youtube.com/watch?v=dSQMXAQti2k",'Players&gt;List'!$B15)</f>
        <v>[FNY]</v>
      </c>
      <c r="I960" s="1"/>
      <c r="J960" s="1"/>
      <c r="K960" s="1"/>
      <c r="L960" s="1"/>
      <c r="M960" s="1"/>
      <c r="N960" s="1"/>
    </row>
    <row r="961">
      <c r="A961" s="1"/>
      <c r="B961" s="14" t="s">
        <v>2840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"/>
    </row>
    <row r="962">
      <c r="A962" s="1"/>
      <c r="B962" s="4" t="s">
        <v>2843</v>
      </c>
      <c r="D962" s="9"/>
      <c r="E962" s="17" t="s">
        <v>14</v>
      </c>
      <c r="F962" s="28" t="str">
        <f>HYPERLINK("https://youtu.be/MeAKibGJADg?t=43",'Players&gt;List'!$B10)</f>
        <v>[CAM]</v>
      </c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25" t="s">
        <v>2162</v>
      </c>
      <c r="E963" s="26" t="s">
        <v>234</v>
      </c>
      <c r="F963" s="28" t="str">
        <f>HYPERLINK("https://www.youtube.com/watch?v=-tZqwReUYlc",'Players&gt;List'!$B18)</f>
        <v>[HGB]</v>
      </c>
      <c r="G963" s="28" t="str">
        <f>HYPERLINK("https://www.twitch.tv/videos/401038061",'Players&gt;List'!$B24)</f>
        <v>[NIM]</v>
      </c>
      <c r="H963" s="1"/>
      <c r="I963" s="1"/>
      <c r="J963" s="1"/>
      <c r="K963" s="1"/>
      <c r="L963" s="1"/>
      <c r="M963" s="1"/>
      <c r="N963" s="1"/>
    </row>
    <row r="964">
      <c r="A964" s="1"/>
      <c r="B964" s="25" t="s">
        <v>88</v>
      </c>
      <c r="E964" s="26" t="s">
        <v>147</v>
      </c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25" t="s">
        <v>149</v>
      </c>
      <c r="E965" s="26" t="s">
        <v>147</v>
      </c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25" t="s">
        <v>335</v>
      </c>
      <c r="E966" s="26" t="s">
        <v>147</v>
      </c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4" t="s">
        <v>2849</v>
      </c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"/>
    </row>
    <row r="968">
      <c r="A968" s="1"/>
      <c r="B968" s="4" t="s">
        <v>2851</v>
      </c>
      <c r="D968" s="9"/>
      <c r="E968" s="17" t="s">
        <v>14</v>
      </c>
      <c r="F968" s="28" t="str">
        <f>HYPERLINK("https://youtu.be/MeAKibGJADg?t=66",'Players&gt;List'!$B10)</f>
        <v>[CAM]</v>
      </c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25" t="s">
        <v>117</v>
      </c>
      <c r="E969" s="26" t="s">
        <v>110</v>
      </c>
      <c r="F969" s="28" t="str">
        <f>HYPERLINK("https://www.youtube.com/watch?v=vMxehft8j2U",'Players&gt;List'!$B8)</f>
        <v>[ABA]</v>
      </c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25" t="s">
        <v>88</v>
      </c>
      <c r="E970" s="26" t="s">
        <v>147</v>
      </c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4" t="s">
        <v>2855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"/>
    </row>
    <row r="972">
      <c r="A972" s="1"/>
      <c r="B972" s="4" t="s">
        <v>2857</v>
      </c>
      <c r="D972" s="9"/>
      <c r="E972" s="17" t="s">
        <v>14</v>
      </c>
      <c r="F972" s="28" t="str">
        <f>HYPERLINK("https://youtu.be/MeAKibGJADg?t=84",'Players&gt;List'!$B10)</f>
        <v>[CAM]</v>
      </c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25" t="s">
        <v>88</v>
      </c>
      <c r="E973" s="26" t="s">
        <v>90</v>
      </c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25" t="s">
        <v>149</v>
      </c>
      <c r="E974" s="26" t="s">
        <v>147</v>
      </c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4" t="s">
        <v>2862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"/>
    </row>
    <row r="976">
      <c r="A976" s="1"/>
      <c r="B976" s="4" t="s">
        <v>2865</v>
      </c>
      <c r="D976" s="9"/>
      <c r="E976" s="17" t="s">
        <v>14</v>
      </c>
      <c r="F976" s="28" t="str">
        <f>HYPERLINK("https://youtu.be/MeAKibGJADg?t=130",'Players&gt;List'!$B10)</f>
        <v>[CAM]</v>
      </c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25" t="s">
        <v>117</v>
      </c>
      <c r="E977" s="26" t="s">
        <v>110</v>
      </c>
      <c r="F977" s="28" t="str">
        <f>HYPERLINK("https://www.youtube.com/watch?v=T0aGEbDgmN8",'Players&gt;List'!$B28)</f>
        <v>[SUN]</v>
      </c>
      <c r="G977" s="28" t="str">
        <f>HYPERLINK("https://www.twitch.tv/videos/401035205",'Players&gt;List'!$B24)</f>
        <v>[NIM]</v>
      </c>
      <c r="H977" s="1"/>
      <c r="I977" s="1"/>
      <c r="J977" s="1"/>
      <c r="K977" s="1"/>
      <c r="L977" s="1"/>
      <c r="M977" s="1"/>
      <c r="N977" s="1"/>
    </row>
    <row r="978">
      <c r="A978" s="1"/>
      <c r="B978" s="25" t="s">
        <v>88</v>
      </c>
      <c r="E978" s="26" t="s">
        <v>147</v>
      </c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25" t="s">
        <v>149</v>
      </c>
      <c r="E979" s="26" t="s">
        <v>147</v>
      </c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4" t="s">
        <v>2870</v>
      </c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"/>
    </row>
    <row r="981">
      <c r="A981" s="1"/>
      <c r="B981" s="4" t="s">
        <v>2872</v>
      </c>
      <c r="D981" s="9"/>
      <c r="E981" s="17" t="s">
        <v>14</v>
      </c>
      <c r="F981" s="28" t="str">
        <f>HYPERLINK("https://youtu.be/MeAKibGJADg?t=244",'Players&gt;List'!$B10)</f>
        <v>[CAM]</v>
      </c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25" t="s">
        <v>88</v>
      </c>
      <c r="E982" s="26" t="s">
        <v>90</v>
      </c>
      <c r="F982" s="28" t="str">
        <f>HYPERLINK("https://www.twitch.tv/videos/401038062",'Players&gt;List'!$B24)</f>
        <v>[NIM]</v>
      </c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4" t="s">
        <v>2878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"/>
    </row>
    <row r="984">
      <c r="A984" s="1"/>
      <c r="B984" s="4" t="s">
        <v>2880</v>
      </c>
      <c r="D984" s="9"/>
      <c r="E984" s="17" t="s">
        <v>14</v>
      </c>
      <c r="F984" s="28" t="str">
        <f>HYPERLINK("https://youtu.be/MeAKibGJADg?t=326",'Players&gt;List'!$B10)</f>
        <v>[CAM]</v>
      </c>
      <c r="G984" s="28" t="str">
        <f>HYPERLINK("https://www.youtube.com/watch?v=kRmA-XUFqJs",'Players&gt;List'!$B29)</f>
        <v>[SYS]</v>
      </c>
      <c r="H984" s="1"/>
      <c r="I984" s="1"/>
      <c r="J984" s="1"/>
      <c r="K984" s="1"/>
      <c r="L984" s="1"/>
      <c r="M984" s="1"/>
      <c r="N984" s="1"/>
    </row>
    <row r="985">
      <c r="A985" s="1"/>
      <c r="B985" s="25" t="s">
        <v>387</v>
      </c>
      <c r="E985" s="26" t="s">
        <v>110</v>
      </c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4" t="s">
        <v>2885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"/>
    </row>
    <row r="987">
      <c r="A987" s="1"/>
      <c r="B987" s="4" t="s">
        <v>2886</v>
      </c>
      <c r="D987" s="9"/>
      <c r="E987" s="17" t="s">
        <v>14</v>
      </c>
      <c r="F987" s="28" t="str">
        <f>HYPERLINK("https://youtu.be/MeAKibGJADg?t=351",'Players&gt;List'!$B10)</f>
        <v>[CAM]</v>
      </c>
      <c r="G987" s="28" t="str">
        <f>HYPERLINK("https://youtu.be/kRmA-XUFqJs?t=22s",'Players&gt;List'!$B29)</f>
        <v>[SYS]</v>
      </c>
      <c r="H987" s="1"/>
      <c r="I987" s="1"/>
      <c r="J987" s="1"/>
      <c r="K987" s="1"/>
      <c r="L987" s="1"/>
      <c r="M987" s="1"/>
      <c r="N987" s="1"/>
    </row>
    <row r="988">
      <c r="A988" s="1"/>
      <c r="B988" s="25" t="s">
        <v>108</v>
      </c>
      <c r="E988" s="26" t="s">
        <v>110</v>
      </c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25" t="s">
        <v>117</v>
      </c>
      <c r="E989" s="26" t="s">
        <v>132</v>
      </c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4" t="s">
        <v>2892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"/>
    </row>
    <row r="991">
      <c r="A991" s="1"/>
      <c r="B991" s="4" t="s">
        <v>2894</v>
      </c>
      <c r="D991" s="9"/>
      <c r="E991" s="17" t="s">
        <v>14</v>
      </c>
      <c r="F991" s="28" t="str">
        <f>HYPERLINK("https://youtu.be/MeAKibGJADg?t=388",'Players&gt;List'!$B10)</f>
        <v>[CAM]</v>
      </c>
      <c r="G991" s="28" t="str">
        <f>HYPERLINK("https://youtu.be/kRmA-XUFqJs?t=47s",'Players&gt;List'!$B29)</f>
        <v>[SYS]</v>
      </c>
      <c r="H991" s="1"/>
      <c r="I991" s="1"/>
      <c r="J991" s="1"/>
      <c r="K991" s="1"/>
      <c r="L991" s="1"/>
      <c r="M991" s="1"/>
      <c r="N991" s="1"/>
    </row>
    <row r="992">
      <c r="A992" s="1"/>
      <c r="B992" s="25" t="s">
        <v>117</v>
      </c>
      <c r="E992" s="26" t="s">
        <v>110</v>
      </c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4" t="s">
        <v>2897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"/>
    </row>
    <row r="994">
      <c r="A994" s="1"/>
      <c r="B994" s="4" t="s">
        <v>2900</v>
      </c>
      <c r="D994" s="9"/>
      <c r="E994" s="17" t="s">
        <v>14</v>
      </c>
      <c r="F994" s="28" t="str">
        <f>HYPERLINK("https://youtu.be/MeAKibGJADg?t=425",'Players&gt;List'!$B10)</f>
        <v>[CAM]</v>
      </c>
      <c r="G994" s="28" t="str">
        <f>HYPERLINK("https://youtu.be/kRmA-XUFqJs?t=1m28s",'Players&gt;List'!$B29)</f>
        <v>[SYS]</v>
      </c>
      <c r="H994" s="1"/>
      <c r="I994" s="1"/>
      <c r="J994" s="1"/>
      <c r="K994" s="1"/>
      <c r="L994" s="1"/>
      <c r="M994" s="1"/>
      <c r="N994" s="1"/>
    </row>
    <row r="995">
      <c r="A995" s="1"/>
      <c r="B995" s="25" t="s">
        <v>157</v>
      </c>
      <c r="E995" s="26" t="s">
        <v>110</v>
      </c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4" t="s">
        <v>2904</v>
      </c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"/>
    </row>
    <row r="997">
      <c r="A997" s="1"/>
      <c r="B997" s="4" t="s">
        <v>2905</v>
      </c>
      <c r="D997" s="9"/>
      <c r="E997" s="17" t="s">
        <v>14</v>
      </c>
      <c r="F997" s="28" t="str">
        <f>HYPERLINK("https://youtu.be/MeAKibGJADg?t=458",'Players&gt;List'!$B10)</f>
        <v>[CAM]</v>
      </c>
      <c r="G997" s="28" t="str">
        <f>HYPERLINK("https://youtu.be/kRmA-XUFqJs?t=1m50s",'Players&gt;List'!$B29)</f>
        <v>[SYS]</v>
      </c>
      <c r="H997" s="1"/>
      <c r="I997" s="1"/>
      <c r="J997" s="1"/>
      <c r="K997" s="1"/>
      <c r="L997" s="1"/>
      <c r="M997" s="1"/>
      <c r="N997" s="1"/>
    </row>
    <row r="998">
      <c r="A998" s="1"/>
      <c r="B998" s="25" t="s">
        <v>457</v>
      </c>
      <c r="E998" s="26" t="s">
        <v>110</v>
      </c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4" t="s">
        <v>2910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"/>
    </row>
    <row r="1000">
      <c r="A1000" s="1"/>
      <c r="B1000" s="4" t="s">
        <v>2912</v>
      </c>
      <c r="D1000" s="9"/>
      <c r="E1000" s="17" t="s">
        <v>14</v>
      </c>
      <c r="F1000" s="28" t="str">
        <f>HYPERLINK("https://youtu.be/MeAKibGJADg?t=510",'Players&gt;List'!$B10)</f>
        <v>[CAM]</v>
      </c>
      <c r="G1000" s="1"/>
      <c r="H1000" s="1"/>
      <c r="I1000" s="1"/>
      <c r="J1000" s="1"/>
      <c r="K1000" s="1"/>
      <c r="L1000" s="1"/>
      <c r="M1000" s="1"/>
      <c r="N1000" s="1"/>
    </row>
    <row r="1001">
      <c r="A1001" s="1"/>
      <c r="B1001" s="25" t="s">
        <v>88</v>
      </c>
      <c r="E1001" s="26" t="s">
        <v>90</v>
      </c>
      <c r="F1001" s="28" t="str">
        <f>HYPERLINK("https://www.youtube.com/watch?v=BNlsqFHjxg8&amp;index=212&amp;t=0s&amp;list=PLbU6uWaIKemqNvTeRxK-Ay6PRg9iwCKVi",'Players&gt;List'!$B19)</f>
        <v>[HIT]</v>
      </c>
      <c r="G1001" s="1"/>
      <c r="H1001" s="1"/>
      <c r="I1001" s="1"/>
      <c r="J1001" s="1"/>
      <c r="K1001" s="1"/>
      <c r="L1001" s="1"/>
      <c r="M1001" s="1"/>
      <c r="N1001" s="1"/>
    </row>
    <row r="1002">
      <c r="A1002" s="1"/>
      <c r="B1002" s="14" t="s">
        <v>2916</v>
      </c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"/>
    </row>
    <row r="1003">
      <c r="A1003" s="1"/>
      <c r="B1003" s="4" t="s">
        <v>2918</v>
      </c>
      <c r="D1003" s="9"/>
      <c r="E1003" s="17" t="s">
        <v>14</v>
      </c>
      <c r="F1003" s="28" t="str">
        <f>HYPERLINK("https://youtu.be/MeAKibGJADg?t=580",'Players&gt;List'!$B10)</f>
        <v>[CAM]</v>
      </c>
      <c r="G1003" s="1"/>
      <c r="H1003" s="1"/>
      <c r="I1003" s="1"/>
      <c r="J1003" s="1"/>
      <c r="K1003" s="1"/>
      <c r="L1003" s="1"/>
      <c r="M1003" s="1"/>
      <c r="N1003" s="1"/>
    </row>
    <row r="1004">
      <c r="A1004" s="1"/>
      <c r="B1004" s="25" t="s">
        <v>117</v>
      </c>
      <c r="E1004" s="26" t="s">
        <v>110</v>
      </c>
      <c r="F1004" s="1"/>
      <c r="G1004" s="1"/>
      <c r="H1004" s="1"/>
      <c r="I1004" s="1"/>
      <c r="J1004" s="1"/>
      <c r="K1004" s="1"/>
      <c r="L1004" s="1"/>
      <c r="M1004" s="1"/>
      <c r="N1004" s="1"/>
    </row>
    <row r="1005">
      <c r="A1005" s="1"/>
      <c r="B1005" s="14" t="s">
        <v>2921</v>
      </c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"/>
    </row>
    <row r="1006">
      <c r="A1006" s="1"/>
      <c r="B1006" s="4" t="s">
        <v>2923</v>
      </c>
      <c r="D1006" s="9"/>
      <c r="E1006" s="17" t="s">
        <v>14</v>
      </c>
      <c r="F1006" s="28" t="str">
        <f>HYPERLINK("https://youtu.be/MeAKibGJADg?t=665",'Players&gt;List'!$B10)</f>
        <v>[CAM]</v>
      </c>
      <c r="G1006" s="1"/>
      <c r="H1006" s="1"/>
      <c r="I1006" s="1"/>
      <c r="J1006" s="1"/>
      <c r="K1006" s="1"/>
      <c r="L1006" s="1"/>
      <c r="M1006" s="1"/>
      <c r="N1006" s="1"/>
    </row>
    <row r="1007">
      <c r="A1007" s="1"/>
      <c r="B1007" s="25" t="s">
        <v>1147</v>
      </c>
      <c r="E1007" s="26" t="s">
        <v>110</v>
      </c>
      <c r="F1007" s="1"/>
      <c r="G1007" s="1"/>
      <c r="H1007" s="1"/>
      <c r="I1007" s="1"/>
      <c r="J1007" s="1"/>
      <c r="K1007" s="1"/>
      <c r="L1007" s="1"/>
      <c r="M1007" s="1"/>
      <c r="N1007" s="1"/>
    </row>
    <row r="1008">
      <c r="A1008" s="1"/>
      <c r="B1008" s="14" t="s">
        <v>2926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"/>
    </row>
    <row r="1009">
      <c r="A1009" s="1"/>
      <c r="B1009" s="4" t="s">
        <v>2928</v>
      </c>
      <c r="D1009" s="9"/>
      <c r="E1009" s="17" t="s">
        <v>14</v>
      </c>
      <c r="F1009" s="28" t="str">
        <f>HYPERLINK("https://youtu.be/MeAKibGJADg?t=781",'Players&gt;List'!$B10)</f>
        <v>[CAM]</v>
      </c>
      <c r="G1009" s="1"/>
      <c r="H1009" s="1"/>
      <c r="I1009" s="1"/>
      <c r="J1009" s="1"/>
      <c r="K1009" s="1"/>
      <c r="L1009" s="1"/>
      <c r="M1009" s="1"/>
      <c r="N1009" s="1"/>
    </row>
    <row r="1010">
      <c r="A1010" s="1"/>
      <c r="B1010" s="25" t="s">
        <v>88</v>
      </c>
      <c r="E1010" s="26" t="s">
        <v>90</v>
      </c>
      <c r="F1010" s="1"/>
      <c r="G1010" s="1"/>
      <c r="H1010" s="1"/>
      <c r="I1010" s="1"/>
      <c r="J1010" s="1"/>
      <c r="K1010" s="1"/>
      <c r="L1010" s="1"/>
      <c r="M1010" s="1"/>
      <c r="N1010" s="1"/>
    </row>
    <row r="1011">
      <c r="A1011" s="1"/>
      <c r="B1011" s="14" t="s">
        <v>2929</v>
      </c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"/>
    </row>
    <row r="1012">
      <c r="A1012" s="1"/>
      <c r="B1012" s="4" t="s">
        <v>2930</v>
      </c>
      <c r="D1012" s="9"/>
      <c r="E1012" s="17" t="s">
        <v>14</v>
      </c>
      <c r="F1012" s="28" t="str">
        <f>HYPERLINK("https://youtu.be/MeAKibGJADg?t=916",'Players&gt;List'!$B10)</f>
        <v>[CAM]</v>
      </c>
      <c r="G1012" s="1"/>
      <c r="H1012" s="1"/>
      <c r="I1012" s="1"/>
      <c r="J1012" s="1"/>
      <c r="K1012" s="1"/>
      <c r="L1012" s="1"/>
      <c r="M1012" s="1"/>
      <c r="N1012" s="1"/>
    </row>
    <row r="1013">
      <c r="A1013" s="1"/>
      <c r="B1013" s="25" t="s">
        <v>117</v>
      </c>
      <c r="E1013" s="26" t="s">
        <v>110</v>
      </c>
      <c r="F1013" s="28" t="str">
        <f>HYPERLINK("https://www.twitch.tv/videos/402647644",'Players&gt;List'!$B24)</f>
        <v>[NIM]</v>
      </c>
      <c r="G1013" s="1"/>
      <c r="H1013" s="1"/>
      <c r="I1013" s="1"/>
      <c r="J1013" s="1"/>
      <c r="K1013" s="1"/>
      <c r="L1013" s="1"/>
      <c r="M1013" s="1"/>
      <c r="N1013" s="1"/>
    </row>
    <row r="1014">
      <c r="A1014" s="1"/>
      <c r="B1014" s="14" t="s">
        <v>2932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"/>
    </row>
    <row r="1015">
      <c r="A1015" s="1"/>
      <c r="B1015" s="4" t="s">
        <v>2934</v>
      </c>
      <c r="D1015" s="9"/>
      <c r="E1015" s="17" t="s">
        <v>14</v>
      </c>
      <c r="F1015" s="28" t="str">
        <f>HYPERLINK("https://youtu.be/TF_tu7pgYMw?t=11",'Players&gt;List'!$B10)</f>
        <v>[CAM]</v>
      </c>
      <c r="G1015" s="1"/>
      <c r="H1015" s="1"/>
      <c r="I1015" s="1"/>
      <c r="J1015" s="1"/>
      <c r="K1015" s="1"/>
      <c r="L1015" s="1"/>
      <c r="M1015" s="1"/>
      <c r="N1015" s="1"/>
    </row>
    <row r="1016">
      <c r="A1016" s="1"/>
      <c r="B1016" s="25" t="s">
        <v>149</v>
      </c>
      <c r="E1016" s="26" t="s">
        <v>90</v>
      </c>
      <c r="F1016" s="1"/>
      <c r="G1016" s="1"/>
      <c r="H1016" s="1"/>
      <c r="I1016" s="1"/>
      <c r="J1016" s="1"/>
      <c r="K1016" s="1"/>
      <c r="L1016" s="1"/>
      <c r="M1016" s="1"/>
      <c r="N1016" s="1"/>
    </row>
    <row r="1017">
      <c r="A1017" s="1"/>
      <c r="B1017" s="14" t="s">
        <v>2936</v>
      </c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"/>
    </row>
    <row r="1018">
      <c r="A1018" s="1"/>
      <c r="B1018" s="4" t="s">
        <v>2938</v>
      </c>
      <c r="D1018" s="9"/>
      <c r="E1018" s="17" t="s">
        <v>14</v>
      </c>
      <c r="F1018" s="28" t="str">
        <f>HYPERLINK("https://youtu.be/TF_tu7pgYMw?t=112",'Players&gt;List'!$B10)</f>
        <v>[CAM]</v>
      </c>
      <c r="G1018" s="1"/>
      <c r="H1018" s="1"/>
      <c r="I1018" s="1"/>
      <c r="J1018" s="1"/>
      <c r="K1018" s="1"/>
      <c r="L1018" s="1"/>
      <c r="M1018" s="1"/>
      <c r="N1018" s="1"/>
    </row>
    <row r="1019">
      <c r="A1019" s="1"/>
      <c r="B1019" s="25" t="s">
        <v>108</v>
      </c>
      <c r="E1019" s="26" t="s">
        <v>110</v>
      </c>
      <c r="F1019" s="1"/>
      <c r="G1019" s="1"/>
      <c r="H1019" s="1"/>
      <c r="I1019" s="1"/>
      <c r="J1019" s="1"/>
      <c r="K1019" s="1"/>
      <c r="L1019" s="1"/>
      <c r="M1019" s="1"/>
      <c r="N1019" s="1"/>
    </row>
    <row r="1020">
      <c r="A1020" s="1"/>
      <c r="B1020" s="25" t="s">
        <v>131</v>
      </c>
      <c r="E1020" s="26" t="s">
        <v>132</v>
      </c>
      <c r="F1020" s="28" t="str">
        <f>HYPERLINK("https://www.youtube.com/watch?v=GQJly6_hUqo",'Players&gt;List'!$B8)</f>
        <v>[ABA]</v>
      </c>
      <c r="G1020" s="1"/>
      <c r="H1020" s="1"/>
      <c r="I1020" s="1"/>
      <c r="J1020" s="1"/>
      <c r="K1020" s="1"/>
      <c r="L1020" s="1"/>
      <c r="M1020" s="1"/>
      <c r="N1020" s="1"/>
    </row>
    <row r="1021">
      <c r="A1021" s="1"/>
      <c r="B1021" s="14" t="s">
        <v>2943</v>
      </c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"/>
    </row>
    <row r="1022">
      <c r="A1022" s="1"/>
      <c r="B1022" s="4" t="s">
        <v>2944</v>
      </c>
      <c r="D1022" s="9"/>
      <c r="E1022" s="17" t="s">
        <v>14</v>
      </c>
      <c r="F1022" s="28" t="str">
        <f>HYPERLINK("https://youtu.be/TF_tu7pgYMw?t=145",'Players&gt;List'!$B10)</f>
        <v>[CAM]</v>
      </c>
      <c r="G1022" s="1"/>
      <c r="H1022" s="1"/>
      <c r="I1022" s="1"/>
      <c r="J1022" s="1"/>
      <c r="K1022" s="1"/>
      <c r="L1022" s="1"/>
      <c r="M1022" s="1"/>
      <c r="N1022" s="1"/>
    </row>
    <row r="1023">
      <c r="A1023" s="1"/>
      <c r="B1023" s="25" t="s">
        <v>117</v>
      </c>
      <c r="E1023" s="26" t="s">
        <v>110</v>
      </c>
      <c r="F1023" s="1"/>
      <c r="G1023" s="1"/>
      <c r="H1023" s="1"/>
      <c r="I1023" s="1"/>
      <c r="J1023" s="1"/>
      <c r="K1023" s="1"/>
      <c r="L1023" s="1"/>
      <c r="M1023" s="1"/>
      <c r="N1023" s="1"/>
    </row>
    <row r="1024">
      <c r="A1024" s="1"/>
      <c r="B1024" s="14" t="s">
        <v>2946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"/>
    </row>
    <row r="1025">
      <c r="A1025" s="1"/>
      <c r="B1025" s="4" t="s">
        <v>2948</v>
      </c>
      <c r="D1025" s="9"/>
      <c r="E1025" s="17" t="s">
        <v>14</v>
      </c>
      <c r="F1025" s="28" t="str">
        <f>HYPERLINK("https://youtu.be/eEVGR9BINjk?t=44",'Players&gt;List'!$B10)</f>
        <v>[CAM]</v>
      </c>
      <c r="G1025" s="1"/>
      <c r="H1025" s="1"/>
      <c r="I1025" s="1"/>
      <c r="J1025" s="1"/>
      <c r="K1025" s="1"/>
      <c r="L1025" s="1"/>
      <c r="M1025" s="1"/>
      <c r="N1025" s="1"/>
    </row>
    <row r="1026">
      <c r="A1026" s="1"/>
      <c r="B1026" s="25" t="s">
        <v>387</v>
      </c>
      <c r="E1026" s="26" t="s">
        <v>110</v>
      </c>
      <c r="F1026" s="1"/>
      <c r="G1026" s="1"/>
      <c r="H1026" s="1"/>
      <c r="I1026" s="1"/>
      <c r="J1026" s="1"/>
      <c r="K1026" s="1"/>
      <c r="L1026" s="1"/>
      <c r="M1026" s="1"/>
      <c r="N1026" s="1"/>
    </row>
    <row r="1027">
      <c r="A1027" s="1"/>
      <c r="B1027" s="14" t="s">
        <v>2951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"/>
    </row>
    <row r="1028">
      <c r="A1028" s="1"/>
      <c r="B1028" s="4" t="s">
        <v>2953</v>
      </c>
      <c r="D1028" s="9"/>
      <c r="E1028" s="17" t="s">
        <v>14</v>
      </c>
      <c r="F1028" s="28" t="str">
        <f>HYPERLINK("https://youtu.be/TF_tu7pgYMw?t=298",'Players&gt;List'!$B10)</f>
        <v>[CAM]</v>
      </c>
      <c r="G1028" s="1"/>
      <c r="H1028" s="1"/>
      <c r="I1028" s="1"/>
      <c r="J1028" s="1"/>
      <c r="K1028" s="1"/>
      <c r="L1028" s="1"/>
      <c r="M1028" s="1"/>
      <c r="N1028" s="1"/>
    </row>
    <row r="1029">
      <c r="A1029" s="1"/>
      <c r="B1029" s="25" t="s">
        <v>88</v>
      </c>
      <c r="E1029" s="26" t="s">
        <v>90</v>
      </c>
      <c r="F1029" s="1"/>
      <c r="G1029" s="1"/>
      <c r="H1029" s="1"/>
      <c r="I1029" s="1"/>
      <c r="J1029" s="1"/>
      <c r="K1029" s="1"/>
      <c r="L1029" s="1"/>
      <c r="M1029" s="1"/>
      <c r="N1029" s="1"/>
    </row>
    <row r="1030">
      <c r="A1030" s="1"/>
      <c r="B1030" s="14" t="s">
        <v>2958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"/>
    </row>
    <row r="1031">
      <c r="A1031" s="1"/>
      <c r="B1031" s="4" t="s">
        <v>2960</v>
      </c>
      <c r="D1031" s="9"/>
      <c r="E1031" s="17" t="s">
        <v>14</v>
      </c>
      <c r="F1031" s="28" t="str">
        <f>HYPERLINK("https://youtu.be/TF_tu7pgYMw?t=405",'Players&gt;List'!$B10)</f>
        <v>[CAM]</v>
      </c>
      <c r="G1031" s="1"/>
      <c r="H1031" s="1"/>
      <c r="I1031" s="1"/>
      <c r="J1031" s="1"/>
      <c r="K1031" s="1"/>
      <c r="L1031" s="1"/>
      <c r="M1031" s="1"/>
      <c r="N1031" s="1"/>
    </row>
    <row r="1032">
      <c r="A1032" s="1"/>
      <c r="B1032" s="25" t="s">
        <v>117</v>
      </c>
      <c r="E1032" s="26" t="s">
        <v>110</v>
      </c>
      <c r="F1032" s="1"/>
      <c r="G1032" s="1"/>
      <c r="H1032" s="1"/>
      <c r="I1032" s="1"/>
      <c r="J1032" s="1"/>
      <c r="K1032" s="1"/>
      <c r="L1032" s="1"/>
      <c r="M1032" s="1"/>
      <c r="N1032" s="1"/>
    </row>
    <row r="1033">
      <c r="A1033" s="1"/>
      <c r="B1033" s="25" t="s">
        <v>108</v>
      </c>
      <c r="E1033" s="26" t="s">
        <v>132</v>
      </c>
      <c r="F1033" s="1"/>
      <c r="G1033" s="1"/>
      <c r="H1033" s="1"/>
      <c r="I1033" s="1"/>
      <c r="J1033" s="1"/>
      <c r="K1033" s="1"/>
      <c r="L1033" s="1"/>
      <c r="M1033" s="1"/>
      <c r="N1033" s="1"/>
    </row>
    <row r="1034">
      <c r="A1034" s="1"/>
      <c r="B1034" s="14" t="s">
        <v>2961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"/>
    </row>
    <row r="1035">
      <c r="A1035" s="1"/>
      <c r="B1035" s="4" t="s">
        <v>2963</v>
      </c>
      <c r="D1035" s="9"/>
      <c r="E1035" s="17" t="s">
        <v>14</v>
      </c>
      <c r="F1035" s="28" t="str">
        <f>HYPERLINK("https://youtu.be/TF_tu7pgYMw?t=512",'Players&gt;List'!$B10)</f>
        <v>[CAM]</v>
      </c>
      <c r="G1035" s="1"/>
      <c r="H1035" s="1"/>
      <c r="I1035" s="1"/>
      <c r="J1035" s="1"/>
      <c r="K1035" s="1"/>
      <c r="L1035" s="1"/>
      <c r="M1035" s="1"/>
      <c r="N1035" s="1"/>
    </row>
    <row r="1036">
      <c r="A1036" s="1"/>
      <c r="B1036" s="25" t="s">
        <v>488</v>
      </c>
      <c r="E1036" s="26" t="s">
        <v>234</v>
      </c>
      <c r="F1036" s="1"/>
      <c r="G1036" s="1"/>
      <c r="H1036" s="1"/>
      <c r="I1036" s="1"/>
      <c r="J1036" s="1"/>
      <c r="K1036" s="1"/>
      <c r="L1036" s="1"/>
      <c r="M1036" s="1"/>
      <c r="N1036" s="1"/>
    </row>
    <row r="1037">
      <c r="A1037" s="1"/>
      <c r="B1037" s="25" t="s">
        <v>649</v>
      </c>
      <c r="E1037" s="26" t="s">
        <v>147</v>
      </c>
      <c r="F1037" s="1"/>
      <c r="G1037" s="1"/>
      <c r="H1037" s="1"/>
      <c r="I1037" s="1"/>
      <c r="J1037" s="1"/>
      <c r="K1037" s="1"/>
      <c r="L1037" s="1"/>
      <c r="M1037" s="1"/>
      <c r="N1037" s="1"/>
    </row>
    <row r="1038">
      <c r="A1038" s="1"/>
      <c r="B1038" s="25" t="s">
        <v>117</v>
      </c>
      <c r="E1038" s="26" t="s">
        <v>132</v>
      </c>
      <c r="F1038" s="1"/>
      <c r="G1038" s="1"/>
      <c r="H1038" s="1"/>
      <c r="I1038" s="1"/>
      <c r="J1038" s="1"/>
      <c r="K1038" s="1"/>
      <c r="L1038" s="1"/>
      <c r="M1038" s="1"/>
      <c r="N1038" s="1"/>
    </row>
    <row r="1039">
      <c r="A1039" s="1"/>
      <c r="B1039" s="14" t="s">
        <v>2968</v>
      </c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"/>
    </row>
    <row r="1040">
      <c r="A1040" s="1"/>
      <c r="B1040" s="4" t="s">
        <v>2970</v>
      </c>
      <c r="D1040" s="9"/>
      <c r="E1040" s="17" t="s">
        <v>14</v>
      </c>
      <c r="F1040" s="28" t="str">
        <f>HYPERLINK("https://youtu.be/TF_tu7pgYMw?t=864",'Players&gt;List'!$B10)</f>
        <v>[CAM]</v>
      </c>
      <c r="G1040" s="1"/>
      <c r="H1040" s="1"/>
      <c r="I1040" s="1"/>
      <c r="J1040" s="1"/>
      <c r="K1040" s="1"/>
      <c r="L1040" s="1"/>
      <c r="M1040" s="1"/>
      <c r="N1040" s="1"/>
    </row>
    <row r="1041">
      <c r="A1041" s="1"/>
      <c r="B1041" s="25" t="s">
        <v>117</v>
      </c>
      <c r="E1041" s="26" t="s">
        <v>110</v>
      </c>
      <c r="F1041" s="1"/>
      <c r="G1041" s="1"/>
      <c r="H1041" s="1"/>
      <c r="I1041" s="1"/>
      <c r="J1041" s="1"/>
      <c r="K1041" s="1"/>
      <c r="L1041" s="1"/>
      <c r="M1041" s="1"/>
      <c r="N1041" s="1"/>
    </row>
    <row r="1042">
      <c r="A1042" s="1"/>
      <c r="B1042" s="14" t="s">
        <v>2974</v>
      </c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"/>
    </row>
    <row r="1043">
      <c r="A1043" s="1"/>
      <c r="B1043" s="4" t="s">
        <v>2975</v>
      </c>
      <c r="D1043" s="9"/>
      <c r="E1043" s="17" t="s">
        <v>14</v>
      </c>
      <c r="F1043" s="28" t="str">
        <f>HYPERLINK("https://youtu.be/TF_tu7pgYMw?t=922",'Players&gt;List'!$B10)</f>
        <v>[CAM]</v>
      </c>
      <c r="G1043" s="1"/>
      <c r="H1043" s="1"/>
      <c r="I1043" s="1"/>
      <c r="J1043" s="1"/>
      <c r="K1043" s="1"/>
      <c r="L1043" s="1"/>
      <c r="M1043" s="1"/>
      <c r="N1043" s="1"/>
    </row>
    <row r="1044">
      <c r="A1044" s="1"/>
      <c r="B1044" s="25" t="s">
        <v>649</v>
      </c>
      <c r="E1044" s="26" t="s">
        <v>90</v>
      </c>
      <c r="F1044" s="28" t="str">
        <f>HYPERLINK("https://www.youtube.com/watch?v=Bj5L7pHwCcg&amp;index=217&amp;t=0s&amp;list=PLbU6uWaIKemqNvTeRxK-Ay6PRg9iwCKVi",'Players&gt;List'!$B19)</f>
        <v>[HIT]</v>
      </c>
      <c r="G1044" s="28" t="str">
        <f>HYPERLINK("https://www.youtube.com/watch?v=4UtjWtACBpM",'Players&gt;List'!$B8)</f>
        <v>[ABA]</v>
      </c>
      <c r="H1044" s="1"/>
      <c r="I1044" s="1"/>
      <c r="J1044" s="1"/>
      <c r="K1044" s="1"/>
      <c r="L1044" s="1"/>
      <c r="M1044" s="1"/>
      <c r="N1044" s="1"/>
    </row>
    <row r="1045">
      <c r="A1045" s="1"/>
      <c r="B1045" s="14">
        <v>6955.0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"/>
    </row>
    <row r="1046">
      <c r="A1046" s="1"/>
      <c r="B1046" s="4" t="s">
        <v>2983</v>
      </c>
      <c r="D1046" s="9"/>
      <c r="E1046" s="17" t="s">
        <v>14</v>
      </c>
      <c r="F1046" s="28" t="str">
        <f>HYPERLINK("https://youtu.be/TF_tu7pgYMw?t=1193",'Players&gt;List'!$B10)</f>
        <v>[CAM]</v>
      </c>
      <c r="G1046" s="1"/>
      <c r="H1046" s="1"/>
      <c r="I1046" s="1"/>
      <c r="J1046" s="1"/>
      <c r="K1046" s="1"/>
      <c r="L1046" s="1"/>
      <c r="M1046" s="1"/>
      <c r="N1046" s="1"/>
    </row>
    <row r="1047">
      <c r="A1047" s="1"/>
      <c r="B1047" s="25" t="s">
        <v>131</v>
      </c>
      <c r="E1047" s="26" t="s">
        <v>110</v>
      </c>
      <c r="F1047" s="28" t="str">
        <f>HYPERLINK("https://www.youtube.com/watch?v=_GE5YCsz_E8&amp;index=269&amp;list=PLbU6uWaIKemqNvTeRxK-Ay6PRg9iwCKVi&amp;t=0s",'Players&gt;List'!$B19)</f>
        <v>[HIT]</v>
      </c>
      <c r="G1047" s="1"/>
      <c r="H1047" s="1"/>
      <c r="I1047" s="1"/>
      <c r="J1047" s="1"/>
      <c r="K1047" s="1"/>
      <c r="L1047" s="1"/>
      <c r="M1047" s="1"/>
      <c r="N1047" s="1"/>
    </row>
    <row r="1048">
      <c r="A1048" s="1"/>
      <c r="B1048" s="14" t="s">
        <v>2987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"/>
    </row>
    <row r="1049">
      <c r="A1049" s="1"/>
      <c r="B1049" s="4" t="s">
        <v>2992</v>
      </c>
      <c r="D1049" s="9"/>
      <c r="E1049" s="17" t="s">
        <v>14</v>
      </c>
      <c r="F1049" s="28" t="str">
        <f>HYPERLINK("https://youtu.be/eEVGR9BINjk?t=86",'Players&gt;List'!$B10)</f>
        <v>[CAM]</v>
      </c>
      <c r="G1049" s="1"/>
      <c r="H1049" s="1"/>
      <c r="I1049" s="1"/>
      <c r="J1049" s="1"/>
      <c r="K1049" s="1"/>
      <c r="L1049" s="1"/>
      <c r="M1049" s="1"/>
      <c r="N1049" s="1"/>
    </row>
    <row r="1050">
      <c r="A1050" s="1"/>
      <c r="B1050" s="25" t="s">
        <v>88</v>
      </c>
      <c r="E1050" s="26" t="s">
        <v>90</v>
      </c>
      <c r="F1050" s="28" t="str">
        <f>HYPERLINK("https://www.youtube.com/watch?v=LxpjCN5Ax9s",'Players&gt;List'!$B8)</f>
        <v>[ABA]</v>
      </c>
      <c r="G1050" s="1"/>
      <c r="H1050" s="1"/>
      <c r="I1050" s="1"/>
      <c r="J1050" s="1"/>
      <c r="K1050" s="1"/>
      <c r="L1050" s="1"/>
      <c r="M1050" s="1"/>
      <c r="N1050" s="1"/>
    </row>
    <row r="1051">
      <c r="A1051" s="1"/>
      <c r="B1051" s="14" t="s">
        <v>2998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"/>
    </row>
    <row r="1052">
      <c r="A1052" s="1"/>
      <c r="B1052" s="4" t="s">
        <v>3001</v>
      </c>
      <c r="D1052" s="9"/>
      <c r="E1052" s="17" t="s">
        <v>14</v>
      </c>
      <c r="F1052" s="28" t="str">
        <f>HYPERLINK("https://youtu.be/eEVGR9BINjk?t=106",'Players&gt;List'!$B10)</f>
        <v>[CAM]</v>
      </c>
      <c r="G1052" s="1"/>
      <c r="H1052" s="1"/>
      <c r="I1052" s="1"/>
      <c r="J1052" s="1"/>
      <c r="K1052" s="1"/>
      <c r="L1052" s="1"/>
      <c r="M1052" s="1"/>
      <c r="N1052" s="1"/>
    </row>
    <row r="1053">
      <c r="A1053" s="1"/>
      <c r="B1053" s="25" t="s">
        <v>88</v>
      </c>
      <c r="E1053" s="26" t="s">
        <v>90</v>
      </c>
      <c r="F1053" s="1"/>
      <c r="G1053" s="1"/>
      <c r="H1053" s="1"/>
      <c r="I1053" s="1"/>
      <c r="J1053" s="1"/>
      <c r="K1053" s="1"/>
      <c r="L1053" s="1"/>
      <c r="M1053" s="1"/>
      <c r="N1053" s="1"/>
    </row>
    <row r="1054">
      <c r="A1054" s="1"/>
      <c r="B1054" s="14" t="s">
        <v>3006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"/>
    </row>
    <row r="1055">
      <c r="A1055" s="1"/>
      <c r="B1055" s="4" t="s">
        <v>3009</v>
      </c>
      <c r="D1055" s="9"/>
      <c r="E1055" s="17" t="s">
        <v>14</v>
      </c>
      <c r="F1055" s="28" t="str">
        <f>HYPERLINK("https://youtu.be/eEVGR9BINjk?t=132",'Players&gt;List'!$B10)</f>
        <v>[CAM]</v>
      </c>
      <c r="G1055" s="1"/>
      <c r="H1055" s="1"/>
      <c r="I1055" s="1"/>
      <c r="J1055" s="1"/>
      <c r="K1055" s="1"/>
      <c r="L1055" s="1"/>
      <c r="M1055" s="1"/>
      <c r="N1055" s="1"/>
    </row>
    <row r="1056">
      <c r="A1056" s="1"/>
      <c r="B1056" s="25" t="s">
        <v>88</v>
      </c>
      <c r="E1056" s="26" t="s">
        <v>90</v>
      </c>
      <c r="F1056" s="1"/>
      <c r="G1056" s="1"/>
      <c r="H1056" s="1"/>
      <c r="I1056" s="1"/>
      <c r="J1056" s="1"/>
      <c r="K1056" s="1"/>
      <c r="L1056" s="1"/>
      <c r="M1056" s="1"/>
      <c r="N1056" s="1"/>
    </row>
    <row r="1057">
      <c r="A1057" s="1"/>
      <c r="B1057" s="14" t="s">
        <v>3012</v>
      </c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"/>
    </row>
    <row r="1058">
      <c r="A1058" s="1"/>
      <c r="B1058" s="4" t="s">
        <v>3014</v>
      </c>
      <c r="D1058" s="9"/>
      <c r="E1058" s="17" t="s">
        <v>14</v>
      </c>
      <c r="F1058" s="28" t="str">
        <f>HYPERLINK("https://youtu.be/eEVGR9BINjk?t=174",'Players&gt;List'!$B10)</f>
        <v>[CAM]</v>
      </c>
      <c r="G1058" s="1"/>
      <c r="H1058" s="1"/>
      <c r="I1058" s="1"/>
      <c r="J1058" s="1"/>
      <c r="K1058" s="1"/>
      <c r="L1058" s="1"/>
      <c r="M1058" s="1"/>
      <c r="N1058" s="1"/>
    </row>
    <row r="1059">
      <c r="A1059" s="1"/>
      <c r="B1059" s="25" t="s">
        <v>108</v>
      </c>
      <c r="E1059" s="26" t="s">
        <v>110</v>
      </c>
      <c r="F1059" s="1"/>
      <c r="G1059" s="1"/>
      <c r="H1059" s="1"/>
      <c r="I1059" s="1"/>
      <c r="J1059" s="1"/>
      <c r="K1059" s="1"/>
      <c r="L1059" s="1"/>
      <c r="M1059" s="1"/>
      <c r="N1059" s="1"/>
    </row>
    <row r="1060">
      <c r="A1060" s="1"/>
      <c r="B1060" s="14" t="s">
        <v>3021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"/>
    </row>
    <row r="1061">
      <c r="A1061" s="1"/>
      <c r="B1061" s="4" t="s">
        <v>3022</v>
      </c>
      <c r="D1061" s="9"/>
      <c r="E1061" s="17" t="s">
        <v>14</v>
      </c>
      <c r="F1061" s="28" t="str">
        <f>HYPERLINK("https://youtu.be/eEVGR9BINjk?t=345",'Players&gt;List'!$B10)</f>
        <v>[CAM]</v>
      </c>
      <c r="G1061" s="1"/>
      <c r="H1061" s="1"/>
      <c r="I1061" s="1"/>
      <c r="J1061" s="1"/>
      <c r="K1061" s="1"/>
      <c r="L1061" s="1"/>
      <c r="M1061" s="1"/>
      <c r="N1061" s="1"/>
    </row>
    <row r="1062">
      <c r="A1062" s="1"/>
      <c r="B1062" s="25" t="s">
        <v>88</v>
      </c>
      <c r="E1062" s="26" t="s">
        <v>90</v>
      </c>
      <c r="F1062" s="28" t="str">
        <f>HYPERLINK("https://www.youtube.com/watch?v=saqHNsMkXJQ",'Players&gt;List'!$B15)</f>
        <v>[FNY]</v>
      </c>
      <c r="G1062" s="28" t="str">
        <f>HYPERLINK("https://www.youtube.com/watch?v=H2vsrmV7UlM",'Players&gt;List'!$B8)</f>
        <v>[ABA]</v>
      </c>
      <c r="H1062" s="28" t="str">
        <f>HYPERLINK("https://www.twitch.tv/videos/401121200",'Players&gt;List'!$B24)</f>
        <v>[NIM]</v>
      </c>
      <c r="I1062" s="1"/>
      <c r="J1062" s="1"/>
      <c r="K1062" s="1"/>
      <c r="L1062" s="1"/>
      <c r="M1062" s="1"/>
      <c r="N1062" s="1"/>
    </row>
    <row r="1063">
      <c r="A1063" s="1"/>
      <c r="B1063" s="14" t="s">
        <v>3027</v>
      </c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"/>
    </row>
    <row r="1064">
      <c r="A1064" s="1"/>
      <c r="B1064" s="4" t="s">
        <v>3031</v>
      </c>
      <c r="D1064" s="9"/>
      <c r="E1064" s="17" t="s">
        <v>14</v>
      </c>
      <c r="F1064" s="18" t="str">
        <f>HYPERLINK("https://youtu.be/eEVGR9BINjk?t=395",'Players&gt;List'!$B10)</f>
        <v>[CAM]</v>
      </c>
      <c r="G1064" s="18" t="str">
        <f>HYPERLINK("https://www.youtube.com/watch?v=WaG65U7WbYc",'Players&gt;List'!$B29)</f>
        <v>[SYS]</v>
      </c>
      <c r="H1064" s="1"/>
      <c r="I1064" s="1"/>
      <c r="J1064" s="1"/>
      <c r="K1064" s="1"/>
      <c r="L1064" s="1"/>
      <c r="M1064" s="1"/>
      <c r="N1064" s="1"/>
    </row>
    <row r="1065">
      <c r="A1065" s="1"/>
      <c r="B1065" s="25" t="s">
        <v>117</v>
      </c>
      <c r="E1065" s="26" t="s">
        <v>110</v>
      </c>
      <c r="F1065" s="28" t="str">
        <f>HYPERLINK("https://www.youtube.com/watch?v=Rr8-UmuC9pg",'Players&gt;List'!$B15)</f>
        <v>[FNY]</v>
      </c>
      <c r="G1065" s="1"/>
      <c r="H1065" s="1"/>
      <c r="I1065" s="1"/>
      <c r="J1065" s="1"/>
      <c r="K1065" s="1"/>
      <c r="L1065" s="1"/>
      <c r="M1065" s="1"/>
      <c r="N1065" s="1"/>
    </row>
    <row r="1066">
      <c r="A1066" s="1"/>
      <c r="B1066" s="14" t="s">
        <v>3035</v>
      </c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"/>
    </row>
    <row r="1067">
      <c r="A1067" s="1"/>
      <c r="B1067" s="4" t="s">
        <v>3038</v>
      </c>
      <c r="D1067" s="9"/>
      <c r="E1067" s="17" t="s">
        <v>14</v>
      </c>
      <c r="F1067" s="18" t="str">
        <f>HYPERLINK("https://youtu.be/eEVGR9BINjk?t=760",'Players&gt;List'!$B10)</f>
        <v>[CAM]</v>
      </c>
      <c r="G1067" s="18" t="str">
        <f>HYPERLINK("https://youtu.be/WaG65U7WbYc?t=11s",'Players&gt;List'!$B29)</f>
        <v>[SYS]</v>
      </c>
      <c r="H1067" s="1"/>
      <c r="I1067" s="1"/>
      <c r="J1067" s="1"/>
      <c r="K1067" s="1"/>
      <c r="L1067" s="1"/>
      <c r="M1067" s="1"/>
      <c r="N1067" s="1"/>
    </row>
    <row r="1068">
      <c r="A1068" s="1"/>
      <c r="B1068" s="25" t="s">
        <v>117</v>
      </c>
      <c r="E1068" s="26" t="s">
        <v>110</v>
      </c>
      <c r="F1068" s="28" t="str">
        <f>HYPERLINK("https://www.youtube.com/watch?v=GbiQ4SbXgzQ&amp;index=243&amp;list=PLbU6uWaIKemqNvTeRxK-Ay6PRg9iwCKVi&amp;t=0s",'Players&gt;List'!$B19)</f>
        <v>[HIT]</v>
      </c>
      <c r="G1068" s="28" t="str">
        <f>HYPERLINK("https://www.youtube.com/watch?v=mvNSjJgW8fA",'Players&gt;List'!$B15)</f>
        <v>[FNY]</v>
      </c>
      <c r="H1068" s="1"/>
      <c r="I1068" s="1"/>
      <c r="J1068" s="1"/>
      <c r="K1068" s="1"/>
      <c r="L1068" s="1"/>
      <c r="M1068" s="1"/>
      <c r="N1068" s="1"/>
    </row>
    <row r="1069">
      <c r="A1069" s="1"/>
      <c r="B1069" s="25" t="s">
        <v>149</v>
      </c>
      <c r="E1069" s="26" t="s">
        <v>147</v>
      </c>
      <c r="F1069" s="1"/>
      <c r="G1069" s="1"/>
      <c r="H1069" s="1"/>
      <c r="I1069" s="1"/>
      <c r="J1069" s="1"/>
      <c r="K1069" s="1"/>
      <c r="L1069" s="1"/>
      <c r="M1069" s="1"/>
      <c r="N1069" s="1"/>
    </row>
    <row r="1070">
      <c r="A1070" s="1"/>
      <c r="B1070" s="14" t="s">
        <v>3040</v>
      </c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"/>
    </row>
    <row r="1071">
      <c r="A1071" s="1"/>
      <c r="B1071" s="4" t="s">
        <v>3042</v>
      </c>
      <c r="D1071" s="9"/>
      <c r="E1071" s="17" t="s">
        <v>14</v>
      </c>
      <c r="F1071" s="18" t="str">
        <f>HYPERLINK("https://youtu.be/eEVGR9BINjk?t=1000",'Players&gt;List'!$B10)</f>
        <v>[CAM]</v>
      </c>
      <c r="G1071" s="18" t="str">
        <f>HYPERLINK("https://youtu.be/WaG65U7WbYc?t=59s",'Players&gt;List'!$B29)</f>
        <v>[SYS]</v>
      </c>
      <c r="H1071" s="1"/>
      <c r="I1071" s="1"/>
      <c r="J1071" s="1"/>
      <c r="K1071" s="1"/>
      <c r="L1071" s="1"/>
      <c r="M1071" s="1"/>
      <c r="N1071" s="1"/>
    </row>
    <row r="1072">
      <c r="A1072" s="1"/>
      <c r="B1072" s="25" t="s">
        <v>88</v>
      </c>
      <c r="E1072" s="26" t="s">
        <v>90</v>
      </c>
      <c r="F1072" s="1"/>
      <c r="G1072" s="1"/>
      <c r="H1072" s="1"/>
      <c r="I1072" s="1"/>
      <c r="J1072" s="1"/>
      <c r="K1072" s="1"/>
      <c r="L1072" s="1"/>
      <c r="M1072" s="1"/>
      <c r="N1072" s="1"/>
    </row>
    <row r="1073">
      <c r="A1073" s="1"/>
      <c r="B1073" s="25" t="s">
        <v>149</v>
      </c>
      <c r="E1073" s="26" t="s">
        <v>147</v>
      </c>
      <c r="F1073" s="1"/>
      <c r="G1073" s="1"/>
      <c r="H1073" s="1"/>
      <c r="I1073" s="1"/>
      <c r="J1073" s="1"/>
      <c r="K1073" s="1"/>
      <c r="L1073" s="1"/>
      <c r="M1073" s="1"/>
      <c r="N1073" s="1"/>
    </row>
    <row r="1074">
      <c r="A1074" s="1"/>
      <c r="B1074" s="25" t="s">
        <v>117</v>
      </c>
      <c r="E1074" s="26" t="s">
        <v>132</v>
      </c>
      <c r="F1074" s="18" t="str">
        <f>HYPERLINK("https://www.youtube.com/watch?v=xgdNbg6ftug&amp;list=PLbVGARhZL4D2_iVPdtVXpVOyBYm0rDCCs&amp;index=4&amp;t=0s",'Players&gt;List'!$B32)</f>
        <v>[XEL]</v>
      </c>
      <c r="G1074" s="18" t="str">
        <f>HYPERLINK("https://www.youtube.com/watch?v=72ZQH2OI3kY&amp;t=0s&amp;list=PLbVGARhZL4D2_iVPdtVXpVOyBYm0rDCCs&amp;index=5",'Players&gt;List'!$B19)</f>
        <v>[HIT]</v>
      </c>
      <c r="H1074" s="18" t="str">
        <f>HYPERLINK("https://www.youtube.com/watch?v=wlFVH6shD0Q&amp;t=0s&amp;list=PLbVGARhZL4D2_iVPdtVXpVOyBYm0rDCCs&amp;index=2",'Players&gt;List'!$B11)</f>
        <v>[CHB]</v>
      </c>
      <c r="I1074" s="28" t="str">
        <f>HYPERLINK("https://www.youtube.com/watch?v=F93J2kKsPQo&amp;list=PLbVGARhZL4D2_iVPdtVXpVOyBYm0rDCCs&amp;index=3&amp;t=0s",'Players&gt;List'!$B15)</f>
        <v>[FNY]</v>
      </c>
      <c r="J1074" s="28" t="str">
        <f>HYPERLINK("https://www.youtube.com/watch?v=UKZHqIHWT3U",'Players&gt;List'!$B8)</f>
        <v>[ABA]</v>
      </c>
      <c r="K1074" s="1"/>
      <c r="L1074" s="1"/>
      <c r="M1074" s="1"/>
      <c r="N1074" s="1"/>
    </row>
    <row r="1075">
      <c r="A1075" s="1"/>
      <c r="B1075" s="14" t="s">
        <v>3054</v>
      </c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"/>
    </row>
    <row r="1076">
      <c r="A1076" s="1"/>
      <c r="B1076" s="4" t="s">
        <v>3056</v>
      </c>
      <c r="D1076" s="9"/>
      <c r="E1076" s="17" t="s">
        <v>14</v>
      </c>
      <c r="F1076" s="28" t="str">
        <f>HYPERLINK("https://youtu.be/eEVGR9BINjk?t=1079",'Players&gt;List'!$B10)</f>
        <v>[CAM]</v>
      </c>
      <c r="G1076" s="28" t="str">
        <f>HYPERLINK("https://youtu.be/WaG65U7WbYc?t=1m48s",'Players&gt;List'!$B29)</f>
        <v>[SYS]</v>
      </c>
      <c r="H1076" s="1"/>
      <c r="I1076" s="1"/>
      <c r="J1076" s="1"/>
      <c r="K1076" s="1"/>
      <c r="L1076" s="1"/>
      <c r="M1076" s="1"/>
      <c r="N1076" s="1"/>
    </row>
    <row r="1077">
      <c r="A1077" s="1"/>
      <c r="B1077" s="25" t="s">
        <v>108</v>
      </c>
      <c r="E1077" s="26" t="s">
        <v>110</v>
      </c>
      <c r="F1077" s="1"/>
      <c r="G1077" s="1"/>
      <c r="H1077" s="1"/>
      <c r="I1077" s="1"/>
      <c r="J1077" s="1"/>
      <c r="K1077" s="1"/>
      <c r="L1077" s="1"/>
      <c r="M1077" s="1"/>
      <c r="N1077" s="1"/>
    </row>
    <row r="1078">
      <c r="A1078" s="1"/>
      <c r="B1078" s="14" t="s">
        <v>3063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"/>
    </row>
    <row r="1079">
      <c r="A1079" s="1"/>
      <c r="B1079" s="4" t="s">
        <v>3065</v>
      </c>
      <c r="D1079" s="9"/>
      <c r="E1079" s="17" t="s">
        <v>14</v>
      </c>
      <c r="F1079" s="28" t="str">
        <f>HYPERLINK("https://youtu.be/eEVGR9BINjk?t=1100",'Players&gt;List'!$B10)</f>
        <v>[CAM]</v>
      </c>
      <c r="G1079" s="28" t="str">
        <f>HYPERLINK("https://youtu.be/WaG65U7WbYc?t=2m5s",'Players&gt;List'!$B29)</f>
        <v>[SYS]</v>
      </c>
      <c r="H1079" s="1"/>
      <c r="I1079" s="1"/>
      <c r="J1079" s="1"/>
      <c r="K1079" s="1"/>
      <c r="L1079" s="1"/>
      <c r="M1079" s="1"/>
      <c r="N1079" s="1"/>
    </row>
    <row r="1080">
      <c r="A1080" s="1"/>
      <c r="B1080" s="25" t="s">
        <v>117</v>
      </c>
      <c r="E1080" s="26" t="s">
        <v>110</v>
      </c>
      <c r="F1080" s="1"/>
      <c r="G1080" s="1"/>
      <c r="H1080" s="1"/>
      <c r="I1080" s="1"/>
      <c r="J1080" s="1"/>
      <c r="K1080" s="1"/>
      <c r="L1080" s="1"/>
      <c r="M1080" s="1"/>
      <c r="N1080" s="1"/>
    </row>
    <row r="1081">
      <c r="A1081" s="1"/>
      <c r="B1081" s="14" t="s">
        <v>3071</v>
      </c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"/>
    </row>
    <row r="1082">
      <c r="A1082" s="1"/>
      <c r="B1082" s="4" t="s">
        <v>3073</v>
      </c>
      <c r="D1082" s="9"/>
      <c r="E1082" s="17" t="s">
        <v>14</v>
      </c>
      <c r="F1082" s="28" t="str">
        <f>HYPERLINK("https://youtu.be/J8sYVWKhNrs?t=18",'Players&gt;List'!$B10)</f>
        <v>[CAM]</v>
      </c>
      <c r="G1082" s="1"/>
      <c r="H1082" s="1"/>
      <c r="I1082" s="1"/>
      <c r="J1082" s="1"/>
      <c r="K1082" s="1"/>
      <c r="L1082" s="1"/>
      <c r="M1082" s="1"/>
      <c r="N1082" s="1"/>
    </row>
    <row r="1083">
      <c r="A1083" s="1"/>
      <c r="B1083" s="25" t="s">
        <v>88</v>
      </c>
      <c r="E1083" s="26" t="s">
        <v>90</v>
      </c>
      <c r="F1083" s="1"/>
      <c r="G1083" s="1"/>
      <c r="H1083" s="1"/>
      <c r="I1083" s="1"/>
      <c r="J1083" s="1"/>
      <c r="K1083" s="1"/>
      <c r="L1083" s="1"/>
      <c r="M1083" s="1"/>
      <c r="N1083" s="1"/>
    </row>
    <row r="1084">
      <c r="A1084" s="1"/>
      <c r="B1084" s="14" t="s">
        <v>3074</v>
      </c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"/>
    </row>
    <row r="1085">
      <c r="A1085" s="1"/>
      <c r="B1085" s="4" t="s">
        <v>3076</v>
      </c>
      <c r="D1085" s="9"/>
      <c r="E1085" s="17" t="s">
        <v>14</v>
      </c>
      <c r="F1085" s="28" t="str">
        <f>HYPERLINK("https://youtu.be/J8sYVWKhNrs?t=44",'Players&gt;List'!$B10)</f>
        <v>[CAM]</v>
      </c>
      <c r="G1085" s="1"/>
      <c r="H1085" s="1"/>
      <c r="I1085" s="1"/>
      <c r="J1085" s="1"/>
      <c r="K1085" s="1"/>
      <c r="L1085" s="1"/>
      <c r="M1085" s="1"/>
      <c r="N1085" s="1"/>
    </row>
    <row r="1086">
      <c r="A1086" s="1"/>
      <c r="B1086" s="25" t="s">
        <v>88</v>
      </c>
      <c r="E1086" s="26" t="s">
        <v>90</v>
      </c>
      <c r="F1086" s="1"/>
      <c r="G1086" s="1"/>
      <c r="H1086" s="1"/>
      <c r="I1086" s="1"/>
      <c r="J1086" s="1"/>
      <c r="K1086" s="1"/>
      <c r="L1086" s="1"/>
      <c r="M1086" s="1"/>
      <c r="N1086" s="1"/>
    </row>
    <row r="1087">
      <c r="A1087" s="1"/>
      <c r="B1087" s="14" t="s">
        <v>3081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"/>
    </row>
    <row r="1088">
      <c r="A1088" s="1"/>
      <c r="B1088" s="4" t="s">
        <v>3083</v>
      </c>
      <c r="D1088" s="9"/>
      <c r="E1088" s="17" t="s">
        <v>14</v>
      </c>
      <c r="F1088" s="28" t="str">
        <f>HYPERLINK("https://youtu.be/J8sYVWKhNrs?t=88",'Players&gt;List'!$B10)</f>
        <v>[CAM]</v>
      </c>
      <c r="G1088" s="1"/>
      <c r="H1088" s="1"/>
      <c r="I1088" s="1"/>
      <c r="J1088" s="1"/>
      <c r="K1088" s="1"/>
      <c r="L1088" s="1"/>
      <c r="M1088" s="1"/>
      <c r="N1088" s="1"/>
    </row>
    <row r="1089">
      <c r="A1089" s="1"/>
      <c r="B1089" s="25" t="s">
        <v>88</v>
      </c>
      <c r="E1089" s="26" t="s">
        <v>90</v>
      </c>
      <c r="F1089" s="1"/>
      <c r="G1089" s="1"/>
      <c r="H1089" s="1"/>
      <c r="I1089" s="1"/>
      <c r="J1089" s="1"/>
      <c r="K1089" s="1"/>
      <c r="L1089" s="1"/>
      <c r="M1089" s="1"/>
      <c r="N1089" s="1"/>
    </row>
    <row r="1090">
      <c r="A1090" s="1"/>
      <c r="B1090" s="14" t="s">
        <v>3086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"/>
    </row>
    <row r="1091">
      <c r="A1091" s="1"/>
      <c r="B1091" s="4" t="s">
        <v>3087</v>
      </c>
      <c r="D1091" s="9"/>
      <c r="E1091" s="17" t="s">
        <v>14</v>
      </c>
      <c r="F1091" s="28" t="str">
        <f>HYPERLINK("https://youtu.be/J8sYVWKhNrs?t=121",'Players&gt;List'!$B10)</f>
        <v>[CAM]</v>
      </c>
      <c r="G1091" s="1"/>
      <c r="H1091" s="1"/>
      <c r="I1091" s="1"/>
      <c r="J1091" s="1"/>
      <c r="K1091" s="1"/>
      <c r="L1091" s="1"/>
      <c r="M1091" s="1"/>
      <c r="N1091" s="1"/>
    </row>
    <row r="1092">
      <c r="A1092" s="1"/>
      <c r="B1092" s="25" t="s">
        <v>157</v>
      </c>
      <c r="E1092" s="26" t="s">
        <v>110</v>
      </c>
      <c r="F1092" s="28" t="str">
        <f>HYPERLINK("https://www.youtube.com/watch?v=zgQ2FidWNoY",'Players&gt;List'!$B18)</f>
        <v>[HGB]</v>
      </c>
      <c r="G1092" s="28" t="str">
        <f>HYPERLINK("https://www.youtube.com/watch?v=l22yI-QiDQ8",'Players&gt;List'!$B15)</f>
        <v>[FNY]</v>
      </c>
      <c r="H1092" s="28" t="str">
        <f>HYPERLINK("https://www.youtube.com/watch?v=K0fy_1C4XtA",'Players&gt;List'!$B8)</f>
        <v>[ABA]</v>
      </c>
      <c r="I1092" s="1"/>
      <c r="J1092" s="1"/>
      <c r="K1092" s="1"/>
      <c r="L1092" s="1"/>
      <c r="M1092" s="1"/>
      <c r="N1092" s="1"/>
    </row>
    <row r="1093">
      <c r="A1093" s="1"/>
      <c r="B1093" s="14" t="s">
        <v>3093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"/>
    </row>
    <row r="1094">
      <c r="A1094" s="1"/>
      <c r="B1094" s="4" t="s">
        <v>3094</v>
      </c>
      <c r="D1094" s="9"/>
      <c r="E1094" s="17" t="s">
        <v>14</v>
      </c>
      <c r="F1094" s="28" t="str">
        <f>HYPERLINK("https://youtu.be/J8sYVWKhNrs?t=781",'Players&gt;List'!$B10)</f>
        <v>[CAM]</v>
      </c>
      <c r="G1094" s="1"/>
      <c r="H1094" s="1"/>
      <c r="I1094" s="1"/>
      <c r="J1094" s="1"/>
      <c r="K1094" s="1"/>
      <c r="L1094" s="1"/>
      <c r="M1094" s="1"/>
      <c r="N1094" s="1"/>
    </row>
    <row r="1095">
      <c r="A1095" s="1"/>
      <c r="B1095" s="25" t="s">
        <v>88</v>
      </c>
      <c r="E1095" s="26" t="s">
        <v>90</v>
      </c>
      <c r="F1095" s="28" t="str">
        <f>HYPERLINK("https://www.youtube.com/watch?v=WcQnlfLcW_o",'Players&gt;List'!$B11)</f>
        <v>[CHB]</v>
      </c>
      <c r="G1095" s="1"/>
      <c r="H1095" s="1"/>
      <c r="I1095" s="1"/>
      <c r="J1095" s="1"/>
      <c r="K1095" s="1"/>
      <c r="L1095" s="1"/>
      <c r="M1095" s="1"/>
      <c r="N1095" s="1"/>
    </row>
    <row r="1096">
      <c r="A1096" s="1"/>
      <c r="B1096" s="25" t="s">
        <v>444</v>
      </c>
      <c r="E1096" s="26" t="s">
        <v>147</v>
      </c>
      <c r="F1096" s="28" t="str">
        <f>HYPERLINK("https://www.youtube.com/watch?v=x96T1JDzTt4",'Players&gt;List'!$B28)</f>
        <v>[SUN]</v>
      </c>
      <c r="G1096" s="1"/>
      <c r="H1096" s="1"/>
      <c r="I1096" s="1"/>
      <c r="J1096" s="1"/>
      <c r="K1096" s="1"/>
      <c r="L1096" s="1"/>
      <c r="M1096" s="1"/>
      <c r="N1096" s="1"/>
    </row>
    <row r="1097">
      <c r="A1097" s="1"/>
      <c r="B1097" s="14" t="s">
        <v>3102</v>
      </c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"/>
    </row>
    <row r="1098">
      <c r="A1098" s="1"/>
      <c r="B1098" s="4" t="s">
        <v>3104</v>
      </c>
      <c r="D1098" s="9"/>
      <c r="E1098" s="17" t="s">
        <v>14</v>
      </c>
      <c r="F1098" s="28" t="str">
        <f>HYPERLINK("https://youtu.be/gw7ZeHYJbsE?t=21",'Players&gt;List'!$B10)</f>
        <v>[CAM]</v>
      </c>
      <c r="G1098" s="1"/>
      <c r="H1098" s="1"/>
      <c r="I1098" s="1"/>
      <c r="J1098" s="1"/>
      <c r="K1098" s="1"/>
      <c r="L1098" s="1"/>
      <c r="M1098" s="1"/>
      <c r="N1098" s="1"/>
    </row>
    <row r="1099">
      <c r="A1099" s="1"/>
      <c r="B1099" s="25" t="s">
        <v>149</v>
      </c>
      <c r="E1099" s="26" t="s">
        <v>90</v>
      </c>
      <c r="F1099" s="1"/>
      <c r="G1099" s="1"/>
      <c r="H1099" s="1"/>
      <c r="I1099" s="1"/>
      <c r="J1099" s="1"/>
      <c r="K1099" s="1"/>
      <c r="L1099" s="1"/>
      <c r="M1099" s="1"/>
      <c r="N1099" s="1"/>
    </row>
    <row r="1100">
      <c r="A1100" s="1"/>
      <c r="B1100" s="25" t="s">
        <v>335</v>
      </c>
      <c r="E1100" s="26" t="s">
        <v>147</v>
      </c>
      <c r="F1100" s="1"/>
      <c r="G1100" s="1"/>
      <c r="H1100" s="1"/>
      <c r="I1100" s="1"/>
      <c r="J1100" s="1"/>
      <c r="K1100" s="1"/>
      <c r="L1100" s="1"/>
      <c r="M1100" s="1"/>
      <c r="N1100" s="1"/>
    </row>
    <row r="1101">
      <c r="A1101" s="1"/>
      <c r="B1101" s="14" t="s">
        <v>3107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"/>
    </row>
    <row r="1102">
      <c r="A1102" s="1"/>
      <c r="B1102" s="4" t="s">
        <v>3108</v>
      </c>
      <c r="D1102" s="9"/>
      <c r="E1102" s="17" t="s">
        <v>14</v>
      </c>
      <c r="F1102" s="28" t="str">
        <f>HYPERLINK("https://youtu.be/gw7ZeHYJbsE?t=48",'Players&gt;List'!$B10)</f>
        <v>[CAM]</v>
      </c>
      <c r="G1102" s="1"/>
      <c r="H1102" s="1"/>
      <c r="I1102" s="1"/>
      <c r="J1102" s="1"/>
      <c r="K1102" s="1"/>
      <c r="L1102" s="1"/>
      <c r="M1102" s="1"/>
      <c r="N1102" s="1"/>
    </row>
    <row r="1103">
      <c r="A1103" s="1"/>
      <c r="B1103" s="25" t="s">
        <v>88</v>
      </c>
      <c r="E1103" s="26" t="s">
        <v>90</v>
      </c>
      <c r="F1103" s="1"/>
      <c r="G1103" s="1"/>
      <c r="H1103" s="1"/>
      <c r="I1103" s="1"/>
      <c r="J1103" s="1"/>
      <c r="K1103" s="1"/>
      <c r="L1103" s="1"/>
      <c r="M1103" s="1"/>
      <c r="N1103" s="1"/>
    </row>
    <row r="1104">
      <c r="A1104" s="1"/>
      <c r="B1104" s="14" t="s">
        <v>3111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"/>
    </row>
    <row r="1105">
      <c r="A1105" s="1"/>
      <c r="B1105" s="4" t="s">
        <v>3113</v>
      </c>
      <c r="D1105" s="9"/>
      <c r="E1105" s="17" t="s">
        <v>14</v>
      </c>
      <c r="F1105" s="28" t="str">
        <f>HYPERLINK("https://youtu.be/gw7ZeHYJbsE?t=141",'Players&gt;List'!$B10)</f>
        <v>[CAM]</v>
      </c>
      <c r="G1105" s="28" t="str">
        <f>HYPERLINK("https://www.youtube.com/watch?v=3bmIK0XA7Z8",'Players&gt;List'!$B28)</f>
        <v>[SUN]</v>
      </c>
      <c r="H1105" s="1"/>
      <c r="I1105" s="1"/>
      <c r="J1105" s="1"/>
      <c r="K1105" s="1"/>
      <c r="L1105" s="1"/>
      <c r="M1105" s="1"/>
      <c r="N1105" s="1"/>
    </row>
    <row r="1106">
      <c r="A1106" s="1"/>
      <c r="B1106" s="25" t="s">
        <v>88</v>
      </c>
      <c r="E1106" s="26" t="s">
        <v>90</v>
      </c>
      <c r="F1106" s="28" t="str">
        <f>HYPERLINK("https://www.youtube.com/watch?v=XyomcoWSuPo",'Players&gt;List'!$B28)</f>
        <v>[SUN]</v>
      </c>
      <c r="G1106" s="1"/>
      <c r="H1106" s="1"/>
      <c r="I1106" s="1"/>
      <c r="J1106" s="1"/>
      <c r="K1106" s="1"/>
      <c r="L1106" s="1"/>
      <c r="M1106" s="1"/>
      <c r="N1106" s="1"/>
    </row>
    <row r="1107">
      <c r="A1107" s="1"/>
      <c r="B1107" s="25" t="s">
        <v>197</v>
      </c>
      <c r="E1107" s="26" t="s">
        <v>147</v>
      </c>
      <c r="F1107" s="28" t="str">
        <f>HYPERLINK("https://www.youtube.com/watch?v=3bmIK0XA7Z8",'Players&gt;List'!$B28)</f>
        <v>[SUN]</v>
      </c>
      <c r="G1107" s="1"/>
      <c r="H1107" s="1"/>
      <c r="I1107" s="1"/>
      <c r="J1107" s="1"/>
      <c r="K1107" s="1"/>
      <c r="L1107" s="1"/>
      <c r="M1107" s="1"/>
      <c r="N1107" s="1"/>
    </row>
    <row r="1108">
      <c r="A1108" s="1"/>
      <c r="B1108" s="25" t="s">
        <v>649</v>
      </c>
      <c r="E1108" s="26" t="s">
        <v>147</v>
      </c>
      <c r="F1108" s="28" t="str">
        <f>HYPERLINK("https://www.youtube.com/watch?v=cKS80AUxtLc",'Players&gt;List'!$B28)</f>
        <v>[SUN]</v>
      </c>
      <c r="G1108" s="1"/>
      <c r="H1108" s="1"/>
      <c r="I1108" s="1"/>
      <c r="J1108" s="1"/>
      <c r="K1108" s="1"/>
      <c r="L1108" s="1"/>
      <c r="M1108" s="1"/>
      <c r="N1108" s="1"/>
    </row>
    <row r="1109">
      <c r="A1109" s="1"/>
      <c r="B1109" s="14" t="s">
        <v>3123</v>
      </c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"/>
    </row>
    <row r="1110">
      <c r="A1110" s="1"/>
      <c r="B1110" s="4" t="s">
        <v>3124</v>
      </c>
      <c r="D1110" s="9"/>
      <c r="E1110" s="17" t="s">
        <v>14</v>
      </c>
      <c r="F1110" s="28" t="str">
        <f>HYPERLINK("https://youtu.be/gw7ZeHYJbsE?t=238",'Players&gt;List'!$B10)</f>
        <v>[CAM]</v>
      </c>
      <c r="G1110" s="1"/>
      <c r="H1110" s="1"/>
      <c r="I1110" s="1"/>
      <c r="J1110" s="1"/>
      <c r="K1110" s="1"/>
      <c r="L1110" s="1"/>
      <c r="M1110" s="1"/>
      <c r="N1110" s="1"/>
    </row>
    <row r="1111">
      <c r="A1111" s="1"/>
      <c r="B1111" s="25" t="s">
        <v>88</v>
      </c>
      <c r="E1111" s="26" t="s">
        <v>90</v>
      </c>
      <c r="F1111" s="1"/>
      <c r="G1111" s="1"/>
      <c r="H1111" s="1"/>
      <c r="I1111" s="1"/>
      <c r="J1111" s="1"/>
      <c r="K1111" s="1"/>
      <c r="L1111" s="1"/>
      <c r="M1111" s="1"/>
      <c r="N1111" s="1"/>
    </row>
    <row r="1112">
      <c r="A1112" s="1"/>
      <c r="B1112" s="14" t="s">
        <v>3127</v>
      </c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"/>
    </row>
    <row r="1113">
      <c r="A1113" s="1"/>
      <c r="B1113" s="4" t="s">
        <v>3129</v>
      </c>
      <c r="D1113" s="9"/>
      <c r="E1113" s="17" t="s">
        <v>14</v>
      </c>
      <c r="F1113" s="28" t="str">
        <f>HYPERLINK("https://youtu.be/gw7ZeHYJbsE?t=439",'Players&gt;List'!$B10)</f>
        <v>[CAM]</v>
      </c>
      <c r="G1113" s="1"/>
      <c r="H1113" s="1"/>
      <c r="I1113" s="1"/>
      <c r="J1113" s="1"/>
      <c r="K1113" s="1"/>
      <c r="L1113" s="1"/>
      <c r="M1113" s="1"/>
      <c r="N1113" s="1"/>
    </row>
    <row r="1114">
      <c r="A1114" s="1"/>
      <c r="B1114" s="25" t="s">
        <v>400</v>
      </c>
      <c r="E1114" s="26" t="s">
        <v>234</v>
      </c>
      <c r="F1114" s="28" t="str">
        <f>HYPERLINK("https://www.youtube.com/watch?v=8FsVatxWTjA",'Players&gt;List'!$B8)</f>
        <v>[ABA]</v>
      </c>
      <c r="G1114" s="1"/>
      <c r="H1114" s="1"/>
      <c r="I1114" s="1"/>
      <c r="J1114" s="1"/>
      <c r="K1114" s="1"/>
      <c r="L1114" s="1"/>
      <c r="M1114" s="1"/>
      <c r="N1114" s="1"/>
    </row>
    <row r="1115">
      <c r="A1115" s="1"/>
      <c r="B1115" s="14" t="s">
        <v>3135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"/>
    </row>
    <row r="1116">
      <c r="A1116" s="1"/>
      <c r="B1116" s="4" t="s">
        <v>3137</v>
      </c>
      <c r="D1116" s="9"/>
      <c r="E1116" s="17" t="s">
        <v>14</v>
      </c>
      <c r="F1116" s="28" t="str">
        <f>HYPERLINK("https://youtu.be/g1BP16y2qWU?t=30",'Players&gt;List'!$B10)</f>
        <v>[CAM]</v>
      </c>
      <c r="G1116" s="28" t="str">
        <f>HYPERLINK("https://www.youtube.com/watch?v=0imn6nhUMf8",'Players&gt;List'!$B28)</f>
        <v>[SUN]</v>
      </c>
      <c r="H1116" s="1"/>
      <c r="I1116" s="1"/>
      <c r="J1116" s="1"/>
      <c r="K1116" s="1"/>
      <c r="L1116" s="1"/>
      <c r="M1116" s="1"/>
      <c r="N1116" s="1"/>
    </row>
    <row r="1117">
      <c r="A1117" s="1"/>
      <c r="B1117" s="25" t="s">
        <v>88</v>
      </c>
      <c r="E1117" s="26" t="s">
        <v>90</v>
      </c>
      <c r="F1117" s="28" t="str">
        <f>HYPERLINK("https://www.twitch.tv/videos/272494424",'Players&gt;List'!$B24)</f>
        <v>[NIM]</v>
      </c>
      <c r="G1117" s="28" t="str">
        <f>HYPERLINK("https://www.youtube.com/watch?v=Ym8KIEqZuiM",'Players&gt;List'!$B28)</f>
        <v>[SUN]</v>
      </c>
      <c r="H1117" s="28" t="str">
        <f>HYPERLINK("https://www.youtube.com/watch?v=jiXthFLPs3s",'Players&gt;List'!$B8)</f>
        <v>[ABA]</v>
      </c>
      <c r="I1117" s="1"/>
      <c r="J1117" s="1"/>
      <c r="K1117" s="1"/>
      <c r="L1117" s="1"/>
      <c r="M1117" s="1"/>
      <c r="N1117" s="1"/>
    </row>
    <row r="1118">
      <c r="A1118" s="1"/>
      <c r="B1118" s="25" t="s">
        <v>444</v>
      </c>
      <c r="E1118" s="26" t="s">
        <v>147</v>
      </c>
      <c r="F1118" s="28" t="str">
        <f>HYPERLINK("https://youtu.be/g1BP16y2qWU?t=30",'Players&gt;List'!$B10)</f>
        <v>[CAM]</v>
      </c>
      <c r="G1118" s="28" t="str">
        <f>HYPERLINK("https://www.youtube.com/watch?v=Ym8KIEqZuiM",'Players&gt;List'!$B28)</f>
        <v>[SUN]</v>
      </c>
      <c r="H1118" s="1"/>
      <c r="I1118" s="1"/>
      <c r="J1118" s="1"/>
      <c r="K1118" s="1"/>
      <c r="L1118" s="1"/>
      <c r="M1118" s="1"/>
      <c r="N1118" s="1"/>
    </row>
    <row r="1119">
      <c r="A1119" s="1"/>
      <c r="B1119" s="25" t="s">
        <v>335</v>
      </c>
      <c r="E1119" s="26" t="s">
        <v>147</v>
      </c>
      <c r="F1119" s="28" t="str">
        <f>HYPERLINK("https://www.youtube.com/watch?v=DwSL1APMRNA",'Players&gt;List'!$B32)</f>
        <v>[XEL]</v>
      </c>
      <c r="G1119" s="28" t="str">
        <f>HYPERLINK("https://www.youtube.com/watch?v=o7FXE26isus&amp;index=215&amp;t=0s&amp;list=PLbU6uWaIKemqNvTeRxK-Ay6PRg9iwCKVi",'Players&gt;List'!$B19)</f>
        <v>[HIT]</v>
      </c>
      <c r="H1119" s="28" t="str">
        <f>HYPERLINK("https://www.youtube.com/watch?v=0imn6nhUMf8",'Players&gt;List'!$B28)</f>
        <v>[SUN]</v>
      </c>
      <c r="I1119" s="1"/>
      <c r="J1119" s="1"/>
      <c r="K1119" s="1"/>
      <c r="L1119" s="1"/>
      <c r="M1119" s="1"/>
      <c r="N1119" s="1"/>
    </row>
    <row r="1120">
      <c r="A1120" s="1"/>
      <c r="B1120" s="14" t="s">
        <v>3152</v>
      </c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"/>
    </row>
    <row r="1121">
      <c r="A1121" s="1"/>
      <c r="B1121" s="4" t="s">
        <v>3154</v>
      </c>
      <c r="D1121" s="9"/>
      <c r="E1121" s="17" t="s">
        <v>14</v>
      </c>
      <c r="F1121" s="28" t="str">
        <f>HYPERLINK("https://youtu.be/g1BP16y2qWU?t=73",'Players&gt;List'!$B10)</f>
        <v>[CAM]</v>
      </c>
      <c r="G1121" s="1"/>
      <c r="H1121" s="1"/>
      <c r="I1121" s="1"/>
      <c r="J1121" s="1"/>
      <c r="K1121" s="1"/>
      <c r="L1121" s="1"/>
      <c r="M1121" s="1"/>
      <c r="N1121" s="1"/>
    </row>
    <row r="1122">
      <c r="A1122" s="1"/>
      <c r="B1122" s="25" t="s">
        <v>131</v>
      </c>
      <c r="E1122" s="26" t="s">
        <v>110</v>
      </c>
      <c r="F1122" s="1"/>
      <c r="G1122" s="1"/>
      <c r="H1122" s="1"/>
      <c r="I1122" s="1"/>
      <c r="J1122" s="1"/>
      <c r="K1122" s="1"/>
      <c r="L1122" s="1"/>
      <c r="M1122" s="1"/>
      <c r="N1122" s="1"/>
    </row>
    <row r="1123">
      <c r="A1123" s="1"/>
      <c r="B1123" s="14" t="s">
        <v>3156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"/>
    </row>
    <row r="1124">
      <c r="A1124" s="1"/>
      <c r="B1124" s="4" t="s">
        <v>3157</v>
      </c>
      <c r="D1124" s="9"/>
      <c r="E1124" s="17" t="s">
        <v>14</v>
      </c>
      <c r="F1124" s="28" t="str">
        <f>HYPERLINK("https://youtu.be/g1BP16y2qWU?t=1133",'Players&gt;List'!$B10)</f>
        <v>[CAM]</v>
      </c>
      <c r="G1124" s="1"/>
      <c r="H1124" s="1"/>
      <c r="I1124" s="1"/>
      <c r="J1124" s="1"/>
      <c r="K1124" s="1"/>
      <c r="L1124" s="1"/>
      <c r="M1124" s="1"/>
      <c r="N1124" s="1"/>
    </row>
    <row r="1125">
      <c r="A1125" s="1"/>
      <c r="B1125" s="25" t="s">
        <v>973</v>
      </c>
      <c r="E1125" s="26" t="s">
        <v>234</v>
      </c>
      <c r="F1125" s="28" t="str">
        <f>HYPERLINK("https://www.youtube.com/watch?v=uy8huBOIVJo",'Players&gt;List'!$B18)</f>
        <v>[HGB]</v>
      </c>
      <c r="G1125" s="1"/>
      <c r="H1125" s="1"/>
      <c r="I1125" s="1"/>
      <c r="J1125" s="1"/>
      <c r="K1125" s="1"/>
      <c r="L1125" s="1"/>
      <c r="M1125" s="1"/>
      <c r="N1125" s="1"/>
    </row>
    <row r="1126">
      <c r="A1126" s="1"/>
      <c r="B1126" s="25" t="s">
        <v>149</v>
      </c>
      <c r="E1126" s="26" t="s">
        <v>147</v>
      </c>
      <c r="F1126" s="1"/>
      <c r="G1126" s="1"/>
      <c r="H1126" s="1"/>
      <c r="I1126" s="1"/>
      <c r="J1126" s="1"/>
      <c r="K1126" s="1"/>
      <c r="L1126" s="1"/>
      <c r="M1126" s="1"/>
      <c r="N1126" s="1"/>
    </row>
    <row r="1127">
      <c r="A1127" s="1"/>
      <c r="B1127" s="14" t="s">
        <v>3162</v>
      </c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"/>
    </row>
    <row r="1128">
      <c r="A1128" s="1"/>
      <c r="B1128" s="4" t="s">
        <v>3165</v>
      </c>
      <c r="D1128" s="9"/>
      <c r="E1128" s="17" t="s">
        <v>14</v>
      </c>
      <c r="F1128" s="28" t="str">
        <f>HYPERLINK("https://youtu.be/g1BP16y2qWU?t=1211",'Players&gt;List'!$B10)</f>
        <v>[CAM]</v>
      </c>
      <c r="G1128" s="28" t="str">
        <f>HYPERLINK("https://www.youtube.com/watch?v=47UBUuJkU_I",'Players&gt;List'!$B28)</f>
        <v>[SUN]</v>
      </c>
      <c r="H1128" s="1"/>
      <c r="I1128" s="1"/>
      <c r="J1128" s="1"/>
      <c r="K1128" s="1"/>
      <c r="L1128" s="1"/>
      <c r="M1128" s="1"/>
      <c r="N1128" s="1"/>
    </row>
    <row r="1129">
      <c r="A1129" s="1"/>
      <c r="B1129" s="25" t="s">
        <v>149</v>
      </c>
      <c r="E1129" s="26" t="s">
        <v>90</v>
      </c>
      <c r="F1129" s="1"/>
      <c r="G1129" s="1"/>
      <c r="H1129" s="1"/>
      <c r="I1129" s="1"/>
      <c r="J1129" s="1"/>
      <c r="K1129" s="1"/>
      <c r="L1129" s="1"/>
      <c r="M1129" s="1"/>
      <c r="N1129" s="1"/>
    </row>
    <row r="1130">
      <c r="A1130" s="1"/>
      <c r="B1130" s="25" t="s">
        <v>197</v>
      </c>
      <c r="E1130" s="26" t="s">
        <v>147</v>
      </c>
      <c r="F1130" s="28" t="str">
        <f>HYPERLINK("https://www.youtube.com/watch?v=47UBUuJkU_I",'Players&gt;List'!$B28)</f>
        <v>[SUN]</v>
      </c>
      <c r="G1130" s="1"/>
      <c r="H1130" s="1"/>
      <c r="I1130" s="1"/>
      <c r="J1130" s="1"/>
      <c r="K1130" s="1"/>
      <c r="L1130" s="1"/>
      <c r="M1130" s="1"/>
      <c r="N1130" s="1"/>
    </row>
    <row r="1131">
      <c r="A1131" s="1"/>
      <c r="B1131" s="14" t="s">
        <v>3173</v>
      </c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"/>
    </row>
    <row r="1132">
      <c r="A1132" s="1"/>
      <c r="B1132" s="4" t="s">
        <v>3175</v>
      </c>
      <c r="D1132" s="9"/>
      <c r="E1132" s="17" t="s">
        <v>14</v>
      </c>
      <c r="F1132" s="28" t="str">
        <f>HYPERLINK("https://youtu.be/g1BP16y2qWU?t=1483",'Players&gt;List'!$B10)</f>
        <v>[CAM]</v>
      </c>
      <c r="G1132" s="1"/>
      <c r="H1132" s="1"/>
      <c r="I1132" s="1"/>
      <c r="J1132" s="1"/>
      <c r="K1132" s="1"/>
      <c r="L1132" s="1"/>
      <c r="M1132" s="1"/>
      <c r="N1132" s="1"/>
    </row>
    <row r="1133">
      <c r="A1133" s="1"/>
      <c r="B1133" s="25" t="s">
        <v>117</v>
      </c>
      <c r="E1133" s="26" t="s">
        <v>110</v>
      </c>
      <c r="F1133" s="1"/>
      <c r="G1133" s="1"/>
      <c r="H1133" s="1"/>
      <c r="I1133" s="1"/>
      <c r="J1133" s="1"/>
      <c r="K1133" s="1"/>
      <c r="L1133" s="1"/>
      <c r="M1133" s="1"/>
      <c r="N1133" s="1"/>
    </row>
    <row r="1134">
      <c r="A1134" s="1"/>
      <c r="B1134" s="14" t="s">
        <v>3179</v>
      </c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"/>
    </row>
    <row r="1135">
      <c r="A1135" s="1"/>
      <c r="B1135" s="4" t="s">
        <v>3181</v>
      </c>
      <c r="D1135" s="9"/>
      <c r="E1135" s="17" t="s">
        <v>14</v>
      </c>
      <c r="F1135" s="28" t="str">
        <f>HYPERLINK("https://youtu.be/8XNYdaOvM0c?t=33",'Players&gt;List'!$B10)</f>
        <v>[CAM]</v>
      </c>
      <c r="G1135" s="1"/>
      <c r="H1135" s="1"/>
      <c r="I1135" s="1"/>
      <c r="J1135" s="1"/>
      <c r="K1135" s="1"/>
      <c r="L1135" s="1"/>
      <c r="M1135" s="1"/>
      <c r="N1135" s="1"/>
    </row>
    <row r="1136">
      <c r="A1136" s="1"/>
      <c r="B1136" s="25" t="s">
        <v>117</v>
      </c>
      <c r="E1136" s="26" t="s">
        <v>110</v>
      </c>
      <c r="F1136" s="1"/>
      <c r="G1136" s="1"/>
      <c r="H1136" s="1"/>
      <c r="I1136" s="1"/>
      <c r="J1136" s="1"/>
      <c r="K1136" s="1"/>
      <c r="L1136" s="1"/>
      <c r="M1136" s="1"/>
      <c r="N1136" s="1"/>
    </row>
    <row r="1137">
      <c r="A1137" s="1"/>
      <c r="B1137" s="14" t="s">
        <v>3184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"/>
    </row>
    <row r="1138">
      <c r="A1138" s="1"/>
      <c r="B1138" s="4" t="s">
        <v>3186</v>
      </c>
      <c r="D1138" s="9"/>
      <c r="E1138" s="17" t="s">
        <v>14</v>
      </c>
      <c r="F1138" s="28" t="str">
        <f>HYPERLINK("https://youtu.be/8XNYdaOvM0c?t=439",'Players&gt;List'!$B10)</f>
        <v>[CAM]</v>
      </c>
      <c r="G1138" s="1"/>
      <c r="H1138" s="1"/>
      <c r="I1138" s="1"/>
      <c r="J1138" s="1"/>
      <c r="K1138" s="1"/>
      <c r="L1138" s="1"/>
      <c r="M1138" s="1"/>
      <c r="N1138" s="1"/>
    </row>
    <row r="1139">
      <c r="A1139" s="1"/>
      <c r="B1139" s="25" t="s">
        <v>655</v>
      </c>
      <c r="E1139" s="26" t="s">
        <v>234</v>
      </c>
      <c r="F1139" s="1"/>
      <c r="G1139" s="1"/>
      <c r="H1139" s="1"/>
      <c r="I1139" s="1"/>
      <c r="J1139" s="1"/>
      <c r="K1139" s="1"/>
      <c r="L1139" s="1"/>
      <c r="M1139" s="1"/>
      <c r="N1139" s="1"/>
    </row>
    <row r="1140">
      <c r="A1140" s="1"/>
      <c r="B1140" s="25" t="s">
        <v>400</v>
      </c>
      <c r="E1140" s="26" t="s">
        <v>358</v>
      </c>
      <c r="F1140" s="1"/>
      <c r="G1140" s="1"/>
      <c r="H1140" s="1"/>
      <c r="I1140" s="1"/>
      <c r="J1140" s="1"/>
      <c r="K1140" s="1"/>
      <c r="L1140" s="1"/>
      <c r="M1140" s="1"/>
      <c r="N1140" s="1"/>
    </row>
    <row r="1141">
      <c r="A1141" s="1"/>
      <c r="B1141" s="14" t="s">
        <v>3189</v>
      </c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"/>
    </row>
    <row r="1142">
      <c r="A1142" s="1"/>
      <c r="B1142" s="4" t="s">
        <v>3191</v>
      </c>
      <c r="D1142" s="9"/>
      <c r="E1142" s="17" t="s">
        <v>14</v>
      </c>
      <c r="F1142" s="28" t="str">
        <f>HYPERLINK("https://youtu.be/8XNYdaOvM0c?t=517",'Players&gt;List'!$B10)</f>
        <v>[CAM]</v>
      </c>
      <c r="G1142" s="1"/>
      <c r="H1142" s="1"/>
      <c r="I1142" s="1"/>
      <c r="J1142" s="1"/>
      <c r="K1142" s="1"/>
      <c r="L1142" s="1"/>
      <c r="M1142" s="1"/>
      <c r="N1142" s="1"/>
    </row>
    <row r="1143">
      <c r="A1143" s="1"/>
      <c r="B1143" s="25" t="s">
        <v>88</v>
      </c>
      <c r="E1143" s="26" t="s">
        <v>90</v>
      </c>
      <c r="F1143" s="1"/>
      <c r="G1143" s="1"/>
      <c r="H1143" s="1"/>
      <c r="I1143" s="1"/>
      <c r="J1143" s="1"/>
      <c r="K1143" s="1"/>
      <c r="L1143" s="1"/>
      <c r="M1143" s="1"/>
      <c r="N1143" s="1"/>
    </row>
    <row r="1144">
      <c r="A1144" s="1"/>
      <c r="B1144" s="14" t="s">
        <v>3193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"/>
    </row>
    <row r="1145">
      <c r="A1145" s="1"/>
      <c r="B1145" s="4" t="s">
        <v>3196</v>
      </c>
      <c r="D1145" s="9"/>
      <c r="E1145" s="17" t="s">
        <v>14</v>
      </c>
      <c r="F1145" s="28" t="str">
        <f>HYPERLINK("https://youtu.be/8XNYdaOvM0c?t=532",'Players&gt;List'!$B10)</f>
        <v>[CAM]</v>
      </c>
      <c r="G1145" s="1"/>
      <c r="H1145" s="1"/>
      <c r="I1145" s="1"/>
      <c r="J1145" s="1"/>
      <c r="K1145" s="1"/>
      <c r="L1145" s="1"/>
      <c r="M1145" s="1"/>
      <c r="N1145" s="1"/>
    </row>
    <row r="1146">
      <c r="A1146" s="1"/>
      <c r="B1146" s="25" t="s">
        <v>117</v>
      </c>
      <c r="E1146" s="26" t="s">
        <v>110</v>
      </c>
      <c r="F1146" s="1"/>
      <c r="G1146" s="1"/>
      <c r="H1146" s="1"/>
      <c r="I1146" s="1"/>
      <c r="J1146" s="1"/>
      <c r="K1146" s="1"/>
      <c r="L1146" s="1"/>
      <c r="M1146" s="1"/>
      <c r="N1146" s="1"/>
    </row>
    <row r="1147">
      <c r="A1147" s="1"/>
      <c r="B1147" s="14" t="s">
        <v>3200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"/>
    </row>
    <row r="1148">
      <c r="A1148" s="1"/>
      <c r="B1148" s="4" t="s">
        <v>3202</v>
      </c>
      <c r="D1148" s="9"/>
      <c r="E1148" s="17" t="s">
        <v>14</v>
      </c>
      <c r="F1148" s="28" t="str">
        <f>HYPERLINK("https://youtu.be/8XNYdaOvM0c?t=875",'Players&gt;List'!$B10)</f>
        <v>[CAM]</v>
      </c>
      <c r="G1148" s="1"/>
      <c r="H1148" s="1"/>
      <c r="I1148" s="1"/>
      <c r="J1148" s="1"/>
      <c r="K1148" s="1"/>
      <c r="L1148" s="1"/>
      <c r="M1148" s="1"/>
      <c r="N1148" s="1"/>
    </row>
    <row r="1149">
      <c r="A1149" s="1"/>
      <c r="B1149" s="25" t="s">
        <v>149</v>
      </c>
      <c r="E1149" s="26" t="s">
        <v>90</v>
      </c>
      <c r="F1149" s="1"/>
      <c r="G1149" s="1"/>
      <c r="H1149" s="1"/>
      <c r="I1149" s="1"/>
      <c r="J1149" s="1"/>
      <c r="K1149" s="1"/>
      <c r="L1149" s="1"/>
      <c r="M1149" s="1"/>
      <c r="N1149" s="1"/>
    </row>
    <row r="1150">
      <c r="A1150" s="1"/>
      <c r="B1150" s="14" t="s">
        <v>3205</v>
      </c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"/>
    </row>
    <row r="1151">
      <c r="A1151" s="1"/>
      <c r="B1151" s="4" t="s">
        <v>3206</v>
      </c>
      <c r="D1151" s="9"/>
      <c r="E1151" s="17" t="s">
        <v>14</v>
      </c>
      <c r="F1151" s="28" t="str">
        <f>HYPERLINK("https://youtu.be/H9axCQVk2V4?t=14",'Players&gt;List'!$B10)</f>
        <v>[CAM]</v>
      </c>
      <c r="G1151" s="28" t="str">
        <f>HYPERLINK("https://www.youtube.com/watch?v=Blq4muEq3cQ",'Players&gt;List'!$B29)</f>
        <v>[SYS]</v>
      </c>
      <c r="H1151" s="1"/>
      <c r="I1151" s="1"/>
      <c r="J1151" s="1"/>
      <c r="K1151" s="1"/>
      <c r="L1151" s="1"/>
      <c r="M1151" s="1"/>
      <c r="N1151" s="1"/>
    </row>
    <row r="1152">
      <c r="A1152" s="1"/>
      <c r="B1152" s="25" t="s">
        <v>88</v>
      </c>
      <c r="E1152" s="26" t="s">
        <v>90</v>
      </c>
      <c r="F1152" s="28" t="str">
        <f>HYPERLINK("https://www.youtube.com/watch?v=8H2OPfEPfkI",'Players&gt;List'!$B28)</f>
        <v>[SUN]</v>
      </c>
      <c r="G1152" s="1"/>
      <c r="H1152" s="1"/>
      <c r="I1152" s="1"/>
      <c r="J1152" s="1"/>
      <c r="K1152" s="1"/>
      <c r="L1152" s="1"/>
      <c r="M1152" s="1"/>
      <c r="N1152" s="1"/>
    </row>
    <row r="1153">
      <c r="A1153" s="1"/>
      <c r="B1153" s="14" t="s">
        <v>3214</v>
      </c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"/>
    </row>
    <row r="1154">
      <c r="A1154" s="1"/>
      <c r="B1154" s="4" t="s">
        <v>3216</v>
      </c>
      <c r="D1154" s="9"/>
      <c r="E1154" s="17" t="s">
        <v>14</v>
      </c>
      <c r="F1154" s="28" t="str">
        <f>HYPERLINK("https://youtu.be/H9axCQVk2V4?t=38",'Players&gt;List'!$B10)</f>
        <v>[CAM]</v>
      </c>
      <c r="G1154" s="28" t="str">
        <f>HYPERLINK("https://youtu.be/Blq4muEq3cQ?t=13s",'Players&gt;List'!$B29)</f>
        <v>[SYS]</v>
      </c>
      <c r="H1154" s="1"/>
      <c r="I1154" s="1"/>
      <c r="J1154" s="1"/>
      <c r="K1154" s="1"/>
      <c r="L1154" s="1"/>
      <c r="M1154" s="1"/>
      <c r="N1154" s="1"/>
    </row>
    <row r="1155">
      <c r="A1155" s="1"/>
      <c r="B1155" s="25" t="s">
        <v>117</v>
      </c>
      <c r="E1155" s="26" t="s">
        <v>110</v>
      </c>
      <c r="F1155" s="1"/>
      <c r="G1155" s="1"/>
      <c r="H1155" s="1"/>
      <c r="I1155" s="1"/>
      <c r="J1155" s="1"/>
      <c r="K1155" s="1"/>
      <c r="L1155" s="1"/>
      <c r="M1155" s="1"/>
      <c r="N1155" s="1"/>
    </row>
    <row r="1156">
      <c r="A1156" s="1"/>
      <c r="B1156" s="14" t="s">
        <v>3218</v>
      </c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"/>
    </row>
    <row r="1157">
      <c r="A1157" s="1"/>
      <c r="B1157" s="4" t="s">
        <v>3219</v>
      </c>
      <c r="D1157" s="9"/>
      <c r="E1157" s="17" t="s">
        <v>14</v>
      </c>
      <c r="F1157" s="28" t="str">
        <f>HYPERLINK("https://youtu.be/H9axCQVk2V4?t=60",'Players&gt;List'!$B10)</f>
        <v>[CAM]</v>
      </c>
      <c r="G1157" s="28" t="str">
        <f>HYPERLINK("https://youtu.be/Blq4muEq3cQ?t=24s",'Players&gt;List'!$B29)</f>
        <v>[SYS]</v>
      </c>
      <c r="H1157" s="1"/>
      <c r="I1157" s="1"/>
      <c r="J1157" s="1"/>
      <c r="K1157" s="1"/>
      <c r="L1157" s="1"/>
      <c r="M1157" s="1"/>
      <c r="N1157" s="1"/>
    </row>
    <row r="1158">
      <c r="A1158" s="1"/>
      <c r="B1158" s="25" t="s">
        <v>88</v>
      </c>
      <c r="E1158" s="26" t="s">
        <v>90</v>
      </c>
      <c r="F1158" s="1"/>
      <c r="G1158" s="1"/>
      <c r="H1158" s="1"/>
      <c r="I1158" s="1"/>
      <c r="J1158" s="1"/>
      <c r="K1158" s="1"/>
      <c r="L1158" s="1"/>
      <c r="M1158" s="1"/>
      <c r="N1158" s="1"/>
    </row>
    <row r="1159">
      <c r="A1159" s="1"/>
      <c r="B1159" s="14" t="s">
        <v>3225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"/>
    </row>
    <row r="1160">
      <c r="A1160" s="1"/>
      <c r="B1160" s="4" t="s">
        <v>3227</v>
      </c>
      <c r="D1160" s="9"/>
      <c r="E1160" s="17" t="s">
        <v>14</v>
      </c>
      <c r="F1160" s="28" t="str">
        <f>HYPERLINK("https://youtu.be/H9axCQVk2V4?t=78",'Players&gt;List'!$B10)</f>
        <v>[CAM]</v>
      </c>
      <c r="G1160" s="28" t="str">
        <f>HYPERLINK("https://youtu.be/Blq4muEq3cQ?t=40s",'Players&gt;List'!$B29)</f>
        <v>[SYS]</v>
      </c>
      <c r="H1160" s="1"/>
      <c r="I1160" s="1"/>
      <c r="J1160" s="1"/>
      <c r="K1160" s="1"/>
      <c r="L1160" s="1"/>
      <c r="M1160" s="1"/>
      <c r="N1160" s="1"/>
    </row>
    <row r="1161">
      <c r="A1161" s="1"/>
      <c r="B1161" s="25" t="s">
        <v>117</v>
      </c>
      <c r="E1161" s="26" t="s">
        <v>110</v>
      </c>
      <c r="F1161" s="1"/>
      <c r="G1161" s="1"/>
      <c r="H1161" s="1"/>
      <c r="I1161" s="1"/>
      <c r="J1161" s="1"/>
      <c r="K1161" s="1"/>
      <c r="L1161" s="1"/>
      <c r="M1161" s="1"/>
      <c r="N1161" s="1"/>
    </row>
    <row r="1162">
      <c r="A1162" s="1"/>
      <c r="B1162" s="14" t="s">
        <v>3231</v>
      </c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"/>
    </row>
    <row r="1163">
      <c r="A1163" s="1"/>
      <c r="B1163" s="4" t="s">
        <v>3232</v>
      </c>
      <c r="D1163" s="9"/>
      <c r="E1163" s="17" t="s">
        <v>14</v>
      </c>
      <c r="F1163" s="28" t="str">
        <f>HYPERLINK("https://youtu.be/H9axCQVk2V4?t=199",'Players&gt;List'!$B10)</f>
        <v>[CAM]</v>
      </c>
      <c r="G1163" s="28" t="str">
        <f>HYPERLINK("https://youtu.be/Blq4muEq3cQ?t=1m5s",'Players&gt;List'!$B29)</f>
        <v>[SYS]</v>
      </c>
      <c r="H1163" s="1"/>
      <c r="I1163" s="1"/>
      <c r="J1163" s="1"/>
      <c r="K1163" s="1"/>
      <c r="L1163" s="1"/>
      <c r="M1163" s="1"/>
      <c r="N1163" s="1"/>
    </row>
    <row r="1164">
      <c r="A1164" s="1"/>
      <c r="B1164" s="25" t="s">
        <v>117</v>
      </c>
      <c r="E1164" s="26" t="s">
        <v>110</v>
      </c>
      <c r="F1164" s="1"/>
      <c r="G1164" s="1"/>
      <c r="H1164" s="1"/>
      <c r="I1164" s="1"/>
      <c r="J1164" s="1"/>
      <c r="K1164" s="1"/>
      <c r="L1164" s="1"/>
      <c r="M1164" s="1"/>
      <c r="N1164" s="1"/>
    </row>
    <row r="1165">
      <c r="A1165" s="1"/>
      <c r="B1165" s="25" t="s">
        <v>108</v>
      </c>
      <c r="E1165" s="26" t="s">
        <v>132</v>
      </c>
      <c r="F1165" s="1"/>
      <c r="G1165" s="1"/>
      <c r="H1165" s="1"/>
      <c r="I1165" s="1"/>
      <c r="J1165" s="1"/>
      <c r="K1165" s="1"/>
      <c r="L1165" s="1"/>
      <c r="M1165" s="1"/>
      <c r="N1165" s="1"/>
    </row>
    <row r="1166">
      <c r="A1166" s="1"/>
      <c r="B1166" s="14" t="s">
        <v>3236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"/>
    </row>
    <row r="1167">
      <c r="A1167" s="1"/>
      <c r="B1167" s="4" t="s">
        <v>3238</v>
      </c>
      <c r="D1167" s="9"/>
      <c r="E1167" s="17" t="s">
        <v>14</v>
      </c>
      <c r="F1167" s="28" t="str">
        <f>HYPERLINK("https://youtu.be/H9axCQVk2V4?t=277",'Players&gt;List'!$B10)</f>
        <v>[CAM]</v>
      </c>
      <c r="G1167" s="1"/>
      <c r="H1167" s="1"/>
      <c r="I1167" s="1"/>
      <c r="J1167" s="1"/>
      <c r="K1167" s="1"/>
      <c r="L1167" s="1"/>
      <c r="M1167" s="1"/>
      <c r="N1167" s="1"/>
    </row>
    <row r="1168">
      <c r="A1168" s="1"/>
      <c r="B1168" s="25" t="s">
        <v>88</v>
      </c>
      <c r="E1168" s="26" t="s">
        <v>90</v>
      </c>
      <c r="F1168" s="28" t="str">
        <f>HYPERLINK("https://www.youtube.com/watch?v=X3LYK5M3DSw",'Players&gt;List'!$B28)</f>
        <v>[SUN]</v>
      </c>
      <c r="G1168" s="1"/>
      <c r="H1168" s="1"/>
      <c r="I1168" s="1"/>
      <c r="J1168" s="1"/>
      <c r="K1168" s="1"/>
      <c r="L1168" s="1"/>
      <c r="M1168" s="1"/>
      <c r="N1168" s="1"/>
    </row>
    <row r="1169">
      <c r="A1169" s="1"/>
      <c r="B1169" s="14" t="s">
        <v>3242</v>
      </c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"/>
    </row>
    <row r="1170">
      <c r="A1170" s="1"/>
      <c r="B1170" s="4" t="s">
        <v>3244</v>
      </c>
      <c r="D1170" s="9"/>
      <c r="E1170" s="17" t="s">
        <v>14</v>
      </c>
      <c r="F1170" s="28" t="str">
        <f>HYPERLINK("https://youtu.be/H9axCQVk2V4?t=293",'Players&gt;List'!$B10)</f>
        <v>[CAM]</v>
      </c>
      <c r="G1170" s="1"/>
      <c r="H1170" s="1"/>
      <c r="I1170" s="1"/>
      <c r="J1170" s="1"/>
      <c r="K1170" s="1"/>
      <c r="L1170" s="1"/>
      <c r="M1170" s="1"/>
      <c r="N1170" s="1"/>
    </row>
    <row r="1171">
      <c r="A1171" s="1"/>
      <c r="B1171" s="25" t="s">
        <v>166</v>
      </c>
      <c r="E1171" s="26" t="s">
        <v>110</v>
      </c>
      <c r="F1171" s="28" t="str">
        <f>HYPERLINK("https://www.youtube.com/watch?v=oHejacdha_Q",'Players&gt;List'!$B28)</f>
        <v>[SUN]</v>
      </c>
      <c r="G1171" s="1"/>
      <c r="H1171" s="1"/>
      <c r="I1171" s="1"/>
      <c r="J1171" s="1"/>
      <c r="K1171" s="1"/>
      <c r="L1171" s="1"/>
      <c r="M1171" s="1"/>
      <c r="N1171" s="1"/>
    </row>
    <row r="1172">
      <c r="A1172" s="1"/>
      <c r="B1172" s="14" t="s">
        <v>3245</v>
      </c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"/>
    </row>
    <row r="1173">
      <c r="A1173" s="1"/>
      <c r="B1173" s="4" t="s">
        <v>3246</v>
      </c>
      <c r="D1173" s="9"/>
      <c r="E1173" s="17" t="s">
        <v>14</v>
      </c>
      <c r="F1173" s="28" t="str">
        <f>HYPERLINK("https://youtu.be/H9axCQVk2V4?t=465",'Players&gt;List'!$B10)</f>
        <v>[CAM]</v>
      </c>
      <c r="G1173" s="1"/>
      <c r="H1173" s="1"/>
      <c r="I1173" s="1"/>
      <c r="J1173" s="1"/>
      <c r="K1173" s="1"/>
      <c r="L1173" s="1"/>
      <c r="M1173" s="1"/>
      <c r="N1173" s="1"/>
    </row>
    <row r="1174">
      <c r="A1174" s="1"/>
      <c r="B1174" s="25" t="s">
        <v>117</v>
      </c>
      <c r="E1174" s="26" t="s">
        <v>110</v>
      </c>
      <c r="F1174" s="1"/>
      <c r="G1174" s="1"/>
      <c r="H1174" s="1"/>
      <c r="I1174" s="1"/>
      <c r="J1174" s="1"/>
      <c r="K1174" s="1"/>
      <c r="L1174" s="1"/>
      <c r="M1174" s="1"/>
      <c r="N1174" s="1"/>
    </row>
    <row r="1175">
      <c r="A1175" s="1"/>
      <c r="B1175" s="14" t="s">
        <v>3248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"/>
    </row>
    <row r="1176">
      <c r="A1176" s="1"/>
      <c r="B1176" s="4" t="s">
        <v>3250</v>
      </c>
      <c r="D1176" s="9"/>
      <c r="E1176" s="17" t="s">
        <v>14</v>
      </c>
      <c r="F1176" s="28" t="str">
        <f>HYPERLINK("https://youtu.be/H9axCQVk2V4?t=598",'Players&gt;List'!$B10)</f>
        <v>[CAM]</v>
      </c>
      <c r="G1176" s="1"/>
      <c r="H1176" s="1"/>
      <c r="I1176" s="1"/>
      <c r="J1176" s="1"/>
      <c r="K1176" s="1"/>
      <c r="L1176" s="1"/>
      <c r="M1176" s="1"/>
      <c r="N1176" s="1"/>
    </row>
    <row r="1177">
      <c r="A1177" s="1"/>
      <c r="B1177" s="25" t="s">
        <v>2183</v>
      </c>
      <c r="E1177" s="26" t="s">
        <v>380</v>
      </c>
      <c r="F1177" s="28" t="str">
        <f>HYPERLINK("https://www.youtube.com/watch?v=fGH5YHMJY9c",'Players&gt;List'!$B15)</f>
        <v>[FNY]</v>
      </c>
      <c r="G1177" s="28" t="str">
        <f>HYPERLINK("https://www.youtube.com/watch?v=NtyXUtJxP68",'Players&gt;List'!$B8)</f>
        <v>[ABA]</v>
      </c>
      <c r="H1177" s="1"/>
      <c r="I1177" s="1"/>
      <c r="J1177" s="1"/>
      <c r="K1177" s="1"/>
      <c r="L1177" s="1"/>
      <c r="M1177" s="1"/>
      <c r="N1177" s="1"/>
    </row>
    <row r="1178">
      <c r="A1178" s="1"/>
      <c r="B1178" s="25" t="s">
        <v>149</v>
      </c>
      <c r="E1178" s="26" t="s">
        <v>147</v>
      </c>
      <c r="F1178" s="1"/>
      <c r="G1178" s="1"/>
      <c r="H1178" s="1"/>
      <c r="I1178" s="1"/>
      <c r="J1178" s="1"/>
      <c r="K1178" s="1"/>
      <c r="L1178" s="1"/>
      <c r="M1178" s="1"/>
      <c r="N1178" s="1"/>
    </row>
    <row r="1179">
      <c r="A1179" s="1"/>
      <c r="B1179" s="25" t="s">
        <v>335</v>
      </c>
      <c r="E1179" s="26" t="s">
        <v>147</v>
      </c>
      <c r="F1179" s="1"/>
      <c r="G1179" s="1"/>
      <c r="H1179" s="1"/>
      <c r="I1179" s="1"/>
      <c r="J1179" s="1"/>
      <c r="K1179" s="1"/>
      <c r="L1179" s="1"/>
      <c r="M1179" s="1"/>
      <c r="N1179" s="1"/>
    </row>
    <row r="1180">
      <c r="A1180" s="1"/>
      <c r="B1180" s="14" t="s">
        <v>3253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"/>
    </row>
    <row r="1181">
      <c r="A1181" s="1"/>
      <c r="B1181" s="4" t="s">
        <v>3255</v>
      </c>
      <c r="D1181" s="9"/>
      <c r="E1181" s="17" t="s">
        <v>14</v>
      </c>
      <c r="F1181" s="28" t="str">
        <f>HYPERLINK("https://youtu.be/H9axCQVk2V4?t=633",'Players&gt;List'!$B10)</f>
        <v>[CAM]</v>
      </c>
      <c r="G1181" s="1"/>
      <c r="H1181" s="1"/>
      <c r="I1181" s="1"/>
      <c r="J1181" s="1"/>
      <c r="K1181" s="1"/>
      <c r="L1181" s="1"/>
      <c r="M1181" s="1"/>
      <c r="N1181" s="1"/>
    </row>
    <row r="1182">
      <c r="A1182" s="1"/>
      <c r="B1182" s="25" t="s">
        <v>88</v>
      </c>
      <c r="E1182" s="26" t="s">
        <v>90</v>
      </c>
      <c r="F1182" s="1"/>
      <c r="G1182" s="1"/>
      <c r="H1182" s="1"/>
      <c r="I1182" s="1"/>
      <c r="J1182" s="1"/>
      <c r="K1182" s="1"/>
      <c r="L1182" s="1"/>
      <c r="M1182" s="1"/>
      <c r="N1182" s="1"/>
    </row>
    <row r="1183">
      <c r="A1183" s="1"/>
      <c r="B1183" s="14" t="s">
        <v>3259</v>
      </c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"/>
    </row>
    <row r="1184">
      <c r="A1184" s="1"/>
      <c r="B1184" s="4" t="s">
        <v>3261</v>
      </c>
      <c r="D1184" s="9"/>
      <c r="E1184" s="17" t="s">
        <v>14</v>
      </c>
      <c r="F1184" s="28" t="str">
        <f>HYPERLINK("https://youtu.be/sA5JrIflUx4?t=19",'Players&gt;List'!$B10)</f>
        <v>[CAM]</v>
      </c>
      <c r="G1184" s="1"/>
      <c r="H1184" s="1"/>
      <c r="I1184" s="1"/>
      <c r="J1184" s="1"/>
      <c r="K1184" s="1"/>
      <c r="L1184" s="1"/>
      <c r="M1184" s="1"/>
      <c r="N1184" s="1"/>
    </row>
    <row r="1185">
      <c r="A1185" s="1"/>
      <c r="B1185" s="25" t="s">
        <v>117</v>
      </c>
      <c r="E1185" s="26" t="s">
        <v>110</v>
      </c>
      <c r="F1185" s="1"/>
      <c r="G1185" s="1"/>
      <c r="H1185" s="1"/>
      <c r="I1185" s="1"/>
      <c r="J1185" s="1"/>
      <c r="K1185" s="1"/>
      <c r="L1185" s="1"/>
      <c r="M1185" s="1"/>
      <c r="N1185" s="1"/>
    </row>
    <row r="1186">
      <c r="A1186" s="1"/>
      <c r="B1186" s="14" t="s">
        <v>3263</v>
      </c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"/>
    </row>
    <row r="1187">
      <c r="A1187" s="1"/>
      <c r="B1187" s="4" t="s">
        <v>3265</v>
      </c>
      <c r="D1187" s="9"/>
      <c r="E1187" s="17" t="s">
        <v>14</v>
      </c>
      <c r="F1187" s="28" t="str">
        <f>HYPERLINK("https://youtu.be/sA5JrIflUx4?t=54",'Players&gt;List'!$B10)</f>
        <v>[CAM]</v>
      </c>
      <c r="G1187" s="1"/>
      <c r="H1187" s="1"/>
      <c r="I1187" s="1"/>
      <c r="J1187" s="1"/>
      <c r="K1187" s="1"/>
      <c r="L1187" s="1"/>
      <c r="M1187" s="1"/>
      <c r="N1187" s="1"/>
    </row>
    <row r="1188">
      <c r="A1188" s="1"/>
      <c r="B1188" s="25" t="s">
        <v>117</v>
      </c>
      <c r="E1188" s="26" t="s">
        <v>110</v>
      </c>
      <c r="F1188" s="1"/>
      <c r="G1188" s="1"/>
      <c r="H1188" s="1"/>
      <c r="I1188" s="1"/>
      <c r="J1188" s="1"/>
      <c r="K1188" s="1"/>
      <c r="L1188" s="1"/>
      <c r="M1188" s="1"/>
      <c r="N1188" s="1"/>
    </row>
    <row r="1189">
      <c r="A1189" s="1"/>
      <c r="B1189" s="14" t="s">
        <v>3270</v>
      </c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"/>
    </row>
    <row r="1190">
      <c r="A1190" s="1"/>
      <c r="B1190" s="4" t="s">
        <v>3272</v>
      </c>
      <c r="D1190" s="9"/>
      <c r="E1190" s="17" t="s">
        <v>14</v>
      </c>
      <c r="F1190" s="28" t="str">
        <f>HYPERLINK("https://youtu.be/sA5JrIflUx4?t=155",'Players&gt;List'!$B10)</f>
        <v>[CAM]</v>
      </c>
      <c r="G1190" s="1"/>
      <c r="H1190" s="1"/>
      <c r="I1190" s="1"/>
      <c r="J1190" s="1"/>
      <c r="K1190" s="1"/>
      <c r="L1190" s="1"/>
      <c r="M1190" s="1"/>
      <c r="N1190" s="1"/>
    </row>
    <row r="1191">
      <c r="A1191" s="1"/>
      <c r="B1191" s="25" t="s">
        <v>149</v>
      </c>
      <c r="E1191" s="26" t="s">
        <v>90</v>
      </c>
      <c r="F1191" s="1"/>
      <c r="G1191" s="1"/>
      <c r="H1191" s="1"/>
      <c r="I1191" s="1"/>
      <c r="J1191" s="1"/>
      <c r="K1191" s="1"/>
      <c r="L1191" s="1"/>
      <c r="M1191" s="1"/>
      <c r="N1191" s="1"/>
    </row>
    <row r="1192">
      <c r="A1192" s="1"/>
      <c r="B1192" s="14" t="s">
        <v>3273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"/>
    </row>
    <row r="1193">
      <c r="A1193" s="1"/>
      <c r="B1193" s="4" t="s">
        <v>3274</v>
      </c>
      <c r="D1193" s="9"/>
      <c r="E1193" s="17" t="s">
        <v>14</v>
      </c>
      <c r="F1193" s="28" t="str">
        <f>HYPERLINK("https://youtu.be/sA5JrIflUx4?t=269",'Players&gt;List'!$B10)</f>
        <v>[CAM]</v>
      </c>
      <c r="G1193" s="1"/>
      <c r="H1193" s="1"/>
      <c r="I1193" s="1"/>
      <c r="J1193" s="1"/>
      <c r="K1193" s="1"/>
      <c r="L1193" s="1"/>
      <c r="M1193" s="1"/>
      <c r="N1193" s="1"/>
    </row>
    <row r="1194">
      <c r="A1194" s="1"/>
      <c r="B1194" s="25" t="s">
        <v>88</v>
      </c>
      <c r="E1194" s="26" t="s">
        <v>90</v>
      </c>
      <c r="F1194" s="1"/>
      <c r="G1194" s="1"/>
      <c r="H1194" s="1"/>
      <c r="I1194" s="1"/>
      <c r="J1194" s="1"/>
      <c r="K1194" s="1"/>
      <c r="L1194" s="1"/>
      <c r="M1194" s="1"/>
      <c r="N1194" s="1"/>
    </row>
    <row r="1195">
      <c r="A1195" s="1"/>
      <c r="B1195" s="14" t="s">
        <v>3275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"/>
    </row>
    <row r="1196">
      <c r="A1196" s="1"/>
      <c r="B1196" s="4" t="s">
        <v>3276</v>
      </c>
      <c r="D1196" s="9"/>
      <c r="E1196" s="17" t="s">
        <v>14</v>
      </c>
      <c r="F1196" s="28" t="str">
        <f>HYPERLINK("https://youtu.be/sA5JrIflUx4?t=604",'Players&gt;List'!$B10)</f>
        <v>[CAM]</v>
      </c>
      <c r="G1196" s="1"/>
      <c r="H1196" s="1"/>
      <c r="I1196" s="1"/>
      <c r="J1196" s="1"/>
      <c r="K1196" s="1"/>
      <c r="L1196" s="1"/>
      <c r="M1196" s="1"/>
      <c r="N1196" s="1"/>
    </row>
    <row r="1197">
      <c r="A1197" s="1"/>
      <c r="B1197" s="25" t="s">
        <v>649</v>
      </c>
      <c r="E1197" s="26" t="s">
        <v>90</v>
      </c>
      <c r="F1197" s="28" t="str">
        <f>HYPERLINK("https://www.youtube.com/watch?v=kyKVZ7JoQTE",'Players&gt;List'!$B32)</f>
        <v>[XEL]</v>
      </c>
      <c r="G1197" s="28" t="str">
        <f>HYPERLINK("https://www.youtube.com/watch?v=HBtp_hFPhvk&amp;index=219&amp;t=0s&amp;list=PLbU6uWaIKemqNvTeRxK-Ay6PRg9iwCKVi",'Players&gt;List'!$B19)</f>
        <v>[HIT]</v>
      </c>
      <c r="H1197" s="28" t="str">
        <f>HYPERLINK("https://www.youtube.com/watch?v=JB7qOo2WyyM",'Players&gt;List'!$B14)</f>
        <v>[ESP]</v>
      </c>
      <c r="I1197" s="28" t="str">
        <f>HYPERLINK("https://www.youtube.com/watch?v=35g-zIgWzDw",'Players&gt;List'!$B8)</f>
        <v>[ABA]</v>
      </c>
      <c r="J1197" s="1"/>
      <c r="K1197" s="1"/>
      <c r="L1197" s="1"/>
      <c r="M1197" s="1"/>
      <c r="N1197" s="1"/>
    </row>
    <row r="1198">
      <c r="A1198" s="1"/>
      <c r="B1198" s="14" t="s">
        <v>3279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"/>
    </row>
    <row r="1199">
      <c r="A1199" s="1"/>
      <c r="B1199" s="4" t="s">
        <v>3282</v>
      </c>
      <c r="D1199" s="9"/>
      <c r="E1199" s="17" t="s">
        <v>14</v>
      </c>
      <c r="F1199" s="28" t="str">
        <f>HYPERLINK("https://youtu.be/Z0E4X1_ldpo?t=15",'Players&gt;List'!$B10)</f>
        <v>[CAM]</v>
      </c>
      <c r="G1199" s="1"/>
      <c r="H1199" s="1"/>
      <c r="I1199" s="1"/>
      <c r="J1199" s="1"/>
      <c r="K1199" s="1"/>
      <c r="L1199" s="1"/>
      <c r="M1199" s="1"/>
      <c r="N1199" s="1"/>
    </row>
    <row r="1200">
      <c r="A1200" s="1"/>
      <c r="B1200" s="25" t="s">
        <v>88</v>
      </c>
      <c r="E1200" s="26" t="s">
        <v>90</v>
      </c>
      <c r="F1200" s="1"/>
      <c r="G1200" s="1"/>
      <c r="H1200" s="1"/>
      <c r="I1200" s="1"/>
      <c r="J1200" s="1"/>
      <c r="K1200" s="1"/>
      <c r="L1200" s="1"/>
      <c r="M1200" s="1"/>
      <c r="N1200" s="1"/>
    </row>
    <row r="1201">
      <c r="A1201" s="1"/>
      <c r="B1201" s="14" t="s">
        <v>3283</v>
      </c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"/>
    </row>
    <row r="1202">
      <c r="A1202" s="1"/>
      <c r="B1202" s="4" t="s">
        <v>3284</v>
      </c>
      <c r="D1202" s="9"/>
      <c r="E1202" s="17" t="s">
        <v>14</v>
      </c>
      <c r="F1202" s="28" t="str">
        <f>HYPERLINK("https://youtu.be/Z0E4X1_ldpo?t=95",'Players&gt;List'!$B10)</f>
        <v>[CAM]</v>
      </c>
      <c r="G1202" s="1"/>
      <c r="H1202" s="1"/>
      <c r="I1202" s="1"/>
      <c r="J1202" s="1"/>
      <c r="K1202" s="1"/>
      <c r="L1202" s="1"/>
      <c r="M1202" s="1"/>
      <c r="N1202" s="1"/>
    </row>
    <row r="1203">
      <c r="A1203" s="1"/>
      <c r="B1203" s="25" t="s">
        <v>2162</v>
      </c>
      <c r="E1203" s="26" t="s">
        <v>234</v>
      </c>
      <c r="F1203" s="28" t="str">
        <f>HYPERLINK("https://www.youtube.com/watch?v=IAWVoYMr3GA",'Players&gt;List'!$B32)</f>
        <v>[XEL]</v>
      </c>
      <c r="G1203" s="28" t="str">
        <f>HYPERLINK("https://youtu.be/mk2bO8usccM",'Players&gt;List'!$B8)</f>
        <v>[ABA]</v>
      </c>
      <c r="H1203" s="1"/>
      <c r="I1203" s="1"/>
      <c r="J1203" s="1"/>
      <c r="K1203" s="1"/>
      <c r="L1203" s="1"/>
      <c r="M1203" s="1"/>
      <c r="N1203" s="1"/>
    </row>
    <row r="1204">
      <c r="A1204" s="1"/>
      <c r="B1204" s="25" t="s">
        <v>117</v>
      </c>
      <c r="E1204" s="26" t="s">
        <v>132</v>
      </c>
      <c r="F1204" s="1"/>
      <c r="G1204" s="1"/>
      <c r="H1204" s="1"/>
      <c r="I1204" s="1"/>
      <c r="J1204" s="1"/>
      <c r="K1204" s="1"/>
      <c r="L1204" s="1"/>
      <c r="M1204" s="1"/>
      <c r="N1204" s="1"/>
    </row>
    <row r="1205">
      <c r="A1205" s="1"/>
      <c r="B1205" s="25" t="s">
        <v>335</v>
      </c>
      <c r="E1205" s="26" t="s">
        <v>147</v>
      </c>
      <c r="F1205" s="1"/>
      <c r="G1205" s="1"/>
      <c r="H1205" s="1"/>
      <c r="I1205" s="1"/>
      <c r="J1205" s="1"/>
      <c r="K1205" s="1"/>
      <c r="L1205" s="1"/>
      <c r="M1205" s="1"/>
      <c r="N1205" s="1"/>
    </row>
    <row r="1206">
      <c r="A1206" s="1"/>
      <c r="B1206" s="25" t="s">
        <v>157</v>
      </c>
      <c r="E1206" s="26" t="s">
        <v>132</v>
      </c>
      <c r="F1206" s="1"/>
      <c r="G1206" s="1"/>
      <c r="H1206" s="1"/>
      <c r="I1206" s="1"/>
      <c r="J1206" s="1"/>
      <c r="K1206" s="1"/>
      <c r="L1206" s="1"/>
      <c r="M1206" s="1"/>
      <c r="N1206" s="1"/>
    </row>
    <row r="1207">
      <c r="A1207" s="1"/>
      <c r="B1207" s="25" t="s">
        <v>108</v>
      </c>
      <c r="E1207" s="26" t="s">
        <v>132</v>
      </c>
      <c r="F1207" s="1"/>
      <c r="G1207" s="1"/>
      <c r="H1207" s="1"/>
      <c r="I1207" s="1"/>
      <c r="J1207" s="1"/>
      <c r="K1207" s="1"/>
      <c r="L1207" s="1"/>
      <c r="M1207" s="1"/>
      <c r="N1207" s="1"/>
    </row>
    <row r="1208">
      <c r="A1208" s="1"/>
      <c r="B1208" s="25" t="s">
        <v>2171</v>
      </c>
      <c r="E1208" s="26" t="s">
        <v>1418</v>
      </c>
      <c r="F1208" s="1"/>
      <c r="G1208" s="1"/>
      <c r="H1208" s="1"/>
      <c r="I1208" s="1"/>
      <c r="J1208" s="1"/>
      <c r="K1208" s="1"/>
      <c r="L1208" s="1"/>
      <c r="M1208" s="1"/>
      <c r="N1208" s="1"/>
    </row>
    <row r="1209">
      <c r="A1209" s="1"/>
      <c r="B1209" s="14" t="s">
        <v>3289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"/>
    </row>
    <row r="1210">
      <c r="A1210" s="1"/>
      <c r="B1210" s="4" t="s">
        <v>3291</v>
      </c>
      <c r="D1210" s="9"/>
      <c r="E1210" s="17" t="s">
        <v>14</v>
      </c>
      <c r="F1210" s="28" t="str">
        <f>HYPERLINK("https://youtu.be/Z0E4X1_ldpo?t=149",'Players&gt;List'!$B10)</f>
        <v>[CAM]</v>
      </c>
      <c r="G1210" s="1"/>
      <c r="H1210" s="1"/>
      <c r="I1210" s="1"/>
      <c r="J1210" s="1"/>
      <c r="K1210" s="1"/>
      <c r="L1210" s="1"/>
      <c r="M1210" s="1"/>
      <c r="N1210" s="1"/>
    </row>
    <row r="1211">
      <c r="A1211" s="1"/>
      <c r="B1211" s="25" t="s">
        <v>422</v>
      </c>
      <c r="E1211" s="26" t="s">
        <v>110</v>
      </c>
      <c r="F1211" s="1"/>
      <c r="G1211" s="1"/>
      <c r="H1211" s="1"/>
      <c r="I1211" s="1"/>
      <c r="J1211" s="1"/>
      <c r="K1211" s="1"/>
      <c r="L1211" s="1"/>
      <c r="M1211" s="1"/>
      <c r="N1211" s="1"/>
    </row>
    <row r="1212">
      <c r="A1212" s="1"/>
      <c r="B1212" s="14" t="s">
        <v>3295</v>
      </c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"/>
    </row>
    <row r="1213">
      <c r="A1213" s="1"/>
      <c r="B1213" s="4" t="s">
        <v>3297</v>
      </c>
      <c r="D1213" s="9"/>
      <c r="E1213" s="17" t="s">
        <v>14</v>
      </c>
      <c r="F1213" s="28" t="str">
        <f>HYPERLINK("https://youtu.be/Z0E4X1_ldpo?t=210",'Players&gt;List'!$B10)</f>
        <v>[CAM]</v>
      </c>
      <c r="G1213" s="1"/>
      <c r="H1213" s="1"/>
      <c r="I1213" s="1"/>
      <c r="J1213" s="1"/>
      <c r="K1213" s="1"/>
      <c r="L1213" s="1"/>
      <c r="M1213" s="1"/>
      <c r="N1213" s="1"/>
    </row>
    <row r="1214">
      <c r="A1214" s="1"/>
      <c r="B1214" s="25" t="s">
        <v>387</v>
      </c>
      <c r="E1214" s="26" t="s">
        <v>110</v>
      </c>
      <c r="F1214" s="28" t="str">
        <f>HYPERLINK("https://www.youtube.com/watch?v=3MBFJiCNT9s",'Players&gt;List'!$B32)</f>
        <v>[XEL]</v>
      </c>
      <c r="G1214" s="28" t="str">
        <f>HYPERLINK("https://www.youtube.com/watch?v=zgY_YFLHRcc&amp;index=218&amp;t=0s&amp;list=PLbU6uWaIKemqNvTeRxK-Ay6PRg9iwCKVi",'Players&gt;List'!$B19)</f>
        <v>[HIT]</v>
      </c>
      <c r="H1214" s="28" t="str">
        <f>HYPERLINK("https://www.youtube.com/watch?v=FOUJymGBrUY",'Players&gt;List'!$B8)</f>
        <v>[ABA]</v>
      </c>
      <c r="I1214" s="1"/>
      <c r="J1214" s="1"/>
      <c r="K1214" s="1"/>
      <c r="L1214" s="1"/>
      <c r="M1214" s="1"/>
      <c r="N1214" s="1"/>
    </row>
    <row r="1215">
      <c r="A1215" s="1"/>
      <c r="B1215" s="14" t="s">
        <v>3305</v>
      </c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"/>
    </row>
    <row r="1216">
      <c r="A1216" s="1"/>
      <c r="B1216" s="4" t="s">
        <v>3306</v>
      </c>
      <c r="D1216" s="9"/>
      <c r="E1216" s="17" t="s">
        <v>14</v>
      </c>
      <c r="F1216" s="28" t="str">
        <f>HYPERLINK("https://youtu.be/Z0E4X1_ldpo?t=703",'Players&gt;List'!$B10)</f>
        <v>[CAM]</v>
      </c>
      <c r="G1216" s="1"/>
      <c r="H1216" s="1"/>
      <c r="I1216" s="1"/>
      <c r="J1216" s="1"/>
      <c r="K1216" s="1"/>
      <c r="L1216" s="1"/>
      <c r="M1216" s="1"/>
      <c r="N1216" s="1"/>
    </row>
    <row r="1217">
      <c r="A1217" s="1"/>
      <c r="B1217" s="25" t="s">
        <v>655</v>
      </c>
      <c r="E1217" s="26" t="s">
        <v>234</v>
      </c>
      <c r="F1217" s="1"/>
      <c r="G1217" s="1"/>
      <c r="H1217" s="1"/>
      <c r="I1217" s="1"/>
      <c r="J1217" s="1"/>
      <c r="K1217" s="1"/>
      <c r="L1217" s="1"/>
      <c r="M1217" s="1"/>
      <c r="N1217" s="1"/>
    </row>
    <row r="1218">
      <c r="A1218" s="1"/>
      <c r="B1218" s="25" t="s">
        <v>649</v>
      </c>
      <c r="E1218" s="26" t="s">
        <v>147</v>
      </c>
      <c r="F1218" s="1"/>
      <c r="G1218" s="1"/>
      <c r="H1218" s="1"/>
      <c r="I1218" s="1"/>
      <c r="J1218" s="1"/>
      <c r="K1218" s="1"/>
      <c r="L1218" s="1"/>
      <c r="M1218" s="1"/>
      <c r="N1218" s="1"/>
    </row>
    <row r="1219">
      <c r="A1219" s="1"/>
      <c r="B1219" s="25" t="s">
        <v>149</v>
      </c>
      <c r="E1219" s="26" t="s">
        <v>147</v>
      </c>
      <c r="F1219" s="1"/>
      <c r="G1219" s="1"/>
      <c r="H1219" s="1"/>
      <c r="I1219" s="1"/>
      <c r="J1219" s="1"/>
      <c r="K1219" s="1"/>
      <c r="L1219" s="1"/>
      <c r="M1219" s="1"/>
      <c r="N1219" s="1"/>
    </row>
    <row r="1220">
      <c r="A1220" s="1"/>
      <c r="B1220" s="25" t="s">
        <v>400</v>
      </c>
      <c r="E1220" s="26" t="s">
        <v>358</v>
      </c>
      <c r="F1220" s="28" t="str">
        <f>HYPERLINK("https://www.youtube.com/watch?v=eWukEQOyTmI",'Players&gt;List'!$B32)</f>
        <v>[XEL]</v>
      </c>
      <c r="G1220" s="1"/>
      <c r="H1220" s="1"/>
      <c r="I1220" s="1"/>
      <c r="J1220" s="1"/>
      <c r="K1220" s="1"/>
      <c r="L1220" s="1"/>
      <c r="M1220" s="1"/>
      <c r="N1220" s="1"/>
    </row>
    <row r="1221">
      <c r="A1221" s="1"/>
      <c r="B1221" s="25" t="s">
        <v>157</v>
      </c>
      <c r="E1221" s="26" t="s">
        <v>132</v>
      </c>
      <c r="F1221" s="28" t="str">
        <f>HYPERLINK("https://www.youtube.com/watch?v=oxV5gWTNj1w",'Players&gt;List'!$B32)</f>
        <v>[XEL]</v>
      </c>
      <c r="G1221" s="28" t="str">
        <f>HYPERLINK("https://www.youtube.com/watch?v=XnTG3KAI7dQ&amp;index=327&amp;list=PLbU6uWaIKemqNvTeRxK-Ay6PRg9iwCKVi&amp;t=0s",'Players&gt;List'!$B19)</f>
        <v>[HIT]</v>
      </c>
      <c r="H1221" s="28" t="str">
        <f>HYPERLINK("https://www.youtube.com/watch?v=tdM1C8X0mz0",'Players&gt;List'!$B15)</f>
        <v>[FNY]</v>
      </c>
      <c r="I1221" s="28" t="str">
        <f>HYPERLINK("https://youtu.be/7qu8Hr0ipm0",'Players&gt;List'!$B14)</f>
        <v>[ESP]</v>
      </c>
      <c r="J1221" s="1"/>
      <c r="K1221" s="1"/>
      <c r="L1221" s="1"/>
      <c r="M1221" s="1"/>
      <c r="N1221" s="1"/>
    </row>
    <row r="1222">
      <c r="A1222" s="1"/>
      <c r="B1222" s="14" t="s">
        <v>3314</v>
      </c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"/>
    </row>
    <row r="1223">
      <c r="A1223" s="1"/>
      <c r="B1223" s="4" t="s">
        <v>3315</v>
      </c>
      <c r="D1223" s="9"/>
      <c r="E1223" s="17" t="s">
        <v>14</v>
      </c>
      <c r="F1223" s="28" t="str">
        <f>HYPERLINK("https://youtu.be/3ngjBeAHFkI?t=14",'Players&gt;List'!$B10)</f>
        <v>[CAM]</v>
      </c>
      <c r="G1223" s="1"/>
      <c r="H1223" s="1"/>
      <c r="I1223" s="1"/>
      <c r="J1223" s="1"/>
      <c r="K1223" s="1"/>
      <c r="L1223" s="1"/>
      <c r="M1223" s="1"/>
      <c r="N1223" s="1"/>
    </row>
    <row r="1224">
      <c r="A1224" s="1"/>
      <c r="B1224" s="25" t="s">
        <v>117</v>
      </c>
      <c r="E1224" s="26" t="s">
        <v>110</v>
      </c>
      <c r="F1224" s="1"/>
      <c r="G1224" s="1"/>
      <c r="H1224" s="1"/>
      <c r="I1224" s="1"/>
      <c r="J1224" s="1"/>
      <c r="K1224" s="1"/>
      <c r="L1224" s="1"/>
      <c r="M1224" s="1"/>
      <c r="N1224" s="1"/>
    </row>
    <row r="1225">
      <c r="A1225" s="1"/>
      <c r="B1225" s="14" t="s">
        <v>3319</v>
      </c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"/>
    </row>
    <row r="1226">
      <c r="A1226" s="1"/>
      <c r="B1226" s="4" t="s">
        <v>3321</v>
      </c>
      <c r="D1226" s="9"/>
      <c r="E1226" s="17" t="s">
        <v>14</v>
      </c>
      <c r="F1226" s="28" t="str">
        <f>HYPERLINK("https://youtu.be/3ngjBeAHFkI?t=50",'Players&gt;List'!$B10)</f>
        <v>[CAM]</v>
      </c>
      <c r="G1226" s="1"/>
      <c r="H1226" s="1"/>
      <c r="I1226" s="1"/>
      <c r="J1226" s="1"/>
      <c r="K1226" s="1"/>
      <c r="L1226" s="1"/>
      <c r="M1226" s="1"/>
      <c r="N1226" s="1"/>
    </row>
    <row r="1227">
      <c r="A1227" s="1"/>
      <c r="B1227" s="25" t="s">
        <v>108</v>
      </c>
      <c r="E1227" s="26" t="s">
        <v>110</v>
      </c>
      <c r="F1227" s="1"/>
      <c r="G1227" s="1"/>
      <c r="H1227" s="1"/>
      <c r="I1227" s="1"/>
      <c r="J1227" s="1"/>
      <c r="K1227" s="1"/>
      <c r="L1227" s="1"/>
      <c r="M1227" s="1"/>
      <c r="N1227" s="1"/>
    </row>
    <row r="1228">
      <c r="A1228" s="1"/>
      <c r="B1228" s="14" t="s">
        <v>3325</v>
      </c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"/>
    </row>
    <row r="1229">
      <c r="A1229" s="1"/>
      <c r="B1229" s="4" t="s">
        <v>3327</v>
      </c>
      <c r="D1229" s="9"/>
      <c r="E1229" s="17" t="s">
        <v>14</v>
      </c>
      <c r="F1229" s="28" t="str">
        <f>HYPERLINK("https://youtu.be/3ngjBeAHFkI?t=79",'Players&gt;List'!$B10)</f>
        <v>[CAM]</v>
      </c>
      <c r="G1229" s="1"/>
      <c r="H1229" s="1"/>
      <c r="I1229" s="1"/>
      <c r="J1229" s="1"/>
      <c r="K1229" s="1"/>
      <c r="L1229" s="1"/>
      <c r="M1229" s="1"/>
      <c r="N1229" s="1"/>
    </row>
    <row r="1230">
      <c r="A1230" s="1"/>
      <c r="B1230" s="25" t="s">
        <v>108</v>
      </c>
      <c r="E1230" s="26" t="s">
        <v>110</v>
      </c>
      <c r="F1230" s="28" t="str">
        <f>HYPERLINK("https://www.youtube.com/watch?v=oDmBS7wf3YI&amp;index=113&amp;list=PLbU6uWaIKemqNvTeRxK-Ay6PRg9iwCKVi&amp;t=0s",'Players&gt;List'!$B19)</f>
        <v>[HIT]</v>
      </c>
      <c r="G1230" s="28" t="str">
        <f>HYPERLINK("https://www.youtube.com/watch?v=jPBV6CuEgBU",'Players&gt;List'!$B28)</f>
        <v>[SUN]</v>
      </c>
      <c r="H1230" s="1"/>
      <c r="I1230" s="1"/>
      <c r="J1230" s="1"/>
      <c r="K1230" s="1"/>
      <c r="L1230" s="1"/>
      <c r="M1230" s="1"/>
      <c r="N1230" s="1"/>
    </row>
    <row r="1231">
      <c r="A1231" s="1"/>
      <c r="B1231" s="14" t="s">
        <v>3331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"/>
    </row>
    <row r="1232">
      <c r="A1232" s="1"/>
      <c r="B1232" s="4" t="s">
        <v>3332</v>
      </c>
      <c r="D1232" s="9"/>
      <c r="E1232" s="17" t="s">
        <v>14</v>
      </c>
      <c r="F1232" s="28" t="str">
        <f>HYPERLINK("https://youtu.be/3ngjBeAHFkI?t=116",'Players&gt;List'!$B10)</f>
        <v>[CAM]</v>
      </c>
      <c r="G1232" s="1"/>
      <c r="H1232" s="1"/>
      <c r="I1232" s="1"/>
      <c r="J1232" s="1"/>
      <c r="K1232" s="1"/>
      <c r="L1232" s="1"/>
      <c r="M1232" s="1"/>
      <c r="N1232" s="1"/>
    </row>
    <row r="1233">
      <c r="A1233" s="1"/>
      <c r="B1233" s="25" t="s">
        <v>88</v>
      </c>
      <c r="E1233" s="26" t="s">
        <v>90</v>
      </c>
      <c r="F1233" s="1"/>
      <c r="G1233" s="1"/>
      <c r="H1233" s="1"/>
      <c r="I1233" s="1"/>
      <c r="J1233" s="1"/>
      <c r="K1233" s="1"/>
      <c r="L1233" s="1"/>
      <c r="M1233" s="1"/>
      <c r="N1233" s="1"/>
    </row>
    <row r="1234">
      <c r="A1234" s="1"/>
      <c r="B1234" s="14" t="s">
        <v>3333</v>
      </c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"/>
    </row>
    <row r="1235">
      <c r="A1235" s="1"/>
      <c r="B1235" s="4" t="s">
        <v>3335</v>
      </c>
      <c r="D1235" s="9"/>
      <c r="E1235" s="17" t="s">
        <v>14</v>
      </c>
      <c r="F1235" s="28" t="str">
        <f>HYPERLINK("https://youtu.be/3ngjBeAHFkI?t=308",'Players&gt;List'!$B10)</f>
        <v>[CAM]</v>
      </c>
      <c r="G1235" s="1"/>
      <c r="H1235" s="1"/>
      <c r="I1235" s="1"/>
      <c r="J1235" s="1"/>
      <c r="K1235" s="1"/>
      <c r="L1235" s="1"/>
      <c r="M1235" s="1"/>
      <c r="N1235" s="1"/>
    </row>
    <row r="1236">
      <c r="A1236" s="1"/>
      <c r="B1236" s="25" t="s">
        <v>88</v>
      </c>
      <c r="E1236" s="26" t="s">
        <v>90</v>
      </c>
      <c r="F1236" s="1"/>
      <c r="G1236" s="1"/>
      <c r="H1236" s="1"/>
      <c r="I1236" s="1"/>
      <c r="J1236" s="1"/>
      <c r="K1236" s="1"/>
      <c r="L1236" s="1"/>
      <c r="M1236" s="1"/>
      <c r="N1236" s="1"/>
    </row>
    <row r="1237">
      <c r="A1237" s="1"/>
      <c r="B1237" s="25" t="s">
        <v>1719</v>
      </c>
      <c r="E1237" s="26" t="s">
        <v>132</v>
      </c>
      <c r="F1237" s="1"/>
      <c r="G1237" s="1"/>
      <c r="H1237" s="1"/>
      <c r="I1237" s="1"/>
      <c r="J1237" s="1"/>
      <c r="K1237" s="1"/>
      <c r="L1237" s="1"/>
      <c r="M1237" s="1"/>
      <c r="N1237" s="1"/>
    </row>
    <row r="1238">
      <c r="A1238" s="1"/>
      <c r="B1238" s="14" t="s">
        <v>3338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"/>
    </row>
    <row r="1239">
      <c r="A1239" s="1"/>
      <c r="B1239" s="4" t="s">
        <v>3340</v>
      </c>
      <c r="D1239" s="9"/>
      <c r="E1239" s="17" t="s">
        <v>14</v>
      </c>
      <c r="F1239" s="28" t="str">
        <f>HYPERLINK("https://youtu.be/3ngjBeAHFkI?t=408",'Players&gt;List'!$B10)</f>
        <v>[CAM]</v>
      </c>
      <c r="G1239" s="28" t="str">
        <f>HYPERLINK("https://www.youtube.com/watch?v=q7AX_8mESzc",'Players&gt;List'!$B29)</f>
        <v>[SYS]</v>
      </c>
      <c r="H1239" s="1"/>
      <c r="I1239" s="1"/>
      <c r="J1239" s="1"/>
      <c r="K1239" s="1"/>
      <c r="L1239" s="1"/>
      <c r="M1239" s="1"/>
      <c r="N1239" s="1"/>
    </row>
    <row r="1240">
      <c r="A1240" s="1"/>
      <c r="B1240" s="25" t="s">
        <v>88</v>
      </c>
      <c r="E1240" s="26" t="s">
        <v>90</v>
      </c>
      <c r="F1240" s="28" t="str">
        <f>HYPERLINK("https://www.youtube.com/watch?v=MJzXwT4MkI4",'Players&gt;List'!$B28)</f>
        <v>[SUN]</v>
      </c>
      <c r="G1240" s="1"/>
      <c r="H1240" s="1"/>
      <c r="I1240" s="1"/>
      <c r="J1240" s="1"/>
      <c r="K1240" s="1"/>
      <c r="L1240" s="1"/>
      <c r="M1240" s="1"/>
      <c r="N1240" s="1"/>
    </row>
    <row r="1241">
      <c r="A1241" s="1"/>
      <c r="B1241" s="14" t="s">
        <v>3344</v>
      </c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"/>
    </row>
    <row r="1242">
      <c r="A1242" s="1"/>
      <c r="B1242" s="4" t="s">
        <v>3346</v>
      </c>
      <c r="D1242" s="9"/>
      <c r="E1242" s="17" t="s">
        <v>14</v>
      </c>
      <c r="F1242" s="28" t="str">
        <f>HYPERLINK("https://youtu.be/3ngjBeAHFkI?t=432",'Players&gt;List'!$B10)</f>
        <v>[CAM]</v>
      </c>
      <c r="G1242" s="28" t="str">
        <f>HYPERLINK("https://youtu.be/q7AX_8mESzc?t=12s",'Players&gt;List'!$B29)</f>
        <v>[SYS]</v>
      </c>
      <c r="H1242" s="1"/>
      <c r="I1242" s="1"/>
      <c r="J1242" s="1"/>
      <c r="K1242" s="1"/>
      <c r="L1242" s="1"/>
      <c r="M1242" s="1"/>
      <c r="N1242" s="1"/>
    </row>
    <row r="1243">
      <c r="A1243" s="1"/>
      <c r="B1243" s="25" t="s">
        <v>117</v>
      </c>
      <c r="E1243" s="26" t="s">
        <v>110</v>
      </c>
      <c r="F1243" s="28" t="str">
        <f>HYPERLINK("https://www.youtube.com/watch?v=gWwRh9PoR4E",'Players&gt;List'!$B8)</f>
        <v>[ABA]</v>
      </c>
      <c r="G1243" s="1"/>
      <c r="H1243" s="1"/>
      <c r="I1243" s="1"/>
      <c r="J1243" s="1"/>
      <c r="K1243" s="1"/>
      <c r="L1243" s="1"/>
      <c r="M1243" s="1"/>
      <c r="N1243" s="1"/>
    </row>
    <row r="1244">
      <c r="A1244" s="1"/>
      <c r="B1244" s="25" t="s">
        <v>108</v>
      </c>
      <c r="E1244" s="26" t="s">
        <v>132</v>
      </c>
      <c r="F1244" s="1"/>
      <c r="G1244" s="1"/>
      <c r="H1244" s="1"/>
      <c r="I1244" s="1"/>
      <c r="J1244" s="1"/>
      <c r="K1244" s="1"/>
      <c r="L1244" s="1"/>
      <c r="M1244" s="1"/>
      <c r="N1244" s="1"/>
    </row>
    <row r="1245">
      <c r="A1245" s="1"/>
      <c r="B1245" s="14" t="s">
        <v>3353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"/>
    </row>
    <row r="1246">
      <c r="A1246" s="1"/>
      <c r="B1246" s="4" t="s">
        <v>3355</v>
      </c>
      <c r="D1246" s="9"/>
      <c r="E1246" s="17" t="s">
        <v>14</v>
      </c>
      <c r="F1246" s="28" t="str">
        <f>HYPERLINK("https://youtu.be/3ngjBeAHFkI?t=474",'Players&gt;List'!$B10)</f>
        <v>[CAM]</v>
      </c>
      <c r="G1246" s="28" t="str">
        <f>HYPERLINK("https://youtu.be/q7AX_8mESzc?t=45s",'Players&gt;List'!$B29)</f>
        <v>[SYS]</v>
      </c>
      <c r="H1246" s="1"/>
      <c r="I1246" s="1"/>
      <c r="J1246" s="1"/>
      <c r="K1246" s="1"/>
      <c r="L1246" s="1"/>
      <c r="M1246" s="1"/>
      <c r="N1246" s="1"/>
    </row>
    <row r="1247">
      <c r="A1247" s="1"/>
      <c r="B1247" s="25" t="s">
        <v>117</v>
      </c>
      <c r="E1247" s="26" t="s">
        <v>110</v>
      </c>
      <c r="F1247" s="28" t="str">
        <f>HYPERLINK("https://www.youtube.com/watch?v=cD1TNv34eOA",'Players&gt;List'!$B8)</f>
        <v>[ABA]</v>
      </c>
      <c r="G1247" s="1"/>
      <c r="H1247" s="1"/>
      <c r="I1247" s="1"/>
      <c r="J1247" s="1"/>
      <c r="K1247" s="1"/>
      <c r="L1247" s="1"/>
      <c r="M1247" s="1"/>
      <c r="N1247" s="1"/>
    </row>
    <row r="1248">
      <c r="A1248" s="1"/>
      <c r="B1248" s="14" t="s">
        <v>3359</v>
      </c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"/>
    </row>
    <row r="1249">
      <c r="A1249" s="1"/>
      <c r="B1249" s="4" t="s">
        <v>3360</v>
      </c>
      <c r="D1249" s="9"/>
      <c r="E1249" s="17" t="s">
        <v>14</v>
      </c>
      <c r="F1249" s="28" t="str">
        <f>HYPERLINK("https://youtu.be/3ngjBeAHFkI?t=496",'Players&gt;List'!$B10)</f>
        <v>[CAM]</v>
      </c>
      <c r="G1249" s="28" t="str">
        <f>HYPERLINK("https://youtu.be/q7AX_8mESzc?t=1m9s",'Players&gt;List'!$B29)</f>
        <v>[SYS]</v>
      </c>
      <c r="H1249" s="1"/>
      <c r="I1249" s="1"/>
      <c r="J1249" s="1"/>
      <c r="K1249" s="1"/>
      <c r="L1249" s="1"/>
      <c r="M1249" s="1"/>
      <c r="N1249" s="1"/>
    </row>
    <row r="1250">
      <c r="A1250" s="1"/>
      <c r="B1250" s="25" t="s">
        <v>88</v>
      </c>
      <c r="E1250" s="26" t="s">
        <v>90</v>
      </c>
      <c r="F1250" s="1"/>
      <c r="G1250" s="1"/>
      <c r="H1250" s="1"/>
      <c r="I1250" s="1"/>
      <c r="J1250" s="1"/>
      <c r="K1250" s="1"/>
      <c r="L1250" s="1"/>
      <c r="M1250" s="1"/>
      <c r="N1250" s="1"/>
    </row>
    <row r="1251">
      <c r="A1251" s="1"/>
      <c r="B1251" s="14" t="s">
        <v>3363</v>
      </c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"/>
    </row>
    <row r="1252">
      <c r="A1252" s="1"/>
      <c r="B1252" s="4" t="s">
        <v>3365</v>
      </c>
      <c r="D1252" s="9"/>
      <c r="E1252" s="17" t="s">
        <v>14</v>
      </c>
      <c r="F1252" s="28" t="str">
        <f>HYPERLINK("https://youtu.be/3ngjBeAHFkI?t=551",'Players&gt;List'!$B10)</f>
        <v>[CAM]</v>
      </c>
      <c r="G1252" s="28" t="str">
        <f>HYPERLINK("https://youtu.be/q7AX_8mESzc?t=1m30s",'Players&gt;List'!$B29)</f>
        <v>[SYS]</v>
      </c>
      <c r="H1252" s="1"/>
      <c r="I1252" s="1"/>
      <c r="J1252" s="1"/>
      <c r="K1252" s="1"/>
      <c r="L1252" s="1"/>
      <c r="M1252" s="1"/>
      <c r="N1252" s="1"/>
    </row>
    <row r="1253">
      <c r="A1253" s="1"/>
      <c r="B1253" s="25" t="s">
        <v>117</v>
      </c>
      <c r="E1253" s="26" t="s">
        <v>110</v>
      </c>
      <c r="F1253" s="1"/>
      <c r="G1253" s="1"/>
      <c r="H1253" s="1"/>
      <c r="I1253" s="1"/>
      <c r="J1253" s="1"/>
      <c r="K1253" s="1"/>
      <c r="L1253" s="1"/>
      <c r="M1253" s="1"/>
      <c r="N1253" s="1"/>
    </row>
    <row r="1254">
      <c r="A1254" s="1"/>
      <c r="B1254" s="14" t="s">
        <v>3370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"/>
    </row>
    <row r="1255">
      <c r="A1255" s="1"/>
      <c r="B1255" s="4" t="s">
        <v>3373</v>
      </c>
      <c r="D1255" s="9"/>
      <c r="E1255" s="17" t="s">
        <v>14</v>
      </c>
      <c r="F1255" s="28" t="str">
        <f>HYPERLINK("https://youtu.be/fBdYoZAh94I?t=16",'Players&gt;List'!$B10)</f>
        <v>[CAM]</v>
      </c>
      <c r="G1255" s="1"/>
      <c r="H1255" s="1"/>
      <c r="I1255" s="1"/>
      <c r="J1255" s="1"/>
      <c r="K1255" s="1"/>
      <c r="L1255" s="1"/>
      <c r="M1255" s="1"/>
      <c r="N1255" s="1"/>
    </row>
    <row r="1256">
      <c r="A1256" s="1"/>
      <c r="B1256" s="25" t="s">
        <v>117</v>
      </c>
      <c r="E1256" s="26" t="s">
        <v>110</v>
      </c>
      <c r="F1256" s="28" t="str">
        <f>HYPERLINK("https://www.twitch.tv/videos/400726590",'Players&gt;List'!$B24)</f>
        <v>[NIM]</v>
      </c>
      <c r="G1256" s="1"/>
      <c r="H1256" s="1"/>
      <c r="I1256" s="1"/>
      <c r="J1256" s="1"/>
      <c r="K1256" s="1"/>
      <c r="L1256" s="1"/>
      <c r="M1256" s="1"/>
      <c r="N1256" s="1"/>
    </row>
    <row r="1257">
      <c r="A1257" s="1"/>
      <c r="B1257" s="14" t="s">
        <v>3376</v>
      </c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"/>
    </row>
    <row r="1258">
      <c r="A1258" s="1"/>
      <c r="B1258" s="4" t="s">
        <v>3377</v>
      </c>
      <c r="D1258" s="9"/>
      <c r="E1258" s="17" t="s">
        <v>14</v>
      </c>
      <c r="F1258" s="28" t="str">
        <f>HYPERLINK("https://youtu.be/fBdYoZAh94I?t=79",'Players&gt;List'!$B10)</f>
        <v>[CAM]</v>
      </c>
      <c r="G1258" s="1"/>
      <c r="H1258" s="1"/>
      <c r="I1258" s="1"/>
      <c r="J1258" s="1"/>
      <c r="K1258" s="1"/>
      <c r="L1258" s="1"/>
      <c r="M1258" s="1"/>
      <c r="N1258" s="1"/>
    </row>
    <row r="1259">
      <c r="A1259" s="1"/>
      <c r="B1259" s="25" t="s">
        <v>131</v>
      </c>
      <c r="E1259" s="26" t="s">
        <v>110</v>
      </c>
      <c r="F1259" s="1"/>
      <c r="G1259" s="1"/>
      <c r="H1259" s="1"/>
      <c r="I1259" s="1"/>
      <c r="J1259" s="1"/>
      <c r="K1259" s="1"/>
      <c r="L1259" s="1"/>
      <c r="M1259" s="1"/>
      <c r="N1259" s="1"/>
    </row>
    <row r="1260">
      <c r="A1260" s="1"/>
      <c r="B1260" s="14" t="s">
        <v>3380</v>
      </c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"/>
    </row>
    <row r="1261">
      <c r="A1261" s="1"/>
      <c r="B1261" s="4" t="s">
        <v>3381</v>
      </c>
      <c r="D1261" s="9"/>
      <c r="E1261" s="17" t="s">
        <v>14</v>
      </c>
      <c r="F1261" s="28" t="str">
        <f>HYPERLINK("https://youtu.be/fBdYoZAh94I?t=675",'Players&gt;List'!$B10)</f>
        <v>[CAM]</v>
      </c>
      <c r="G1261" s="1"/>
      <c r="H1261" s="1"/>
      <c r="I1261" s="1"/>
      <c r="J1261" s="1"/>
      <c r="K1261" s="1"/>
      <c r="L1261" s="1"/>
      <c r="M1261" s="1"/>
      <c r="N1261" s="1"/>
    </row>
    <row r="1262">
      <c r="A1262" s="1"/>
      <c r="B1262" s="25" t="s">
        <v>439</v>
      </c>
      <c r="E1262" s="26" t="s">
        <v>110</v>
      </c>
      <c r="F1262" s="1"/>
      <c r="G1262" s="1"/>
      <c r="H1262" s="1"/>
      <c r="I1262" s="1"/>
      <c r="J1262" s="1"/>
      <c r="K1262" s="1"/>
      <c r="L1262" s="1"/>
      <c r="M1262" s="1"/>
      <c r="N1262" s="1"/>
    </row>
    <row r="1263">
      <c r="A1263" s="1"/>
      <c r="B1263" s="14" t="s">
        <v>3384</v>
      </c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"/>
    </row>
    <row r="1264">
      <c r="A1264" s="1"/>
      <c r="B1264" s="4" t="s">
        <v>3387</v>
      </c>
      <c r="D1264" s="9"/>
      <c r="E1264" s="17" t="s">
        <v>14</v>
      </c>
      <c r="F1264" s="28" t="str">
        <f>HYPERLINK("https://youtu.be/fBdYoZAh94I?t=764",'Players&gt;List'!$B10)</f>
        <v>[CAM]</v>
      </c>
      <c r="G1264" s="1"/>
      <c r="H1264" s="1"/>
      <c r="I1264" s="1"/>
      <c r="J1264" s="1"/>
      <c r="K1264" s="1"/>
      <c r="L1264" s="1"/>
      <c r="M1264" s="1"/>
      <c r="N1264" s="1"/>
    </row>
    <row r="1265">
      <c r="A1265" s="1"/>
      <c r="B1265" s="25" t="s">
        <v>649</v>
      </c>
      <c r="E1265" s="26" t="s">
        <v>90</v>
      </c>
      <c r="F1265" s="1"/>
      <c r="G1265" s="1"/>
      <c r="H1265" s="1"/>
      <c r="I1265" s="1"/>
      <c r="J1265" s="1"/>
      <c r="K1265" s="1"/>
      <c r="L1265" s="1"/>
      <c r="M1265" s="1"/>
      <c r="N1265" s="1"/>
    </row>
    <row r="1266">
      <c r="A1266" s="1"/>
      <c r="B1266" s="14" t="s">
        <v>3388</v>
      </c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"/>
    </row>
    <row r="1267">
      <c r="A1267" s="1"/>
      <c r="B1267" s="4" t="s">
        <v>3389</v>
      </c>
      <c r="D1267" s="9"/>
      <c r="E1267" s="17" t="s">
        <v>14</v>
      </c>
      <c r="F1267" s="28" t="str">
        <f>HYPERLINK("https://youtu.be/fBdYoZAh94I?t=1464",'Players&gt;List'!$B10)</f>
        <v>[CAM]</v>
      </c>
      <c r="G1267" s="1"/>
      <c r="H1267" s="1"/>
      <c r="I1267" s="1"/>
      <c r="J1267" s="1"/>
      <c r="K1267" s="1"/>
      <c r="L1267" s="1"/>
      <c r="M1267" s="1"/>
      <c r="N1267" s="1"/>
    </row>
    <row r="1268">
      <c r="A1268" s="1"/>
      <c r="B1268" s="25" t="s">
        <v>108</v>
      </c>
      <c r="E1268" s="26" t="s">
        <v>110</v>
      </c>
      <c r="F1268" s="1"/>
      <c r="G1268" s="1"/>
      <c r="H1268" s="1"/>
      <c r="I1268" s="1"/>
      <c r="J1268" s="1"/>
      <c r="K1268" s="1"/>
      <c r="L1268" s="1"/>
      <c r="M1268" s="1"/>
      <c r="N1268" s="1"/>
    </row>
    <row r="1269">
      <c r="A1269" s="1"/>
      <c r="B1269" s="14" t="s">
        <v>3392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"/>
    </row>
    <row r="1270">
      <c r="A1270" s="1"/>
      <c r="B1270" s="4" t="s">
        <v>3393</v>
      </c>
      <c r="D1270" s="9"/>
      <c r="E1270" s="17" t="s">
        <v>14</v>
      </c>
      <c r="F1270" s="28" t="str">
        <f>HYPERLINK("https://youtu.be/h2sB-DGHEKY?t=43",'Players&gt;List'!$B10)</f>
        <v>[CAM]</v>
      </c>
      <c r="G1270" s="1"/>
      <c r="H1270" s="1"/>
      <c r="I1270" s="1"/>
      <c r="J1270" s="1"/>
      <c r="K1270" s="1"/>
      <c r="L1270" s="1"/>
      <c r="M1270" s="1"/>
      <c r="N1270" s="1"/>
    </row>
    <row r="1271">
      <c r="A1271" s="1"/>
      <c r="B1271" s="25" t="s">
        <v>117</v>
      </c>
      <c r="E1271" s="26" t="s">
        <v>110</v>
      </c>
      <c r="F1271" s="28" t="str">
        <f>HYPERLINK("https://www.youtube.com/watch?v=II_tbUdqpVo",'Players&gt;List'!$B11)</f>
        <v>[CHB]</v>
      </c>
      <c r="G1271" s="1"/>
      <c r="H1271" s="1"/>
      <c r="I1271" s="1"/>
      <c r="J1271" s="1"/>
      <c r="K1271" s="1"/>
      <c r="L1271" s="1"/>
      <c r="M1271" s="1"/>
      <c r="N1271" s="1"/>
    </row>
    <row r="1272">
      <c r="A1272" s="1"/>
      <c r="B1272" s="14" t="s">
        <v>3398</v>
      </c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"/>
    </row>
    <row r="1273">
      <c r="A1273" s="1"/>
      <c r="B1273" s="4" t="s">
        <v>3400</v>
      </c>
      <c r="D1273" s="9"/>
      <c r="E1273" s="17" t="s">
        <v>14</v>
      </c>
      <c r="F1273" s="28" t="str">
        <f>HYPERLINK("https://youtu.be/h2sB-DGHEKY?t=82",'Players&gt;List'!$B10)</f>
        <v>[CAM]</v>
      </c>
      <c r="G1273" s="1"/>
      <c r="H1273" s="1"/>
      <c r="I1273" s="1"/>
      <c r="J1273" s="1"/>
      <c r="K1273" s="1"/>
      <c r="L1273" s="1"/>
      <c r="M1273" s="1"/>
      <c r="N1273" s="1"/>
    </row>
    <row r="1274">
      <c r="A1274" s="1"/>
      <c r="B1274" s="25" t="s">
        <v>108</v>
      </c>
      <c r="E1274" s="26" t="s">
        <v>110</v>
      </c>
      <c r="F1274" s="28" t="str">
        <f>HYPERLINK("https://www.youtube.com/watch?v=1d_PgxujvVA",'Players&gt;List'!$B8)</f>
        <v>[ABA]</v>
      </c>
      <c r="G1274" s="1"/>
      <c r="H1274" s="1"/>
      <c r="I1274" s="1"/>
      <c r="J1274" s="1"/>
      <c r="K1274" s="1"/>
      <c r="L1274" s="1"/>
      <c r="M1274" s="1"/>
      <c r="N1274" s="1"/>
    </row>
    <row r="1275">
      <c r="A1275" s="1"/>
      <c r="B1275" s="14" t="s">
        <v>3404</v>
      </c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"/>
    </row>
    <row r="1276">
      <c r="A1276" s="1"/>
      <c r="B1276" s="4" t="s">
        <v>3406</v>
      </c>
      <c r="D1276" s="9"/>
      <c r="E1276" s="17" t="s">
        <v>14</v>
      </c>
      <c r="F1276" s="28" t="str">
        <f>HYPERLINK("https://youtu.be/h2sB-DGHEKY?t=140",'Players&gt;List'!$B10)</f>
        <v>[CAM]</v>
      </c>
      <c r="G1276" s="1"/>
      <c r="H1276" s="1"/>
      <c r="I1276" s="1"/>
      <c r="J1276" s="1"/>
      <c r="K1276" s="1"/>
      <c r="L1276" s="1"/>
      <c r="M1276" s="1"/>
      <c r="N1276" s="1"/>
    </row>
    <row r="1277">
      <c r="A1277" s="1"/>
      <c r="B1277" s="25" t="s">
        <v>149</v>
      </c>
      <c r="E1277" s="26" t="s">
        <v>90</v>
      </c>
      <c r="F1277" s="1"/>
      <c r="G1277" s="1"/>
      <c r="H1277" s="1"/>
      <c r="I1277" s="1"/>
      <c r="J1277" s="1"/>
      <c r="K1277" s="1"/>
      <c r="L1277" s="1"/>
      <c r="M1277" s="1"/>
      <c r="N1277" s="1"/>
    </row>
    <row r="1278">
      <c r="A1278" s="1"/>
      <c r="B1278" s="14" t="s">
        <v>3409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"/>
    </row>
    <row r="1279">
      <c r="A1279" s="1"/>
      <c r="B1279" s="4" t="s">
        <v>3411</v>
      </c>
      <c r="D1279" s="9"/>
      <c r="E1279" s="17" t="s">
        <v>14</v>
      </c>
      <c r="F1279" s="28" t="str">
        <f>HYPERLINK("https://youtu.be/h2sB-DGHEKY?t=198",'Players&gt;List'!$B10)</f>
        <v>[CAM]</v>
      </c>
      <c r="G1279" s="1"/>
      <c r="H1279" s="1"/>
      <c r="I1279" s="1"/>
      <c r="J1279" s="1"/>
      <c r="K1279" s="1"/>
      <c r="L1279" s="1"/>
      <c r="M1279" s="1"/>
      <c r="N1279" s="1"/>
    </row>
    <row r="1280">
      <c r="A1280" s="1"/>
      <c r="B1280" s="25" t="s">
        <v>457</v>
      </c>
      <c r="E1280" s="26" t="s">
        <v>110</v>
      </c>
      <c r="F1280" s="1"/>
      <c r="G1280" s="1"/>
      <c r="H1280" s="1"/>
      <c r="I1280" s="1"/>
      <c r="J1280" s="1"/>
      <c r="K1280" s="1"/>
      <c r="L1280" s="1"/>
      <c r="M1280" s="1"/>
      <c r="N1280" s="1"/>
    </row>
    <row r="1281">
      <c r="A1281" s="1"/>
      <c r="B1281" s="14" t="s">
        <v>3413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"/>
    </row>
    <row r="1282">
      <c r="A1282" s="1"/>
      <c r="B1282" s="4" t="s">
        <v>3415</v>
      </c>
      <c r="D1282" s="9"/>
      <c r="E1282" s="17" t="s">
        <v>14</v>
      </c>
      <c r="F1282" s="28" t="str">
        <f>HYPERLINK("https://youtu.be/h2sB-DGHEKY?t=337",'Players&gt;List'!$B10)</f>
        <v>[CAM]</v>
      </c>
      <c r="G1282" s="1"/>
      <c r="H1282" s="1"/>
      <c r="I1282" s="1"/>
      <c r="J1282" s="1"/>
      <c r="K1282" s="1"/>
      <c r="L1282" s="1"/>
      <c r="M1282" s="1"/>
      <c r="N1282" s="1"/>
    </row>
    <row r="1283">
      <c r="A1283" s="1"/>
      <c r="B1283" s="25" t="s">
        <v>149</v>
      </c>
      <c r="E1283" s="26" t="s">
        <v>90</v>
      </c>
      <c r="F1283" s="1"/>
      <c r="G1283" s="1"/>
      <c r="H1283" s="1"/>
      <c r="I1283" s="1"/>
      <c r="J1283" s="1"/>
      <c r="K1283" s="1"/>
      <c r="L1283" s="1"/>
      <c r="M1283" s="1"/>
      <c r="N1283" s="1"/>
    </row>
    <row r="1284">
      <c r="A1284" s="1"/>
      <c r="B1284" s="25" t="s">
        <v>2271</v>
      </c>
      <c r="E1284" s="26" t="s">
        <v>1418</v>
      </c>
      <c r="F1284" s="28" t="str">
        <f>HYPERLINK("https://www.youtube.com/watch?v=ZhNV6ffyc6g&amp;index=222&amp;t=0s&amp;list=PLbU6uWaIKemqNvTeRxK-Ay6PRg9iwCKVi",'Players&gt;List'!$B19)</f>
        <v>[HIT]</v>
      </c>
      <c r="G1284" s="1"/>
      <c r="H1284" s="1"/>
      <c r="I1284" s="1"/>
      <c r="J1284" s="1"/>
      <c r="K1284" s="1"/>
      <c r="L1284" s="1"/>
      <c r="M1284" s="1"/>
      <c r="N1284" s="1"/>
    </row>
    <row r="1285">
      <c r="A1285" s="1"/>
      <c r="B1285" s="14" t="s">
        <v>3420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"/>
    </row>
    <row r="1286">
      <c r="A1286" s="1"/>
      <c r="B1286" s="4" t="s">
        <v>3422</v>
      </c>
      <c r="D1286" s="9"/>
      <c r="E1286" s="17" t="s">
        <v>14</v>
      </c>
      <c r="F1286" s="28" t="str">
        <f>HYPERLINK("https://youtu.be/h2sB-DGHEKY?t=391",'Players&gt;List'!$B10)</f>
        <v>[CAM]</v>
      </c>
      <c r="G1286" s="1"/>
      <c r="H1286" s="1"/>
      <c r="I1286" s="1"/>
      <c r="J1286" s="1"/>
      <c r="K1286" s="1"/>
      <c r="L1286" s="1"/>
      <c r="M1286" s="1"/>
      <c r="N1286" s="1"/>
    </row>
    <row r="1287">
      <c r="A1287" s="1"/>
      <c r="B1287" s="25" t="s">
        <v>117</v>
      </c>
      <c r="E1287" s="26" t="s">
        <v>110</v>
      </c>
      <c r="F1287" s="1"/>
      <c r="G1287" s="1"/>
      <c r="H1287" s="1"/>
      <c r="I1287" s="1"/>
      <c r="J1287" s="1"/>
      <c r="K1287" s="1"/>
      <c r="L1287" s="1"/>
      <c r="M1287" s="1"/>
      <c r="N1287" s="1"/>
    </row>
    <row r="1288">
      <c r="A1288" s="1"/>
      <c r="B1288" s="14" t="s">
        <v>3427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"/>
    </row>
    <row r="1289">
      <c r="A1289" s="1"/>
      <c r="B1289" s="4" t="s">
        <v>3429</v>
      </c>
      <c r="D1289" s="9"/>
      <c r="E1289" s="17" t="s">
        <v>14</v>
      </c>
      <c r="F1289" s="28" t="str">
        <f>HYPERLINK("https://youtu.be/h2sB-DGHEKY?t=426",'Players&gt;List'!$B10)</f>
        <v>[CAM]</v>
      </c>
      <c r="G1289" s="1"/>
      <c r="H1289" s="1"/>
      <c r="I1289" s="1"/>
      <c r="J1289" s="1"/>
      <c r="K1289" s="1"/>
      <c r="L1289" s="1"/>
      <c r="M1289" s="1"/>
      <c r="N1289" s="1"/>
    </row>
    <row r="1290">
      <c r="A1290" s="1"/>
      <c r="B1290" s="25" t="s">
        <v>88</v>
      </c>
      <c r="E1290" s="26" t="s">
        <v>90</v>
      </c>
      <c r="F1290" s="1"/>
      <c r="G1290" s="1"/>
      <c r="H1290" s="1"/>
      <c r="I1290" s="1"/>
      <c r="J1290" s="1"/>
      <c r="K1290" s="1"/>
      <c r="L1290" s="1"/>
      <c r="M1290" s="1"/>
      <c r="N1290" s="1"/>
    </row>
    <row r="1291">
      <c r="A1291" s="1"/>
      <c r="B1291" s="14" t="s">
        <v>3432</v>
      </c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"/>
    </row>
    <row r="1292">
      <c r="A1292" s="1"/>
      <c r="B1292" s="4" t="s">
        <v>3433</v>
      </c>
      <c r="D1292" s="9"/>
      <c r="E1292" s="17" t="s">
        <v>14</v>
      </c>
      <c r="F1292" s="28" t="str">
        <f>HYPERLINK("https://youtu.be/h2sB-DGHEKY?t=440",'Players&gt;List'!$B10)</f>
        <v>[CAM]</v>
      </c>
      <c r="G1292" s="1"/>
      <c r="H1292" s="1"/>
      <c r="I1292" s="1"/>
      <c r="J1292" s="1"/>
      <c r="K1292" s="1"/>
      <c r="L1292" s="1"/>
      <c r="M1292" s="1"/>
      <c r="N1292" s="1"/>
    </row>
    <row r="1293">
      <c r="A1293" s="1"/>
      <c r="B1293" s="25" t="s">
        <v>457</v>
      </c>
      <c r="E1293" s="26" t="s">
        <v>110</v>
      </c>
      <c r="F1293" s="28" t="str">
        <f>HYPERLINK("https://www.youtube.com/watch?v=G23-W5UkS7I",'Players&gt;List'!$B18)</f>
        <v>[HGB]</v>
      </c>
      <c r="G1293" s="1"/>
      <c r="H1293" s="1"/>
      <c r="I1293" s="1"/>
      <c r="J1293" s="1"/>
      <c r="K1293" s="1"/>
      <c r="L1293" s="1"/>
      <c r="M1293" s="1"/>
      <c r="N1293" s="1"/>
    </row>
    <row r="1294">
      <c r="A1294" s="1"/>
      <c r="B1294" s="14" t="s">
        <v>3437</v>
      </c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"/>
    </row>
    <row r="1295">
      <c r="A1295" s="1"/>
      <c r="B1295" s="4" t="s">
        <v>3438</v>
      </c>
      <c r="D1295" s="9"/>
      <c r="E1295" s="17" t="s">
        <v>14</v>
      </c>
      <c r="F1295" s="28" t="str">
        <f>HYPERLINK("https://youtu.be/h2sB-DGHEKY?t=689",'Players&gt;List'!$B10)</f>
        <v>[CAM]</v>
      </c>
      <c r="G1295" s="1"/>
      <c r="H1295" s="1"/>
      <c r="I1295" s="1"/>
      <c r="J1295" s="1"/>
      <c r="K1295" s="1"/>
      <c r="L1295" s="1"/>
      <c r="M1295" s="1"/>
      <c r="N1295" s="1"/>
    </row>
    <row r="1296">
      <c r="A1296" s="1"/>
      <c r="B1296" s="25" t="s">
        <v>2296</v>
      </c>
      <c r="E1296" s="26" t="s">
        <v>234</v>
      </c>
      <c r="F1296" s="1"/>
      <c r="G1296" s="1"/>
      <c r="H1296" s="1"/>
      <c r="I1296" s="1"/>
      <c r="J1296" s="1"/>
      <c r="K1296" s="1"/>
      <c r="L1296" s="1"/>
      <c r="M1296" s="1"/>
      <c r="N1296" s="1"/>
    </row>
    <row r="1297">
      <c r="A1297" s="1"/>
      <c r="B1297" s="25" t="s">
        <v>2183</v>
      </c>
      <c r="E1297" s="26" t="s">
        <v>1418</v>
      </c>
      <c r="F1297" s="28" t="str">
        <f>HYPERLINK("https://www.youtube.com/watch?v=ZPeNA0Fpdks",'Players&gt;List'!$B32)</f>
        <v>[XEL]</v>
      </c>
      <c r="G1297" s="1"/>
      <c r="H1297" s="1"/>
      <c r="I1297" s="1"/>
      <c r="J1297" s="1"/>
      <c r="K1297" s="1"/>
      <c r="L1297" s="1"/>
      <c r="M1297" s="1"/>
      <c r="N1297" s="1"/>
    </row>
    <row r="1298">
      <c r="A1298" s="1"/>
      <c r="B1298" s="14" t="s">
        <v>3445</v>
      </c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"/>
    </row>
    <row r="1299">
      <c r="A1299" s="1"/>
      <c r="B1299" s="4" t="s">
        <v>3447</v>
      </c>
      <c r="D1299" s="9"/>
      <c r="E1299" s="17" t="s">
        <v>14</v>
      </c>
      <c r="F1299" s="28" t="str">
        <f>HYPERLINK("https://youtu.be/h2sB-DGHEKY?t=1459",'Players&gt;List'!$B10)</f>
        <v>[CAM]</v>
      </c>
      <c r="G1299" s="1"/>
      <c r="H1299" s="1"/>
      <c r="I1299" s="1"/>
      <c r="J1299" s="1"/>
      <c r="K1299" s="1"/>
      <c r="L1299" s="1"/>
      <c r="M1299" s="1"/>
      <c r="N1299" s="1"/>
    </row>
    <row r="1300">
      <c r="A1300" s="1"/>
      <c r="B1300" s="25" t="s">
        <v>88</v>
      </c>
      <c r="E1300" s="26" t="s">
        <v>90</v>
      </c>
      <c r="F1300" s="1"/>
      <c r="G1300" s="1"/>
      <c r="H1300" s="1"/>
      <c r="I1300" s="1"/>
      <c r="J1300" s="1"/>
      <c r="K1300" s="1"/>
      <c r="L1300" s="1"/>
      <c r="M1300" s="1"/>
      <c r="N1300" s="1"/>
    </row>
    <row r="1301">
      <c r="A1301" s="1"/>
      <c r="B1301" s="14" t="s">
        <v>3448</v>
      </c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"/>
    </row>
    <row r="1302">
      <c r="A1302" s="1"/>
      <c r="B1302" s="4" t="s">
        <v>3449</v>
      </c>
      <c r="D1302" s="9"/>
      <c r="E1302" s="17" t="s">
        <v>14</v>
      </c>
      <c r="F1302" s="28" t="str">
        <f>HYPERLINK("https://youtu.be/lWJwPXhv81I?t=16",'Players&gt;List'!$B10)</f>
        <v>[CAM]</v>
      </c>
      <c r="G1302" s="1"/>
      <c r="H1302" s="1"/>
      <c r="I1302" s="1"/>
      <c r="J1302" s="1"/>
      <c r="K1302" s="1"/>
      <c r="L1302" s="1"/>
      <c r="M1302" s="1"/>
      <c r="N1302" s="1"/>
    </row>
    <row r="1303">
      <c r="A1303" s="1"/>
      <c r="B1303" s="25" t="s">
        <v>502</v>
      </c>
      <c r="E1303" s="26" t="s">
        <v>234</v>
      </c>
      <c r="F1303" s="1"/>
      <c r="G1303" s="1"/>
      <c r="H1303" s="1"/>
      <c r="I1303" s="1"/>
      <c r="J1303" s="1"/>
      <c r="K1303" s="1"/>
      <c r="L1303" s="1"/>
      <c r="M1303" s="1"/>
      <c r="N1303" s="1"/>
    </row>
    <row r="1304">
      <c r="A1304" s="1"/>
      <c r="B1304" s="14" t="s">
        <v>3450</v>
      </c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"/>
    </row>
    <row r="1305">
      <c r="A1305" s="1"/>
      <c r="B1305" s="4" t="s">
        <v>3451</v>
      </c>
      <c r="D1305" s="9"/>
      <c r="E1305" s="17" t="s">
        <v>14</v>
      </c>
      <c r="F1305" s="28" t="str">
        <f>HYPERLINK("https://youtu.be/lWJwPXhv81I?t=51",'Players&gt;List'!$B10)</f>
        <v>[CAM]</v>
      </c>
      <c r="G1305" s="1"/>
      <c r="H1305" s="1"/>
      <c r="I1305" s="1"/>
      <c r="J1305" s="1"/>
      <c r="K1305" s="1"/>
      <c r="L1305" s="1"/>
      <c r="M1305" s="1"/>
      <c r="N1305" s="1"/>
    </row>
    <row r="1306">
      <c r="A1306" s="1"/>
      <c r="B1306" s="25" t="s">
        <v>117</v>
      </c>
      <c r="E1306" s="26" t="s">
        <v>110</v>
      </c>
      <c r="F1306" s="1"/>
      <c r="G1306" s="1"/>
      <c r="H1306" s="1"/>
      <c r="I1306" s="1"/>
      <c r="J1306" s="1"/>
      <c r="K1306" s="1"/>
      <c r="L1306" s="1"/>
      <c r="M1306" s="1"/>
      <c r="N1306" s="1"/>
    </row>
    <row r="1307">
      <c r="A1307" s="1"/>
      <c r="B1307" s="14" t="s">
        <v>3452</v>
      </c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"/>
    </row>
    <row r="1308">
      <c r="A1308" s="1"/>
      <c r="B1308" s="4" t="s">
        <v>3453</v>
      </c>
      <c r="D1308" s="9"/>
      <c r="E1308" s="17" t="s">
        <v>14</v>
      </c>
      <c r="F1308" s="28" t="str">
        <f>HYPERLINK("https://youtu.be/lWJwPXhv81I?t=91",'Players&gt;List'!$B10)</f>
        <v>[CAM]</v>
      </c>
      <c r="G1308" s="1"/>
      <c r="H1308" s="1"/>
      <c r="I1308" s="1"/>
      <c r="J1308" s="1"/>
      <c r="K1308" s="1"/>
      <c r="L1308" s="1"/>
      <c r="M1308" s="1"/>
      <c r="N1308" s="1"/>
    </row>
    <row r="1309">
      <c r="A1309" s="1"/>
      <c r="B1309" s="25" t="s">
        <v>88</v>
      </c>
      <c r="E1309" s="26" t="s">
        <v>90</v>
      </c>
      <c r="F1309" s="28" t="str">
        <f>HYPERLINK("https://www.twitch.tv/videos/226397600",'Players&gt;List'!$B24)</f>
        <v>[NIM]</v>
      </c>
      <c r="G1309" s="1"/>
      <c r="H1309" s="1"/>
      <c r="I1309" s="1"/>
      <c r="J1309" s="1"/>
      <c r="K1309" s="1"/>
      <c r="L1309" s="1"/>
      <c r="M1309" s="1"/>
      <c r="N1309" s="1"/>
    </row>
    <row r="1310">
      <c r="A1310" s="1"/>
      <c r="B1310" s="14" t="s">
        <v>3455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"/>
    </row>
    <row r="1311">
      <c r="A1311" s="1"/>
      <c r="B1311" s="4" t="s">
        <v>3456</v>
      </c>
      <c r="D1311" s="9"/>
      <c r="E1311" s="17" t="s">
        <v>14</v>
      </c>
      <c r="F1311" s="28" t="str">
        <f>HYPERLINK("https://youtu.be/lWJwPXhv81I?t=109",'Players&gt;List'!$B10)</f>
        <v>[CAM]</v>
      </c>
      <c r="G1311" s="1"/>
      <c r="H1311" s="1"/>
      <c r="I1311" s="1"/>
      <c r="J1311" s="1"/>
      <c r="K1311" s="1"/>
      <c r="L1311" s="1"/>
      <c r="M1311" s="1"/>
      <c r="N1311" s="1"/>
    </row>
    <row r="1312">
      <c r="A1312" s="1"/>
      <c r="B1312" s="25" t="s">
        <v>88</v>
      </c>
      <c r="E1312" s="26" t="s">
        <v>90</v>
      </c>
      <c r="F1312" s="28" t="str">
        <f>HYPERLINK("https://www.twitch.tv/videos/226398472",'Players&gt;List'!$B24)</f>
        <v>[NIM]</v>
      </c>
      <c r="G1312" s="1"/>
      <c r="H1312" s="1"/>
      <c r="I1312" s="1"/>
      <c r="J1312" s="1"/>
      <c r="K1312" s="1"/>
      <c r="L1312" s="1"/>
      <c r="M1312" s="1"/>
      <c r="N1312" s="1"/>
    </row>
    <row r="1313">
      <c r="A1313" s="1"/>
      <c r="B1313" s="14" t="s">
        <v>3465</v>
      </c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"/>
    </row>
    <row r="1314">
      <c r="A1314" s="1"/>
      <c r="B1314" s="4" t="s">
        <v>3466</v>
      </c>
      <c r="D1314" s="9"/>
      <c r="E1314" s="17" t="s">
        <v>14</v>
      </c>
      <c r="F1314" s="28" t="str">
        <f>HYPERLINK("https://youtu.be/lWJwPXhv81I?t=145",'Players&gt;List'!$B10)</f>
        <v>[CAM]</v>
      </c>
      <c r="G1314" s="1"/>
      <c r="H1314" s="1"/>
      <c r="I1314" s="1"/>
      <c r="J1314" s="1"/>
      <c r="K1314" s="1"/>
      <c r="L1314" s="1"/>
      <c r="M1314" s="1"/>
      <c r="N1314" s="1"/>
    </row>
    <row r="1315">
      <c r="A1315" s="1"/>
      <c r="B1315" s="25" t="s">
        <v>108</v>
      </c>
      <c r="E1315" s="26" t="s">
        <v>110</v>
      </c>
      <c r="F1315" s="1"/>
      <c r="G1315" s="1"/>
      <c r="H1315" s="1"/>
      <c r="I1315" s="1"/>
      <c r="J1315" s="1"/>
      <c r="K1315" s="1"/>
      <c r="L1315" s="1"/>
      <c r="M1315" s="1"/>
      <c r="N1315" s="1"/>
    </row>
    <row r="1316">
      <c r="A1316" s="1"/>
      <c r="B1316" s="14" t="s">
        <v>3472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"/>
    </row>
    <row r="1317">
      <c r="A1317" s="1"/>
      <c r="B1317" s="4" t="s">
        <v>3475</v>
      </c>
      <c r="D1317" s="9"/>
      <c r="E1317" s="17" t="s">
        <v>14</v>
      </c>
      <c r="F1317" s="28" t="str">
        <f>HYPERLINK("https://youtu.be/lWJwPXhv81I?t=216",'Players&gt;List'!$B10)</f>
        <v>[CAM]</v>
      </c>
      <c r="G1317" s="28" t="str">
        <f>HYPERLINK("https://www.youtube.com/watch?v=OtoOLAaJWw0",'Players&gt;List'!$B29)</f>
        <v>[SYS]</v>
      </c>
      <c r="H1317" s="1"/>
      <c r="I1317" s="1"/>
      <c r="J1317" s="1"/>
      <c r="K1317" s="1"/>
      <c r="L1317" s="1"/>
      <c r="M1317" s="1"/>
      <c r="N1317" s="1"/>
    </row>
    <row r="1318">
      <c r="A1318" s="1"/>
      <c r="B1318" s="25" t="s">
        <v>108</v>
      </c>
      <c r="E1318" s="26" t="s">
        <v>110</v>
      </c>
      <c r="F1318" s="1"/>
      <c r="G1318" s="1"/>
      <c r="H1318" s="1"/>
      <c r="I1318" s="1"/>
      <c r="J1318" s="1"/>
      <c r="K1318" s="1"/>
      <c r="L1318" s="1"/>
      <c r="M1318" s="1"/>
      <c r="N1318" s="1"/>
    </row>
    <row r="1319">
      <c r="A1319" s="1"/>
      <c r="B1319" s="25" t="s">
        <v>88</v>
      </c>
      <c r="E1319" s="26" t="s">
        <v>147</v>
      </c>
      <c r="F1319" s="1"/>
      <c r="G1319" s="1"/>
      <c r="H1319" s="1"/>
      <c r="I1319" s="1"/>
      <c r="J1319" s="1"/>
      <c r="K1319" s="1"/>
      <c r="L1319" s="1"/>
      <c r="M1319" s="1"/>
      <c r="N1319" s="1"/>
    </row>
    <row r="1320">
      <c r="A1320" s="1"/>
      <c r="B1320" s="25" t="s">
        <v>197</v>
      </c>
      <c r="E1320" s="26" t="s">
        <v>147</v>
      </c>
      <c r="F1320" s="1"/>
      <c r="G1320" s="1"/>
      <c r="H1320" s="1"/>
      <c r="I1320" s="1"/>
      <c r="J1320" s="1"/>
      <c r="K1320" s="1"/>
      <c r="L1320" s="1"/>
      <c r="M1320" s="1"/>
      <c r="N1320" s="1"/>
    </row>
    <row r="1321">
      <c r="A1321" s="1"/>
      <c r="B1321" s="14" t="s">
        <v>3480</v>
      </c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"/>
    </row>
    <row r="1322">
      <c r="A1322" s="1"/>
      <c r="B1322" s="4" t="s">
        <v>3482</v>
      </c>
      <c r="D1322" s="9"/>
      <c r="E1322" s="17" t="s">
        <v>14</v>
      </c>
      <c r="F1322" s="28" t="str">
        <f>HYPERLINK("https://youtu.be/lWJwPXhv81I?t=398",'Players&gt;List'!$B10)</f>
        <v>[CAM]</v>
      </c>
      <c r="G1322" s="28" t="str">
        <f>HYPERLINK("https://youtu.be/OtoOLAaJWw0?t=21s",'Players&gt;List'!$B29)</f>
        <v>[SYS]</v>
      </c>
      <c r="H1322" s="1"/>
      <c r="I1322" s="1"/>
      <c r="J1322" s="1"/>
      <c r="K1322" s="1"/>
      <c r="L1322" s="1"/>
      <c r="M1322" s="1"/>
      <c r="N1322" s="1"/>
    </row>
    <row r="1323">
      <c r="A1323" s="1"/>
      <c r="B1323" s="25" t="s">
        <v>108</v>
      </c>
      <c r="E1323" s="26" t="s">
        <v>110</v>
      </c>
      <c r="F1323" s="1"/>
      <c r="G1323" s="1"/>
      <c r="H1323" s="1"/>
      <c r="I1323" s="1"/>
      <c r="J1323" s="1"/>
      <c r="K1323" s="1"/>
      <c r="L1323" s="1"/>
      <c r="M1323" s="1"/>
      <c r="N1323" s="1"/>
    </row>
    <row r="1324">
      <c r="A1324" s="1"/>
      <c r="B1324" s="14" t="s">
        <v>3485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"/>
    </row>
    <row r="1325">
      <c r="A1325" s="1"/>
      <c r="B1325" s="4" t="s">
        <v>3486</v>
      </c>
      <c r="D1325" s="9"/>
      <c r="E1325" s="17" t="s">
        <v>14</v>
      </c>
      <c r="F1325" s="28" t="str">
        <f>HYPERLINK("https://youtu.be/lWJwPXhv81I?t=438",'Players&gt;List'!$B10)</f>
        <v>[CAM]</v>
      </c>
      <c r="G1325" s="28" t="str">
        <f>HYPERLINK("https://youtu.be/OtoOLAaJWw0?t=1m10s",'Players&gt;List'!$B29)</f>
        <v>[SYS]</v>
      </c>
      <c r="H1325" s="1"/>
      <c r="I1325" s="1"/>
      <c r="J1325" s="1"/>
      <c r="K1325" s="1"/>
      <c r="L1325" s="1"/>
      <c r="M1325" s="1"/>
      <c r="N1325" s="1"/>
    </row>
    <row r="1326">
      <c r="A1326" s="1"/>
      <c r="B1326" s="25" t="s">
        <v>88</v>
      </c>
      <c r="E1326" s="26" t="s">
        <v>90</v>
      </c>
      <c r="F1326" s="1"/>
      <c r="G1326" s="1"/>
      <c r="H1326" s="1"/>
      <c r="I1326" s="1"/>
      <c r="J1326" s="1"/>
      <c r="K1326" s="1"/>
      <c r="L1326" s="1"/>
      <c r="M1326" s="1"/>
      <c r="N1326" s="1"/>
    </row>
    <row r="1327">
      <c r="A1327" s="1"/>
      <c r="B1327" s="14" t="s">
        <v>3491</v>
      </c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"/>
    </row>
    <row r="1328">
      <c r="A1328" s="1"/>
      <c r="B1328" s="4" t="s">
        <v>3493</v>
      </c>
      <c r="D1328" s="9"/>
      <c r="E1328" s="17" t="s">
        <v>14</v>
      </c>
      <c r="F1328" s="28" t="str">
        <f>HYPERLINK("https://youtu.be/lWJwPXhv81I?t=490",'Players&gt;List'!$B10)</f>
        <v>[CAM]</v>
      </c>
      <c r="G1328" s="28" t="str">
        <f>HYPERLINK("https://youtu.be/OtoOLAaJWw0?t=1m24s",'Players&gt;List'!$B29)</f>
        <v>[SYS]</v>
      </c>
      <c r="H1328" s="1"/>
      <c r="I1328" s="1"/>
      <c r="J1328" s="1"/>
      <c r="K1328" s="1"/>
      <c r="L1328" s="1"/>
      <c r="M1328" s="1"/>
      <c r="N1328" s="1"/>
    </row>
    <row r="1329">
      <c r="A1329" s="1"/>
      <c r="B1329" s="25" t="s">
        <v>88</v>
      </c>
      <c r="E1329" s="26" t="s">
        <v>90</v>
      </c>
      <c r="F1329" s="28" t="str">
        <f>HYPERLINK("https://www.youtube.com/watch?v=nTOxHG08Bb4",'Players&gt;List'!$B28)</f>
        <v>[SUN]</v>
      </c>
      <c r="G1329" s="1"/>
      <c r="H1329" s="1"/>
      <c r="I1329" s="1"/>
      <c r="J1329" s="1"/>
      <c r="K1329" s="1"/>
      <c r="L1329" s="1"/>
      <c r="M1329" s="1"/>
      <c r="N1329" s="1"/>
    </row>
    <row r="1330">
      <c r="A1330" s="1"/>
      <c r="B1330" s="14" t="s">
        <v>3500</v>
      </c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"/>
    </row>
    <row r="1331">
      <c r="A1331" s="1"/>
      <c r="B1331" s="4" t="s">
        <v>3502</v>
      </c>
      <c r="D1331" s="9"/>
      <c r="E1331" s="17" t="s">
        <v>14</v>
      </c>
      <c r="F1331" s="28" t="str">
        <f>HYPERLINK("https://youtu.be/lWJwPXhv81I?t=564",'Players&gt;List'!$B10)</f>
        <v>[CAM]</v>
      </c>
      <c r="G1331" s="28" t="str">
        <f>HYPERLINK("https://youtu.be/OtoOLAaJWw0?t=2m15s",'Players&gt;List'!$B29)</f>
        <v>[SYS]</v>
      </c>
      <c r="H1331" s="1"/>
      <c r="I1331" s="1"/>
      <c r="J1331" s="1"/>
      <c r="K1331" s="1"/>
      <c r="L1331" s="1"/>
      <c r="M1331" s="1"/>
      <c r="N1331" s="1"/>
    </row>
    <row r="1332">
      <c r="A1332" s="1"/>
      <c r="B1332" s="25" t="s">
        <v>2303</v>
      </c>
      <c r="E1332" s="26" t="s">
        <v>110</v>
      </c>
      <c r="F1332" s="1"/>
      <c r="G1332" s="1"/>
      <c r="H1332" s="1"/>
      <c r="I1332" s="1"/>
      <c r="J1332" s="1"/>
      <c r="K1332" s="1"/>
      <c r="L1332" s="1"/>
      <c r="M1332" s="1"/>
      <c r="N1332" s="1"/>
    </row>
    <row r="1333">
      <c r="A1333" s="1"/>
      <c r="B1333" s="25" t="s">
        <v>2213</v>
      </c>
      <c r="E1333" s="26" t="s">
        <v>147</v>
      </c>
      <c r="F1333" s="1"/>
      <c r="G1333" s="1"/>
      <c r="H1333" s="1"/>
      <c r="I1333" s="1"/>
      <c r="J1333" s="1"/>
      <c r="K1333" s="1"/>
      <c r="L1333" s="1"/>
      <c r="M1333" s="1"/>
      <c r="N1333" s="1"/>
    </row>
    <row r="1334">
      <c r="A1334" s="1"/>
      <c r="B1334" s="25" t="s">
        <v>335</v>
      </c>
      <c r="E1334" s="26" t="s">
        <v>147</v>
      </c>
      <c r="F1334" s="1"/>
      <c r="G1334" s="1"/>
      <c r="H1334" s="1"/>
      <c r="I1334" s="1"/>
      <c r="J1334" s="1"/>
      <c r="K1334" s="1"/>
      <c r="L1334" s="1"/>
      <c r="M1334" s="1"/>
      <c r="N1334" s="1"/>
    </row>
    <row r="1335">
      <c r="A1335" s="1"/>
      <c r="B1335" s="25" t="s">
        <v>3508</v>
      </c>
      <c r="E1335" s="26" t="s">
        <v>358</v>
      </c>
      <c r="F1335" s="28" t="str">
        <f>HYPERLINK("https://www.twitch.tv/videos/226396307",'Players&gt;List'!$B24)</f>
        <v>[NIM]</v>
      </c>
      <c r="G1335" s="1"/>
      <c r="H1335" s="1"/>
      <c r="I1335" s="1"/>
      <c r="J1335" s="1"/>
      <c r="K1335" s="1"/>
      <c r="L1335" s="1"/>
      <c r="M1335" s="1"/>
      <c r="N1335" s="1"/>
    </row>
    <row r="1336">
      <c r="A1336" s="1"/>
      <c r="B1336" s="14" t="s">
        <v>3511</v>
      </c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"/>
    </row>
    <row r="1337">
      <c r="A1337" s="1"/>
      <c r="B1337" s="4" t="s">
        <v>3514</v>
      </c>
      <c r="D1337" s="9"/>
      <c r="E1337" s="17" t="s">
        <v>14</v>
      </c>
      <c r="F1337" s="28" t="str">
        <f>HYPERLINK("https://youtu.be/qfER_4FpwPY?t=29",'Players&gt;List'!$B10)</f>
        <v>[CAM]</v>
      </c>
      <c r="G1337" s="1"/>
      <c r="H1337" s="1"/>
      <c r="I1337" s="1"/>
      <c r="J1337" s="1"/>
      <c r="K1337" s="1"/>
      <c r="L1337" s="1"/>
      <c r="M1337" s="1"/>
      <c r="N1337" s="1"/>
    </row>
    <row r="1338">
      <c r="A1338" s="1"/>
      <c r="B1338" s="25" t="s">
        <v>88</v>
      </c>
      <c r="E1338" s="26" t="s">
        <v>90</v>
      </c>
      <c r="F1338" s="28" t="str">
        <f>HYPERLINK("https://www.youtube.com/watch?v=Mac4f8YyXNk",'Players&gt;List'!$B11)</f>
        <v>[CHB]</v>
      </c>
      <c r="G1338" s="1"/>
      <c r="H1338" s="1"/>
      <c r="I1338" s="1"/>
      <c r="J1338" s="1"/>
      <c r="K1338" s="1"/>
      <c r="L1338" s="1"/>
      <c r="M1338" s="1"/>
      <c r="N1338" s="1"/>
    </row>
    <row r="1339">
      <c r="A1339" s="1"/>
      <c r="B1339" s="14" t="s">
        <v>3518</v>
      </c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"/>
    </row>
    <row r="1340">
      <c r="A1340" s="1"/>
      <c r="B1340" s="4" t="s">
        <v>3520</v>
      </c>
      <c r="D1340" s="9"/>
      <c r="E1340" s="17" t="s">
        <v>14</v>
      </c>
      <c r="F1340" s="28" t="str">
        <f>HYPERLINK("https://youtu.be/qfER_4FpwPY?t=57",'Players&gt;List'!$B10)</f>
        <v>[CAM]</v>
      </c>
      <c r="G1340" s="1"/>
      <c r="H1340" s="1"/>
      <c r="I1340" s="1"/>
      <c r="J1340" s="1"/>
      <c r="K1340" s="1"/>
      <c r="L1340" s="1"/>
      <c r="M1340" s="1"/>
      <c r="N1340" s="1"/>
    </row>
    <row r="1341">
      <c r="A1341" s="1"/>
      <c r="B1341" s="25" t="s">
        <v>233</v>
      </c>
      <c r="E1341" s="26" t="s">
        <v>234</v>
      </c>
      <c r="F1341" s="28" t="str">
        <f>HYPERLINK("https://www.twitch.tv/videos/226394302",'Players&gt;List'!$B24)</f>
        <v>[NIM]</v>
      </c>
      <c r="G1341" s="1"/>
      <c r="H1341" s="1"/>
      <c r="I1341" s="1"/>
      <c r="J1341" s="1"/>
      <c r="K1341" s="1"/>
      <c r="L1341" s="1"/>
      <c r="M1341" s="1"/>
      <c r="N1341" s="1"/>
    </row>
    <row r="1342">
      <c r="A1342" s="1"/>
      <c r="B1342" s="14" t="s">
        <v>3527</v>
      </c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"/>
    </row>
    <row r="1343">
      <c r="A1343" s="1"/>
      <c r="B1343" s="4" t="s">
        <v>3529</v>
      </c>
      <c r="D1343" s="9"/>
      <c r="E1343" s="17" t="s">
        <v>14</v>
      </c>
      <c r="F1343" s="28" t="str">
        <f>HYPERLINK("https://youtu.be/qfER_4FpwPY?t=136",'Players&gt;List'!$B10)</f>
        <v>[CAM]</v>
      </c>
      <c r="G1343" s="1"/>
      <c r="H1343" s="1"/>
      <c r="I1343" s="1"/>
      <c r="J1343" s="1"/>
      <c r="K1343" s="1"/>
      <c r="L1343" s="1"/>
      <c r="M1343" s="1"/>
      <c r="N1343" s="1"/>
    </row>
    <row r="1344">
      <c r="A1344" s="1"/>
      <c r="B1344" s="25" t="s">
        <v>157</v>
      </c>
      <c r="E1344" s="26" t="s">
        <v>110</v>
      </c>
      <c r="F1344" s="1"/>
      <c r="G1344" s="1"/>
      <c r="H1344" s="1"/>
      <c r="I1344" s="1"/>
      <c r="J1344" s="1"/>
      <c r="K1344" s="1"/>
      <c r="L1344" s="1"/>
      <c r="M1344" s="1"/>
      <c r="N1344" s="1"/>
    </row>
    <row r="1345">
      <c r="A1345" s="1"/>
      <c r="B1345" s="25" t="s">
        <v>117</v>
      </c>
      <c r="E1345" s="26" t="s">
        <v>132</v>
      </c>
      <c r="F1345" s="1"/>
      <c r="G1345" s="1"/>
      <c r="H1345" s="1"/>
      <c r="I1345" s="1"/>
      <c r="J1345" s="1"/>
      <c r="K1345" s="1"/>
      <c r="L1345" s="1"/>
      <c r="M1345" s="1"/>
      <c r="N1345" s="1"/>
    </row>
    <row r="1346">
      <c r="A1346" s="1"/>
      <c r="B1346" s="14" t="s">
        <v>3542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"/>
    </row>
    <row r="1347">
      <c r="A1347" s="1"/>
      <c r="B1347" s="4" t="s">
        <v>3544</v>
      </c>
      <c r="D1347" s="9"/>
      <c r="E1347" s="17" t="s">
        <v>14</v>
      </c>
      <c r="F1347" s="28" t="str">
        <f>HYPERLINK("https://youtu.be/qfER_4FpwPY?t=211",'Players&gt;List'!$B10)</f>
        <v>[CAM]</v>
      </c>
      <c r="G1347" s="1"/>
      <c r="H1347" s="1"/>
      <c r="I1347" s="1"/>
      <c r="J1347" s="1"/>
      <c r="K1347" s="1"/>
      <c r="L1347" s="1"/>
      <c r="M1347" s="1"/>
      <c r="N1347" s="1"/>
    </row>
    <row r="1348">
      <c r="A1348" s="1"/>
      <c r="B1348" s="25" t="s">
        <v>117</v>
      </c>
      <c r="E1348" s="26" t="s">
        <v>110</v>
      </c>
      <c r="F1348" s="28" t="str">
        <f>HYPERLINK("https://www.twitch.tv/videos/226395311",'Players&gt;List'!$B24)</f>
        <v>[NIM]</v>
      </c>
      <c r="G1348" s="1"/>
      <c r="H1348" s="1"/>
      <c r="I1348" s="1"/>
      <c r="J1348" s="1"/>
      <c r="K1348" s="1"/>
      <c r="L1348" s="1"/>
      <c r="M1348" s="1"/>
      <c r="N1348" s="1"/>
    </row>
    <row r="1349">
      <c r="A1349" s="1"/>
      <c r="B1349" s="14" t="s">
        <v>3551</v>
      </c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"/>
    </row>
    <row r="1350">
      <c r="A1350" s="1"/>
      <c r="B1350" s="4" t="s">
        <v>3553</v>
      </c>
      <c r="D1350" s="9"/>
      <c r="E1350" s="17" t="s">
        <v>14</v>
      </c>
      <c r="F1350" s="28" t="str">
        <f>HYPERLINK("https://www.youtube.com/watch?v=EurKbqCfHW0&amp;t=0s&amp;list=PLbU6uWaIKemqNvTeRxK-Ay6PRg9iwCKVi&amp;index=76",'Players&gt;List'!$B19)</f>
        <v>[HIT]</v>
      </c>
      <c r="G1350" s="28" t="str">
        <f>HYPERLINK("https://youtu.be/qfER_4FpwPY?t=701",'Players&gt;List'!$B10)</f>
        <v>[CAM]</v>
      </c>
      <c r="H1350" s="28" t="str">
        <f>HYPERLINK("https://www.youtube.com/watch?v=Aa9Uh0S2rTA",'Players&gt;List'!$B18)</f>
        <v>[HGB]</v>
      </c>
      <c r="I1350" s="1"/>
      <c r="J1350" s="1"/>
      <c r="K1350" s="1"/>
      <c r="L1350" s="1"/>
      <c r="M1350" s="1"/>
      <c r="N1350" s="1"/>
    </row>
    <row r="1351">
      <c r="A1351" s="1"/>
      <c r="B1351" s="25" t="s">
        <v>1147</v>
      </c>
      <c r="E1351" s="26" t="s">
        <v>110</v>
      </c>
      <c r="F1351" s="28" t="str">
        <f>HYPERLINK("https://www.youtube.com/watch?v=Zk0g2PEH0BM&amp;index=319&amp;list=PLbU6uWaIKemqNvTeRxK-Ay6PRg9iwCKVi&amp;t=0s",'Players&gt;List'!$B19)</f>
        <v>[HIT]</v>
      </c>
      <c r="G1351" s="1"/>
      <c r="H1351" s="1"/>
      <c r="I1351" s="1"/>
      <c r="J1351" s="1"/>
      <c r="K1351" s="1"/>
      <c r="L1351" s="1"/>
      <c r="M1351" s="1"/>
      <c r="N1351" s="1"/>
    </row>
    <row r="1352">
      <c r="A1352" s="1"/>
      <c r="B1352" s="25" t="s">
        <v>88</v>
      </c>
      <c r="E1352" s="26" t="s">
        <v>147</v>
      </c>
      <c r="F1352" s="1"/>
      <c r="G1352" s="1"/>
      <c r="H1352" s="1"/>
      <c r="I1352" s="1"/>
      <c r="J1352" s="1"/>
      <c r="K1352" s="1"/>
      <c r="L1352" s="1"/>
      <c r="M1352" s="1"/>
      <c r="N1352" s="1"/>
    </row>
    <row r="1353">
      <c r="A1353" s="1"/>
      <c r="B1353" s="14" t="s">
        <v>3561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"/>
    </row>
    <row r="1354">
      <c r="A1354" s="1"/>
      <c r="B1354" s="4" t="s">
        <v>3563</v>
      </c>
      <c r="D1354" s="9"/>
      <c r="E1354" s="17" t="s">
        <v>14</v>
      </c>
      <c r="F1354" s="28" t="str">
        <f>HYPERLINK("https://youtu.be/ho5HsAAu7C4?t=22",'Players&gt;List'!$B10)</f>
        <v>[CAM]</v>
      </c>
      <c r="G1354" s="1"/>
      <c r="H1354" s="1"/>
      <c r="I1354" s="1"/>
      <c r="J1354" s="1"/>
      <c r="K1354" s="1"/>
      <c r="L1354" s="1"/>
      <c r="M1354" s="1"/>
      <c r="N1354" s="1"/>
    </row>
    <row r="1355">
      <c r="A1355" s="1"/>
      <c r="B1355" s="25" t="s">
        <v>88</v>
      </c>
      <c r="E1355" s="26" t="s">
        <v>90</v>
      </c>
      <c r="F1355" s="28" t="str">
        <f>HYPERLINK("https://www.twitch.tv/videos/226396307",'Players&gt;List'!$B24)</f>
        <v>[NIM]</v>
      </c>
      <c r="G1355" s="1"/>
      <c r="H1355" s="1"/>
      <c r="I1355" s="1"/>
      <c r="J1355" s="1"/>
      <c r="K1355" s="1"/>
      <c r="L1355" s="1"/>
      <c r="M1355" s="1"/>
      <c r="N1355" s="1"/>
    </row>
    <row r="1356">
      <c r="A1356" s="1"/>
      <c r="B1356" s="14" t="s">
        <v>3564</v>
      </c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"/>
    </row>
    <row r="1357">
      <c r="A1357" s="1"/>
      <c r="B1357" s="4" t="s">
        <v>3566</v>
      </c>
      <c r="D1357" s="9"/>
      <c r="E1357" s="17" t="s">
        <v>14</v>
      </c>
      <c r="F1357" s="28" t="str">
        <f>HYPERLINK("https://youtu.be/ho5HsAAu7C4?t=179",'Players&gt;List'!$B10)</f>
        <v>[CAM]</v>
      </c>
      <c r="G1357" s="1"/>
      <c r="H1357" s="1"/>
      <c r="I1357" s="1"/>
      <c r="J1357" s="1"/>
      <c r="K1357" s="1"/>
      <c r="L1357" s="1"/>
      <c r="M1357" s="1"/>
      <c r="N1357" s="1"/>
    </row>
    <row r="1358">
      <c r="A1358" s="1"/>
      <c r="B1358" s="25" t="s">
        <v>88</v>
      </c>
      <c r="E1358" s="26" t="s">
        <v>90</v>
      </c>
      <c r="F1358" s="1"/>
      <c r="G1358" s="1"/>
      <c r="H1358" s="1"/>
      <c r="I1358" s="1"/>
      <c r="J1358" s="1"/>
      <c r="K1358" s="1"/>
      <c r="L1358" s="1"/>
      <c r="M1358" s="1"/>
      <c r="N1358" s="1"/>
    </row>
    <row r="1359">
      <c r="A1359" s="1"/>
      <c r="B1359" s="14" t="s">
        <v>3570</v>
      </c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"/>
    </row>
    <row r="1360">
      <c r="A1360" s="1"/>
      <c r="B1360" s="4" t="s">
        <v>3571</v>
      </c>
      <c r="D1360" s="9"/>
      <c r="E1360" s="17" t="s">
        <v>14</v>
      </c>
      <c r="F1360" s="28" t="str">
        <f>HYPERLINK("https://youtu.be/ho5HsAAu7C4?t=224",'Players&gt;List'!$B10)</f>
        <v>[CAM]</v>
      </c>
      <c r="G1360" s="1"/>
      <c r="H1360" s="1"/>
      <c r="I1360" s="1"/>
      <c r="J1360" s="1"/>
      <c r="K1360" s="1"/>
      <c r="L1360" s="1"/>
      <c r="M1360" s="1"/>
      <c r="N1360" s="1"/>
    </row>
    <row r="1361">
      <c r="A1361" s="1"/>
      <c r="B1361" s="25" t="s">
        <v>88</v>
      </c>
      <c r="E1361" s="26" t="s">
        <v>90</v>
      </c>
      <c r="F1361" s="1"/>
      <c r="G1361" s="1"/>
      <c r="H1361" s="1"/>
      <c r="I1361" s="1"/>
      <c r="J1361" s="1"/>
      <c r="K1361" s="1"/>
      <c r="L1361" s="1"/>
      <c r="M1361" s="1"/>
      <c r="N1361" s="1"/>
    </row>
    <row r="1362">
      <c r="A1362" s="1"/>
      <c r="B1362" s="14" t="s">
        <v>3573</v>
      </c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"/>
    </row>
    <row r="1363">
      <c r="A1363" s="1"/>
      <c r="B1363" s="4" t="s">
        <v>3575</v>
      </c>
      <c r="D1363" s="9"/>
      <c r="E1363" s="17" t="s">
        <v>14</v>
      </c>
      <c r="F1363" s="28" t="str">
        <f>HYPERLINK("https://youtu.be/ho5HsAAu7C4?t=246",'Players&gt;List'!$B10)</f>
        <v>[CAM]</v>
      </c>
      <c r="G1363" s="1"/>
      <c r="H1363" s="1"/>
      <c r="I1363" s="1"/>
      <c r="J1363" s="1"/>
      <c r="K1363" s="1"/>
      <c r="L1363" s="1"/>
      <c r="M1363" s="1"/>
      <c r="N1363" s="1"/>
    </row>
    <row r="1364">
      <c r="A1364" s="1"/>
      <c r="B1364" s="25" t="s">
        <v>88</v>
      </c>
      <c r="E1364" s="26" t="s">
        <v>90</v>
      </c>
      <c r="F1364" s="1"/>
      <c r="G1364" s="1"/>
      <c r="H1364" s="1"/>
      <c r="I1364" s="1"/>
      <c r="J1364" s="1"/>
      <c r="K1364" s="1"/>
      <c r="L1364" s="1"/>
      <c r="M1364" s="1"/>
      <c r="N1364" s="1"/>
    </row>
    <row r="1365">
      <c r="A1365" s="1"/>
      <c r="B1365" s="25" t="s">
        <v>149</v>
      </c>
      <c r="E1365" s="26" t="s">
        <v>147</v>
      </c>
      <c r="F1365" s="1"/>
      <c r="G1365" s="1"/>
      <c r="H1365" s="1"/>
      <c r="I1365" s="1"/>
      <c r="J1365" s="1"/>
      <c r="K1365" s="1"/>
      <c r="L1365" s="1"/>
      <c r="M1365" s="1"/>
      <c r="N1365" s="1"/>
    </row>
    <row r="1366">
      <c r="A1366" s="1"/>
      <c r="B1366" s="14" t="s">
        <v>3576</v>
      </c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"/>
    </row>
    <row r="1367">
      <c r="A1367" s="1"/>
      <c r="B1367" s="4" t="s">
        <v>3577</v>
      </c>
      <c r="D1367" s="9"/>
      <c r="E1367" s="17" t="s">
        <v>14</v>
      </c>
      <c r="F1367" s="28" t="str">
        <f>HYPERLINK("https://youtu.be/ho5HsAAu7C4?t=402",'Players&gt;List'!$B10)</f>
        <v>[CAM]</v>
      </c>
      <c r="G1367" s="1"/>
      <c r="H1367" s="1"/>
      <c r="I1367" s="1"/>
      <c r="J1367" s="1"/>
      <c r="K1367" s="1"/>
      <c r="L1367" s="1"/>
      <c r="M1367" s="1"/>
      <c r="N1367" s="1"/>
    </row>
    <row r="1368">
      <c r="A1368" s="1"/>
      <c r="B1368" s="25" t="s">
        <v>457</v>
      </c>
      <c r="E1368" s="26" t="s">
        <v>110</v>
      </c>
      <c r="F1368" s="1"/>
      <c r="G1368" s="1"/>
      <c r="H1368" s="1"/>
      <c r="I1368" s="1"/>
      <c r="J1368" s="1"/>
      <c r="K1368" s="1"/>
      <c r="L1368" s="1"/>
      <c r="M1368" s="1"/>
      <c r="N1368" s="1"/>
    </row>
    <row r="1369">
      <c r="A1369" s="1"/>
      <c r="B1369" s="25" t="s">
        <v>88</v>
      </c>
      <c r="E1369" s="26" t="s">
        <v>147</v>
      </c>
      <c r="F1369" s="1"/>
      <c r="G1369" s="1"/>
      <c r="H1369" s="1"/>
      <c r="I1369" s="1"/>
      <c r="J1369" s="1"/>
      <c r="K1369" s="1"/>
      <c r="L1369" s="1"/>
      <c r="M1369" s="1"/>
      <c r="N1369" s="1"/>
    </row>
    <row r="1370">
      <c r="A1370" s="1"/>
      <c r="B1370" s="25" t="s">
        <v>335</v>
      </c>
      <c r="E1370" s="26" t="s">
        <v>147</v>
      </c>
      <c r="F1370" s="1"/>
      <c r="G1370" s="1"/>
      <c r="H1370" s="1"/>
      <c r="I1370" s="1"/>
      <c r="J1370" s="1"/>
      <c r="K1370" s="1"/>
      <c r="L1370" s="1"/>
      <c r="M1370" s="1"/>
      <c r="N1370" s="1"/>
    </row>
    <row r="1371">
      <c r="A1371" s="1"/>
      <c r="B1371" s="14" t="s">
        <v>3582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"/>
    </row>
    <row r="1372">
      <c r="A1372" s="1"/>
      <c r="B1372" s="4" t="s">
        <v>3583</v>
      </c>
      <c r="D1372" s="9"/>
      <c r="E1372" s="17" t="s">
        <v>14</v>
      </c>
      <c r="F1372" s="28" t="str">
        <f>HYPERLINK("https://youtu.be/6L9IhagMLds?t=15",'Players&gt;List'!$B10)</f>
        <v>[CAM]</v>
      </c>
      <c r="G1372" s="1"/>
      <c r="H1372" s="1"/>
      <c r="I1372" s="1"/>
      <c r="J1372" s="1"/>
      <c r="K1372" s="1"/>
      <c r="L1372" s="1"/>
      <c r="M1372" s="1"/>
      <c r="N1372" s="1"/>
    </row>
    <row r="1373">
      <c r="A1373" s="1"/>
      <c r="B1373" s="25" t="s">
        <v>117</v>
      </c>
      <c r="E1373" s="26" t="s">
        <v>110</v>
      </c>
      <c r="F1373" s="28" t="str">
        <f>HYPERLINK("https://www.youtube.com/watch?v=BKkJi70aXEo",'Players&gt;List'!$B15)</f>
        <v>[FNY]</v>
      </c>
      <c r="G1373" s="1"/>
      <c r="H1373" s="1"/>
      <c r="I1373" s="1"/>
      <c r="J1373" s="1"/>
      <c r="K1373" s="1"/>
      <c r="L1373" s="1"/>
      <c r="M1373" s="1"/>
      <c r="N1373" s="1"/>
    </row>
    <row r="1374">
      <c r="A1374" s="1"/>
      <c r="B1374" s="14" t="s">
        <v>3584</v>
      </c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"/>
    </row>
    <row r="1375">
      <c r="A1375" s="1"/>
      <c r="B1375" s="4" t="s">
        <v>3585</v>
      </c>
      <c r="D1375" s="9"/>
      <c r="E1375" s="17" t="s">
        <v>14</v>
      </c>
      <c r="F1375" s="28" t="str">
        <f>HYPERLINK("https://youtu.be/6L9IhagMLds?t=33",'Players&gt;List'!$B10)</f>
        <v>[CAM]</v>
      </c>
      <c r="G1375" s="1"/>
      <c r="H1375" s="1"/>
      <c r="I1375" s="1"/>
      <c r="J1375" s="1"/>
      <c r="K1375" s="1"/>
      <c r="L1375" s="1"/>
      <c r="M1375" s="1"/>
      <c r="N1375" s="1"/>
    </row>
    <row r="1376">
      <c r="A1376" s="1"/>
      <c r="B1376" s="25" t="s">
        <v>108</v>
      </c>
      <c r="E1376" s="26" t="s">
        <v>110</v>
      </c>
      <c r="F1376" s="1"/>
      <c r="G1376" s="1"/>
      <c r="H1376" s="1"/>
      <c r="I1376" s="1"/>
      <c r="J1376" s="1"/>
      <c r="K1376" s="1"/>
      <c r="L1376" s="1"/>
      <c r="M1376" s="1"/>
      <c r="N1376" s="1"/>
    </row>
    <row r="1377">
      <c r="A1377" s="1"/>
      <c r="B1377" s="14" t="s">
        <v>3588</v>
      </c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"/>
    </row>
    <row r="1378">
      <c r="A1378" s="1"/>
      <c r="B1378" s="4" t="s">
        <v>3590</v>
      </c>
      <c r="D1378" s="9"/>
      <c r="E1378" s="17" t="s">
        <v>14</v>
      </c>
      <c r="F1378" s="28" t="str">
        <f>HYPERLINK("https://youtu.be/6L9IhagMLds?t=78",'Players&gt;List'!$B10)</f>
        <v>[CAM]</v>
      </c>
      <c r="G1378" s="1"/>
      <c r="H1378" s="1"/>
      <c r="I1378" s="1"/>
      <c r="J1378" s="1"/>
      <c r="K1378" s="1"/>
      <c r="L1378" s="1"/>
      <c r="M1378" s="1"/>
      <c r="N1378" s="1"/>
    </row>
    <row r="1379">
      <c r="A1379" s="1"/>
      <c r="B1379" s="25" t="s">
        <v>88</v>
      </c>
      <c r="E1379" s="26" t="s">
        <v>90</v>
      </c>
      <c r="F1379" s="1"/>
      <c r="G1379" s="1"/>
      <c r="H1379" s="1"/>
      <c r="I1379" s="1"/>
      <c r="J1379" s="1"/>
      <c r="K1379" s="1"/>
      <c r="L1379" s="1"/>
      <c r="M1379" s="1"/>
      <c r="N1379" s="1"/>
    </row>
    <row r="1380">
      <c r="A1380" s="1"/>
      <c r="B1380" s="14" t="s">
        <v>3594</v>
      </c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"/>
    </row>
    <row r="1381">
      <c r="A1381" s="1"/>
      <c r="B1381" s="4" t="s">
        <v>3595</v>
      </c>
      <c r="D1381" s="9"/>
      <c r="E1381" s="17" t="s">
        <v>14</v>
      </c>
      <c r="F1381" s="28" t="str">
        <f>HYPERLINK("https://youtu.be/6L9IhagMLds?t=110",'Players&gt;List'!$B10)</f>
        <v>[CAM]</v>
      </c>
      <c r="G1381" s="1"/>
      <c r="H1381" s="1"/>
      <c r="I1381" s="1"/>
      <c r="J1381" s="1"/>
      <c r="K1381" s="1"/>
      <c r="L1381" s="1"/>
      <c r="M1381" s="1"/>
      <c r="N1381" s="1"/>
    </row>
    <row r="1382">
      <c r="A1382" s="1"/>
      <c r="B1382" s="25" t="s">
        <v>149</v>
      </c>
      <c r="E1382" s="26" t="s">
        <v>90</v>
      </c>
      <c r="F1382" s="1"/>
      <c r="G1382" s="1"/>
      <c r="H1382" s="1"/>
      <c r="I1382" s="1"/>
      <c r="J1382" s="1"/>
      <c r="K1382" s="1"/>
      <c r="L1382" s="1"/>
      <c r="M1382" s="1"/>
      <c r="N1382" s="1"/>
    </row>
    <row r="1383">
      <c r="A1383" s="1"/>
      <c r="B1383" s="25" t="s">
        <v>117</v>
      </c>
      <c r="E1383" s="26" t="s">
        <v>132</v>
      </c>
      <c r="F1383" s="1"/>
      <c r="G1383" s="1"/>
      <c r="H1383" s="1"/>
      <c r="I1383" s="1"/>
      <c r="J1383" s="1"/>
      <c r="K1383" s="1"/>
      <c r="L1383" s="1"/>
      <c r="M1383" s="1"/>
      <c r="N1383" s="1"/>
    </row>
    <row r="1384">
      <c r="A1384" s="1"/>
      <c r="B1384" s="14" t="s">
        <v>3596</v>
      </c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"/>
    </row>
    <row r="1385">
      <c r="A1385" s="1"/>
      <c r="B1385" s="4" t="s">
        <v>3598</v>
      </c>
      <c r="D1385" s="9"/>
      <c r="E1385" s="17" t="s">
        <v>14</v>
      </c>
      <c r="F1385" s="28" t="str">
        <f>HYPERLINK("https://www.youtube.com/watch?v=ySKs2tkySj4&amp;t=0s&amp;list=PLbU6uWaIKemqNvTeRxK-Ay6PRg9iwCKVi&amp;index=65",'Players&gt;List'!$B19)</f>
        <v>[HIT]</v>
      </c>
      <c r="G1385" s="28" t="str">
        <f>HYPERLINK("https://youtu.be/6L9IhagMLds?t=482",'Players&gt;List'!$B10)</f>
        <v>[CAM]</v>
      </c>
      <c r="H1385" s="1"/>
      <c r="I1385" s="1"/>
      <c r="J1385" s="1"/>
      <c r="K1385" s="1"/>
      <c r="L1385" s="1"/>
      <c r="M1385" s="1"/>
      <c r="N1385" s="1"/>
    </row>
    <row r="1386">
      <c r="A1386" s="1"/>
      <c r="B1386" s="25" t="s">
        <v>88</v>
      </c>
      <c r="E1386" s="26" t="s">
        <v>90</v>
      </c>
      <c r="F1386" s="28" t="str">
        <f>HYPERLINK("https://www.youtube.com/watch?v=qrfeOGCYhBM&amp;index=270&amp;list=PLbU6uWaIKemqNvTeRxK-Ay6PRg9iwCKVi&amp;t=0s",'Players&gt;List'!$B19)</f>
        <v>[HIT]</v>
      </c>
      <c r="G1386" s="28" t="str">
        <f>HYPERLINK("https://www.youtube.com/watch?v=3q47xbi7SpI",'Players&gt;List'!$B8)</f>
        <v>[ABA]</v>
      </c>
      <c r="H1386" s="1"/>
      <c r="I1386" s="1"/>
      <c r="J1386" s="1"/>
      <c r="K1386" s="1"/>
      <c r="L1386" s="1"/>
      <c r="M1386" s="1"/>
      <c r="N1386" s="1"/>
    </row>
    <row r="1387">
      <c r="A1387" s="1"/>
      <c r="B1387" s="14" t="s">
        <v>3608</v>
      </c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"/>
    </row>
    <row r="1388">
      <c r="A1388" s="1"/>
      <c r="B1388" s="4" t="s">
        <v>3611</v>
      </c>
      <c r="D1388" s="9"/>
      <c r="E1388" s="17" t="s">
        <v>14</v>
      </c>
      <c r="F1388" s="28" t="str">
        <f>HYPERLINK("https://youtu.be/t1sh0YT54Fg?t=16",'Players&gt;List'!$B10)</f>
        <v>[CAM]</v>
      </c>
      <c r="G1388" s="1"/>
      <c r="H1388" s="1"/>
      <c r="I1388" s="1"/>
      <c r="J1388" s="1"/>
      <c r="K1388" s="1"/>
      <c r="L1388" s="1"/>
      <c r="M1388" s="1"/>
      <c r="N1388" s="1"/>
    </row>
    <row r="1389">
      <c r="A1389" s="1"/>
      <c r="B1389" s="25" t="s">
        <v>88</v>
      </c>
      <c r="E1389" s="26" t="s">
        <v>90</v>
      </c>
      <c r="F1389" s="1"/>
      <c r="G1389" s="1"/>
      <c r="H1389" s="1"/>
      <c r="I1389" s="1"/>
      <c r="J1389" s="1"/>
      <c r="K1389" s="1"/>
      <c r="L1389" s="1"/>
      <c r="M1389" s="1"/>
      <c r="N1389" s="1"/>
    </row>
    <row r="1390">
      <c r="A1390" s="1"/>
      <c r="B1390" s="14" t="s">
        <v>3612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"/>
    </row>
    <row r="1391">
      <c r="A1391" s="1"/>
      <c r="B1391" s="4" t="s">
        <v>3613</v>
      </c>
      <c r="D1391" s="9"/>
      <c r="E1391" s="17" t="s">
        <v>14</v>
      </c>
      <c r="F1391" s="28" t="str">
        <f>HYPERLINK("https://youtu.be/t1sh0YT54Fg?t=70",'Players&gt;List'!$B10)</f>
        <v>[CAM]</v>
      </c>
      <c r="G1391" s="1"/>
      <c r="H1391" s="1"/>
      <c r="I1391" s="1"/>
      <c r="J1391" s="1"/>
      <c r="K1391" s="1"/>
      <c r="L1391" s="1"/>
      <c r="M1391" s="1"/>
      <c r="N1391" s="1"/>
    </row>
    <row r="1392">
      <c r="A1392" s="1"/>
      <c r="B1392" s="25" t="s">
        <v>108</v>
      </c>
      <c r="E1392" s="26" t="s">
        <v>110</v>
      </c>
      <c r="F1392" s="1"/>
      <c r="G1392" s="1"/>
      <c r="H1392" s="1"/>
      <c r="I1392" s="1"/>
      <c r="J1392" s="1"/>
      <c r="K1392" s="1"/>
      <c r="L1392" s="1"/>
      <c r="M1392" s="1"/>
      <c r="N1392" s="1"/>
    </row>
    <row r="1393">
      <c r="A1393" s="1"/>
      <c r="B1393" s="14" t="s">
        <v>3616</v>
      </c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"/>
    </row>
    <row r="1394">
      <c r="A1394" s="1"/>
      <c r="B1394" s="4" t="s">
        <v>3617</v>
      </c>
      <c r="D1394" s="9"/>
      <c r="E1394" s="17" t="s">
        <v>14</v>
      </c>
      <c r="F1394" s="28" t="str">
        <f>HYPERLINK("https://youtu.be/t1sh0YT54Fg?t=91",'Players&gt;List'!$B10)</f>
        <v>[CAM]</v>
      </c>
      <c r="G1394" s="1"/>
      <c r="H1394" s="1"/>
      <c r="I1394" s="1"/>
      <c r="J1394" s="1"/>
      <c r="K1394" s="1"/>
      <c r="L1394" s="1"/>
      <c r="M1394" s="1"/>
      <c r="N1394" s="1"/>
    </row>
    <row r="1395">
      <c r="A1395" s="1"/>
      <c r="B1395" s="25" t="s">
        <v>88</v>
      </c>
      <c r="E1395" s="26" t="s">
        <v>90</v>
      </c>
      <c r="F1395" s="1"/>
      <c r="G1395" s="1"/>
      <c r="H1395" s="1"/>
      <c r="I1395" s="1"/>
      <c r="J1395" s="1"/>
      <c r="K1395" s="1"/>
      <c r="L1395" s="1"/>
      <c r="M1395" s="1"/>
      <c r="N1395" s="1"/>
    </row>
    <row r="1396">
      <c r="A1396" s="1"/>
      <c r="B1396" s="14" t="s">
        <v>3618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"/>
    </row>
    <row r="1397">
      <c r="A1397" s="1"/>
      <c r="B1397" s="4" t="s">
        <v>3621</v>
      </c>
      <c r="D1397" s="9"/>
      <c r="E1397" s="17" t="s">
        <v>14</v>
      </c>
      <c r="F1397" s="28" t="str">
        <f>HYPERLINK("https://youtu.be/t1sh0YT54Fg?t=122",'Players&gt;List'!$B10)</f>
        <v>[CAM]</v>
      </c>
      <c r="G1397" s="1"/>
      <c r="H1397" s="1"/>
      <c r="I1397" s="1"/>
      <c r="J1397" s="1"/>
      <c r="K1397" s="1"/>
      <c r="L1397" s="1"/>
      <c r="M1397" s="1"/>
      <c r="N1397" s="1"/>
    </row>
    <row r="1398">
      <c r="A1398" s="1"/>
      <c r="B1398" s="25" t="s">
        <v>379</v>
      </c>
      <c r="E1398" s="26" t="s">
        <v>380</v>
      </c>
      <c r="F1398" s="1"/>
      <c r="G1398" s="1"/>
      <c r="H1398" s="1"/>
      <c r="I1398" s="1"/>
      <c r="J1398" s="1"/>
      <c r="K1398" s="1"/>
      <c r="L1398" s="1"/>
      <c r="M1398" s="1"/>
      <c r="N1398" s="1"/>
    </row>
    <row r="1399">
      <c r="A1399" s="1"/>
      <c r="B1399" s="25" t="s">
        <v>3622</v>
      </c>
      <c r="E1399" s="26" t="s">
        <v>1418</v>
      </c>
      <c r="F1399" s="1"/>
      <c r="G1399" s="1"/>
      <c r="H1399" s="1"/>
      <c r="I1399" s="1"/>
      <c r="J1399" s="1"/>
      <c r="K1399" s="1"/>
      <c r="L1399" s="1"/>
      <c r="M1399" s="1"/>
      <c r="N1399" s="1"/>
    </row>
    <row r="1400">
      <c r="A1400" s="1"/>
      <c r="B1400" s="14" t="s">
        <v>3623</v>
      </c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"/>
    </row>
    <row r="1401">
      <c r="A1401" s="1"/>
      <c r="B1401" s="4" t="s">
        <v>3624</v>
      </c>
      <c r="D1401" s="9"/>
      <c r="E1401" s="17" t="s">
        <v>14</v>
      </c>
      <c r="F1401" s="28" t="str">
        <f>HYPERLINK("https://youtu.be/t1sh0YT54Fg?t=300",'Players&gt;List'!$B10)</f>
        <v>[CAM]</v>
      </c>
      <c r="G1401" s="1"/>
      <c r="H1401" s="1"/>
      <c r="I1401" s="1"/>
      <c r="J1401" s="1"/>
      <c r="K1401" s="1"/>
      <c r="L1401" s="1"/>
      <c r="M1401" s="1"/>
      <c r="N1401" s="1"/>
    </row>
    <row r="1402">
      <c r="A1402" s="1"/>
      <c r="B1402" s="25" t="s">
        <v>2296</v>
      </c>
      <c r="E1402" s="26" t="s">
        <v>234</v>
      </c>
      <c r="F1402" s="1"/>
      <c r="G1402" s="1"/>
      <c r="H1402" s="1"/>
      <c r="I1402" s="1"/>
      <c r="J1402" s="1"/>
      <c r="K1402" s="1"/>
      <c r="L1402" s="1"/>
      <c r="M1402" s="1"/>
      <c r="N1402" s="1"/>
    </row>
    <row r="1403">
      <c r="A1403" s="1"/>
      <c r="B1403" s="25" t="s">
        <v>2299</v>
      </c>
      <c r="E1403" s="26" t="s">
        <v>132</v>
      </c>
      <c r="F1403" s="28" t="str">
        <f>HYPERLINK("https://www.youtube.com/watch?v=IQ6A6rOgpR8",'Players&gt;List'!$B28)</f>
        <v>[SUN]</v>
      </c>
      <c r="G1403" s="1"/>
      <c r="H1403" s="1"/>
      <c r="I1403" s="1"/>
      <c r="J1403" s="1"/>
      <c r="K1403" s="1"/>
      <c r="L1403" s="1"/>
      <c r="M1403" s="1"/>
      <c r="N1403" s="1"/>
    </row>
    <row r="1404">
      <c r="A1404" s="1"/>
      <c r="B1404" s="14" t="s">
        <v>3631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"/>
    </row>
    <row r="1405">
      <c r="A1405" s="1"/>
      <c r="B1405" s="4" t="s">
        <v>3633</v>
      </c>
      <c r="D1405" s="9"/>
      <c r="E1405" s="17" t="s">
        <v>14</v>
      </c>
      <c r="F1405" s="28" t="str">
        <f>HYPERLINK("https://youtu.be/t1sh0YT54Fg?t=357",'Players&gt;List'!$B10)</f>
        <v>[CAM]</v>
      </c>
      <c r="G1405" s="28" t="str">
        <f>HYPERLINK("https://www.youtube.com/watch?v=jmfAuA9V7V4",'Players&gt;List'!$B29)</f>
        <v>[SYS]</v>
      </c>
      <c r="H1405" s="1"/>
      <c r="I1405" s="1"/>
      <c r="J1405" s="1"/>
      <c r="K1405" s="1"/>
      <c r="L1405" s="1"/>
      <c r="M1405" s="1"/>
      <c r="N1405" s="1"/>
    </row>
    <row r="1406">
      <c r="A1406" s="1"/>
      <c r="B1406" s="25" t="s">
        <v>131</v>
      </c>
      <c r="E1406" s="26" t="s">
        <v>110</v>
      </c>
      <c r="F1406" s="28" t="str">
        <f>HYPERLINK("https://www.youtube.com/watch?v=UFsWKvPvWxY",'Players&gt;List'!$B18)</f>
        <v>[HGB]</v>
      </c>
      <c r="G1406" s="1"/>
      <c r="H1406" s="1"/>
      <c r="I1406" s="1"/>
      <c r="J1406" s="1"/>
      <c r="K1406" s="1"/>
      <c r="L1406" s="1"/>
      <c r="M1406" s="1"/>
      <c r="N1406" s="1"/>
    </row>
    <row r="1407">
      <c r="A1407" s="1"/>
      <c r="B1407" s="25" t="s">
        <v>108</v>
      </c>
      <c r="E1407" s="26" t="s">
        <v>132</v>
      </c>
      <c r="F1407" s="1"/>
      <c r="G1407" s="1"/>
      <c r="H1407" s="1"/>
      <c r="I1407" s="1"/>
      <c r="J1407" s="1"/>
      <c r="K1407" s="1"/>
      <c r="L1407" s="1"/>
      <c r="M1407" s="1"/>
      <c r="N1407" s="1"/>
    </row>
    <row r="1408">
      <c r="A1408" s="1"/>
      <c r="B1408" s="14" t="s">
        <v>3640</v>
      </c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"/>
    </row>
    <row r="1409">
      <c r="A1409" s="1"/>
      <c r="B1409" s="4" t="s">
        <v>3641</v>
      </c>
      <c r="D1409" s="9"/>
      <c r="E1409" s="17" t="s">
        <v>14</v>
      </c>
      <c r="F1409" s="28" t="str">
        <f>HYPERLINK("https://youtu.be/t1sh0YT54Fg?t=557",'Players&gt;List'!$B10)</f>
        <v>[CAM]</v>
      </c>
      <c r="G1409" s="28" t="str">
        <f>HYPERLINK("https://youtu.be/jmfAuA9V7V4?t=24s",'Players&gt;List'!$B29)</f>
        <v>[SYS]</v>
      </c>
      <c r="H1409" s="1"/>
      <c r="I1409" s="1"/>
      <c r="J1409" s="1"/>
      <c r="K1409" s="1"/>
      <c r="L1409" s="1"/>
      <c r="M1409" s="1"/>
      <c r="N1409" s="1"/>
    </row>
    <row r="1410">
      <c r="A1410" s="1"/>
      <c r="B1410" s="25" t="s">
        <v>88</v>
      </c>
      <c r="E1410" s="26" t="s">
        <v>90</v>
      </c>
      <c r="F1410" s="1"/>
      <c r="G1410" s="1"/>
      <c r="H1410" s="1"/>
      <c r="I1410" s="1"/>
      <c r="J1410" s="1"/>
      <c r="K1410" s="1"/>
      <c r="L1410" s="1"/>
      <c r="M1410" s="1"/>
      <c r="N1410" s="1"/>
    </row>
    <row r="1411">
      <c r="A1411" s="1"/>
      <c r="B1411" s="14" t="s">
        <v>3646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"/>
    </row>
    <row r="1412">
      <c r="A1412" s="1"/>
      <c r="B1412" s="4" t="s">
        <v>3648</v>
      </c>
      <c r="D1412" s="9"/>
      <c r="E1412" s="17" t="s">
        <v>14</v>
      </c>
      <c r="F1412" s="28" t="str">
        <f>HYPERLINK("https://youtu.be/t1sh0YT54Fg?t=644",'Players&gt;List'!$B10)</f>
        <v>[CAM]</v>
      </c>
      <c r="G1412" s="28" t="str">
        <f>HYPERLINK("https://youtu.be/jmfAuA9V7V4?t=1m16s",'Players&gt;List'!$B29)</f>
        <v>[SYS]</v>
      </c>
      <c r="H1412" s="1"/>
      <c r="I1412" s="1"/>
      <c r="J1412" s="1"/>
      <c r="K1412" s="1"/>
      <c r="L1412" s="1"/>
      <c r="M1412" s="1"/>
      <c r="N1412" s="1"/>
    </row>
    <row r="1413">
      <c r="A1413" s="1"/>
      <c r="B1413" s="25" t="s">
        <v>131</v>
      </c>
      <c r="E1413" s="26" t="s">
        <v>110</v>
      </c>
      <c r="F1413" s="1"/>
      <c r="G1413" s="1"/>
      <c r="H1413" s="1"/>
      <c r="I1413" s="1"/>
      <c r="J1413" s="1"/>
      <c r="K1413" s="1"/>
      <c r="L1413" s="1"/>
      <c r="M1413" s="1"/>
      <c r="N1413" s="1"/>
    </row>
    <row r="1414">
      <c r="A1414" s="1"/>
      <c r="B1414" s="14" t="s">
        <v>3656</v>
      </c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"/>
    </row>
    <row r="1415">
      <c r="A1415" s="1"/>
      <c r="B1415" s="4" t="s">
        <v>3659</v>
      </c>
      <c r="D1415" s="9"/>
      <c r="E1415" s="17" t="s">
        <v>14</v>
      </c>
      <c r="F1415" s="28" t="str">
        <f>HYPERLINK("https://youtu.be/t1sh0YT54Fg?t=717",'Players&gt;List'!$B10)</f>
        <v>[CAM]</v>
      </c>
      <c r="G1415" s="28" t="str">
        <f>HYPERLINK("https://youtu.be/jmfAuA9V7V4?t=2m15s",'Players&gt;List'!$B29)</f>
        <v>[SYS]</v>
      </c>
      <c r="H1415" s="1"/>
      <c r="I1415" s="1"/>
      <c r="J1415" s="1"/>
      <c r="K1415" s="1"/>
      <c r="L1415" s="1"/>
      <c r="M1415" s="1"/>
      <c r="N1415" s="1"/>
    </row>
    <row r="1416">
      <c r="A1416" s="1"/>
      <c r="B1416" s="25" t="s">
        <v>1147</v>
      </c>
      <c r="E1416" s="26" t="s">
        <v>110</v>
      </c>
      <c r="F1416" s="1"/>
      <c r="G1416" s="1"/>
      <c r="H1416" s="1"/>
      <c r="I1416" s="1"/>
      <c r="J1416" s="1"/>
      <c r="K1416" s="1"/>
      <c r="L1416" s="1"/>
      <c r="M1416" s="1"/>
      <c r="N1416" s="1"/>
    </row>
    <row r="1417">
      <c r="A1417" s="1"/>
      <c r="B1417" s="14" t="s">
        <v>3660</v>
      </c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"/>
    </row>
    <row r="1418">
      <c r="A1418" s="1"/>
      <c r="B1418" s="4" t="s">
        <v>3663</v>
      </c>
      <c r="D1418" s="9"/>
      <c r="E1418" s="17" t="s">
        <v>14</v>
      </c>
      <c r="F1418" s="28" t="str">
        <f>HYPERLINK("https://youtu.be/t1sh0YT54Fg?t=818",'Players&gt;List'!$B10)</f>
        <v>[CAM]</v>
      </c>
      <c r="G1418" s="28" t="str">
        <f>HYPERLINK("https://youtu.be/jmfAuA9V7V4?t=2m46s",'Players&gt;List'!$B29)</f>
        <v>[SYS]</v>
      </c>
      <c r="H1418" s="1"/>
      <c r="I1418" s="1"/>
      <c r="J1418" s="1"/>
      <c r="K1418" s="1"/>
      <c r="L1418" s="1"/>
      <c r="M1418" s="1"/>
      <c r="N1418" s="1"/>
    </row>
    <row r="1419">
      <c r="A1419" s="1"/>
      <c r="B1419" s="25" t="s">
        <v>117</v>
      </c>
      <c r="E1419" s="26" t="s">
        <v>110</v>
      </c>
      <c r="F1419" s="1"/>
      <c r="G1419" s="1"/>
      <c r="H1419" s="1"/>
      <c r="I1419" s="1"/>
      <c r="J1419" s="1"/>
      <c r="K1419" s="1"/>
      <c r="L1419" s="1"/>
      <c r="M1419" s="1"/>
      <c r="N1419" s="1"/>
    </row>
    <row r="1420">
      <c r="A1420" s="1"/>
      <c r="B1420" s="14" t="s">
        <v>3669</v>
      </c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"/>
    </row>
    <row r="1421">
      <c r="A1421" s="1"/>
      <c r="B1421" s="4" t="s">
        <v>3670</v>
      </c>
      <c r="D1421" s="9"/>
      <c r="E1421" s="17" t="s">
        <v>14</v>
      </c>
      <c r="F1421" s="28" t="str">
        <f>HYPERLINK("https://youtu.be/fgQGlceodBw?t=14",'Players&gt;List'!$B10)</f>
        <v>[CAM]</v>
      </c>
      <c r="G1421" s="1"/>
      <c r="H1421" s="1"/>
      <c r="I1421" s="1"/>
      <c r="J1421" s="1"/>
      <c r="K1421" s="1"/>
      <c r="L1421" s="1"/>
      <c r="M1421" s="1"/>
      <c r="N1421" s="1"/>
    </row>
    <row r="1422">
      <c r="A1422" s="1"/>
      <c r="B1422" s="25" t="s">
        <v>88</v>
      </c>
      <c r="E1422" s="26" t="s">
        <v>90</v>
      </c>
      <c r="F1422" s="28" t="str">
        <f>HYPERLINK("https://www.youtube.com/watch?v=qSZ4oJoB7-8",'Players&gt;List'!$B28)</f>
        <v>[SUN]</v>
      </c>
      <c r="G1422" s="1"/>
      <c r="H1422" s="1"/>
      <c r="I1422" s="1"/>
      <c r="J1422" s="1"/>
      <c r="K1422" s="1"/>
      <c r="L1422" s="1"/>
      <c r="M1422" s="1"/>
      <c r="N1422" s="1"/>
    </row>
    <row r="1423">
      <c r="A1423" s="1"/>
      <c r="B1423" s="14" t="s">
        <v>3674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"/>
    </row>
    <row r="1424">
      <c r="A1424" s="1"/>
      <c r="B1424" s="4" t="s">
        <v>3675</v>
      </c>
      <c r="D1424" s="9"/>
      <c r="E1424" s="17" t="s">
        <v>14</v>
      </c>
      <c r="F1424" s="28" t="str">
        <f>HYPERLINK("https://youtu.be/fgQGlceodBw?t=54",'Players&gt;List'!$B10)</f>
        <v>[CAM]</v>
      </c>
      <c r="G1424" s="1"/>
      <c r="H1424" s="1"/>
      <c r="I1424" s="1"/>
      <c r="J1424" s="1"/>
      <c r="K1424" s="1"/>
      <c r="L1424" s="1"/>
      <c r="M1424" s="1"/>
      <c r="N1424" s="1"/>
    </row>
    <row r="1425">
      <c r="A1425" s="1"/>
      <c r="B1425" s="25" t="s">
        <v>117</v>
      </c>
      <c r="E1425" s="26" t="s">
        <v>110</v>
      </c>
      <c r="F1425" s="1"/>
      <c r="G1425" s="1"/>
      <c r="H1425" s="1"/>
      <c r="I1425" s="1"/>
      <c r="J1425" s="1"/>
      <c r="K1425" s="1"/>
      <c r="L1425" s="1"/>
      <c r="M1425" s="1"/>
      <c r="N1425" s="1"/>
    </row>
    <row r="1426">
      <c r="A1426" s="1"/>
      <c r="B1426" s="14" t="s">
        <v>3676</v>
      </c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"/>
    </row>
    <row r="1427">
      <c r="A1427" s="1"/>
      <c r="B1427" s="4" t="s">
        <v>3677</v>
      </c>
      <c r="D1427" s="9"/>
      <c r="E1427" s="17" t="s">
        <v>14</v>
      </c>
      <c r="F1427" s="28" t="str">
        <f>HYPERLINK("https://youtu.be/fgQGlceodBw?t=151",'Players&gt;List'!$B10)</f>
        <v>[CAM]</v>
      </c>
      <c r="G1427" s="1"/>
      <c r="H1427" s="1"/>
      <c r="I1427" s="1"/>
      <c r="J1427" s="1"/>
      <c r="K1427" s="1"/>
      <c r="L1427" s="1"/>
      <c r="M1427" s="1"/>
      <c r="N1427" s="1"/>
    </row>
    <row r="1428">
      <c r="A1428" s="1"/>
      <c r="B1428" s="25" t="s">
        <v>668</v>
      </c>
      <c r="E1428" s="26" t="s">
        <v>234</v>
      </c>
      <c r="F1428" s="1"/>
      <c r="G1428" s="1"/>
      <c r="H1428" s="1"/>
      <c r="I1428" s="1"/>
      <c r="J1428" s="1"/>
      <c r="K1428" s="1"/>
      <c r="L1428" s="1"/>
      <c r="M1428" s="1"/>
      <c r="N1428" s="1"/>
    </row>
    <row r="1429">
      <c r="A1429" s="1"/>
      <c r="B1429" s="14" t="s">
        <v>3680</v>
      </c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"/>
    </row>
    <row r="1430">
      <c r="A1430" s="1"/>
      <c r="B1430" s="4" t="s">
        <v>3681</v>
      </c>
      <c r="D1430" s="9"/>
      <c r="E1430" s="17" t="s">
        <v>14</v>
      </c>
      <c r="F1430" s="28" t="str">
        <f>HYPERLINK("https://youtu.be/fgQGlceodBw?t=394",'Players&gt;List'!$B10)</f>
        <v>[CAM]</v>
      </c>
      <c r="G1430" s="1"/>
      <c r="H1430" s="1"/>
      <c r="I1430" s="1"/>
      <c r="J1430" s="1"/>
      <c r="K1430" s="1"/>
      <c r="L1430" s="1"/>
      <c r="M1430" s="1"/>
      <c r="N1430" s="1"/>
    </row>
    <row r="1431">
      <c r="A1431" s="1"/>
      <c r="B1431" s="25" t="s">
        <v>157</v>
      </c>
      <c r="E1431" s="26" t="s">
        <v>110</v>
      </c>
      <c r="F1431" s="1"/>
      <c r="G1431" s="1"/>
      <c r="H1431" s="1"/>
      <c r="I1431" s="1"/>
      <c r="J1431" s="1"/>
      <c r="K1431" s="1"/>
      <c r="L1431" s="1"/>
      <c r="M1431" s="1"/>
      <c r="N1431" s="1"/>
    </row>
    <row r="1432">
      <c r="A1432" s="1"/>
      <c r="B1432" s="25" t="s">
        <v>117</v>
      </c>
      <c r="E1432" s="26" t="s">
        <v>132</v>
      </c>
      <c r="F1432" s="1"/>
      <c r="G1432" s="1"/>
      <c r="H1432" s="1"/>
      <c r="I1432" s="1"/>
      <c r="J1432" s="1"/>
      <c r="K1432" s="1"/>
      <c r="L1432" s="1"/>
      <c r="M1432" s="1"/>
      <c r="N1432" s="1"/>
    </row>
    <row r="1433">
      <c r="A1433" s="1"/>
      <c r="B1433" s="14" t="s">
        <v>3684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"/>
    </row>
    <row r="1434">
      <c r="A1434" s="1"/>
      <c r="B1434" s="4" t="s">
        <v>3686</v>
      </c>
      <c r="D1434" s="9"/>
      <c r="E1434" s="17" t="s">
        <v>14</v>
      </c>
      <c r="F1434" s="28" t="str">
        <f>HYPERLINK("https://youtu.be/fgQGlceodBw?t=555",'Players&gt;List'!$B10)</f>
        <v>[CAM]</v>
      </c>
      <c r="G1434" s="1"/>
      <c r="H1434" s="1"/>
      <c r="I1434" s="1"/>
      <c r="J1434" s="1"/>
      <c r="K1434" s="1"/>
      <c r="L1434" s="1"/>
      <c r="M1434" s="1"/>
      <c r="N1434" s="1"/>
    </row>
    <row r="1435">
      <c r="A1435" s="1"/>
      <c r="B1435" s="25" t="s">
        <v>117</v>
      </c>
      <c r="E1435" s="26" t="s">
        <v>110</v>
      </c>
      <c r="F1435" s="1"/>
      <c r="G1435" s="1"/>
      <c r="H1435" s="1"/>
      <c r="I1435" s="1"/>
      <c r="J1435" s="1"/>
      <c r="K1435" s="1"/>
      <c r="L1435" s="1"/>
      <c r="M1435" s="1"/>
      <c r="N1435" s="1"/>
    </row>
    <row r="1436">
      <c r="A1436" s="1"/>
      <c r="B1436" s="14" t="s">
        <v>3689</v>
      </c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"/>
    </row>
    <row r="1437">
      <c r="A1437" s="1"/>
      <c r="B1437" s="4" t="s">
        <v>3691</v>
      </c>
      <c r="D1437" s="9"/>
      <c r="E1437" s="17" t="s">
        <v>14</v>
      </c>
      <c r="F1437" s="28" t="str">
        <f>HYPERLINK("https://youtu.be/R_68kRQnq-8?t=35",'Players&gt;List'!$B10)</f>
        <v>[CAM]</v>
      </c>
      <c r="G1437" s="1"/>
      <c r="H1437" s="1"/>
      <c r="I1437" s="1"/>
      <c r="J1437" s="1"/>
      <c r="K1437" s="1"/>
      <c r="L1437" s="1"/>
      <c r="M1437" s="1"/>
      <c r="N1437" s="1"/>
    </row>
    <row r="1438">
      <c r="A1438" s="1"/>
      <c r="B1438" s="25" t="s">
        <v>117</v>
      </c>
      <c r="E1438" s="26" t="s">
        <v>110</v>
      </c>
      <c r="F1438" s="1"/>
      <c r="G1438" s="1"/>
      <c r="H1438" s="1"/>
      <c r="I1438" s="1"/>
      <c r="J1438" s="1"/>
      <c r="K1438" s="1"/>
      <c r="L1438" s="1"/>
      <c r="M1438" s="1"/>
      <c r="N1438" s="1"/>
    </row>
    <row r="1439">
      <c r="A1439" s="1"/>
      <c r="B1439" s="14" t="s">
        <v>3692</v>
      </c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"/>
    </row>
    <row r="1440">
      <c r="A1440" s="1"/>
      <c r="B1440" s="4" t="s">
        <v>3694</v>
      </c>
      <c r="D1440" s="9"/>
      <c r="E1440" s="17" t="s">
        <v>14</v>
      </c>
      <c r="F1440" s="28" t="str">
        <f>HYPERLINK("https://youtu.be/R_68kRQnq-8?t=70",'Players&gt;List'!$B10)</f>
        <v>[CAM]</v>
      </c>
      <c r="G1440" s="1"/>
      <c r="H1440" s="1"/>
      <c r="I1440" s="1"/>
      <c r="J1440" s="1"/>
      <c r="K1440" s="1"/>
      <c r="L1440" s="1"/>
      <c r="M1440" s="1"/>
      <c r="N1440" s="1"/>
    </row>
    <row r="1441">
      <c r="A1441" s="1"/>
      <c r="B1441" s="25" t="s">
        <v>108</v>
      </c>
      <c r="E1441" s="26" t="s">
        <v>110</v>
      </c>
      <c r="F1441" s="1"/>
      <c r="G1441" s="1"/>
      <c r="H1441" s="1"/>
      <c r="I1441" s="1"/>
      <c r="J1441" s="1"/>
      <c r="K1441" s="1"/>
      <c r="L1441" s="1"/>
      <c r="M1441" s="1"/>
      <c r="N1441" s="1"/>
    </row>
    <row r="1442">
      <c r="A1442" s="1"/>
      <c r="B1442" s="14" t="s">
        <v>3698</v>
      </c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"/>
    </row>
    <row r="1443">
      <c r="A1443" s="1"/>
      <c r="B1443" s="4" t="s">
        <v>3700</v>
      </c>
      <c r="D1443" s="9"/>
      <c r="E1443" s="17" t="s">
        <v>14</v>
      </c>
      <c r="F1443" s="28" t="str">
        <f>HYPERLINK("https://youtu.be/R_68kRQnq-8?t=703",'Players&gt;List'!$B10)</f>
        <v>[CAM]</v>
      </c>
      <c r="G1443" s="1"/>
      <c r="H1443" s="1"/>
      <c r="I1443" s="1"/>
      <c r="J1443" s="1"/>
      <c r="K1443" s="1"/>
      <c r="L1443" s="1"/>
      <c r="M1443" s="1"/>
      <c r="N1443" s="1"/>
    </row>
    <row r="1444">
      <c r="A1444" s="1"/>
      <c r="B1444" s="25" t="s">
        <v>117</v>
      </c>
      <c r="E1444" s="26" t="s">
        <v>110</v>
      </c>
      <c r="F1444" s="1"/>
      <c r="G1444" s="1"/>
      <c r="H1444" s="1"/>
      <c r="I1444" s="1"/>
      <c r="J1444" s="1"/>
      <c r="K1444" s="1"/>
      <c r="L1444" s="1"/>
      <c r="M1444" s="1"/>
      <c r="N1444" s="1"/>
    </row>
    <row r="1445">
      <c r="A1445" s="1"/>
      <c r="B1445" s="14" t="s">
        <v>3702</v>
      </c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"/>
    </row>
    <row r="1446">
      <c r="A1446" s="1"/>
      <c r="B1446" s="4" t="s">
        <v>3703</v>
      </c>
      <c r="D1446" s="9"/>
      <c r="E1446" s="17" t="s">
        <v>14</v>
      </c>
      <c r="F1446" s="28" t="str">
        <f>HYPERLINK("https://youtu.be/R_68kRQnq-8?t=867",'Players&gt;List'!$B10)</f>
        <v>[CAM]</v>
      </c>
      <c r="G1446" s="1"/>
      <c r="H1446" s="1"/>
      <c r="I1446" s="1"/>
      <c r="J1446" s="1"/>
      <c r="K1446" s="1"/>
      <c r="L1446" s="1"/>
      <c r="M1446" s="1"/>
      <c r="N1446" s="1"/>
    </row>
    <row r="1447">
      <c r="A1447" s="1"/>
      <c r="B1447" s="25" t="s">
        <v>88</v>
      </c>
      <c r="E1447" s="26" t="s">
        <v>90</v>
      </c>
      <c r="F1447" s="1"/>
      <c r="G1447" s="1"/>
      <c r="H1447" s="1"/>
      <c r="I1447" s="1"/>
      <c r="J1447" s="1"/>
      <c r="K1447" s="1"/>
      <c r="L1447" s="1"/>
      <c r="M1447" s="1"/>
      <c r="N1447" s="1"/>
    </row>
    <row r="1448">
      <c r="A1448" s="1"/>
      <c r="B1448" s="25" t="s">
        <v>149</v>
      </c>
      <c r="E1448" s="26" t="s">
        <v>147</v>
      </c>
      <c r="F1448" s="1"/>
      <c r="G1448" s="1"/>
      <c r="H1448" s="1"/>
      <c r="I1448" s="1"/>
      <c r="J1448" s="1"/>
      <c r="K1448" s="1"/>
      <c r="L1448" s="1"/>
      <c r="M1448" s="1"/>
      <c r="N1448" s="1"/>
    </row>
    <row r="1449">
      <c r="A1449" s="1"/>
      <c r="B1449" s="25" t="s">
        <v>2557</v>
      </c>
      <c r="E1449" s="26" t="s">
        <v>2185</v>
      </c>
      <c r="F1449" s="1"/>
      <c r="G1449" s="1"/>
      <c r="H1449" s="1"/>
      <c r="I1449" s="1"/>
      <c r="J1449" s="1"/>
      <c r="K1449" s="1"/>
      <c r="L1449" s="1"/>
      <c r="M1449" s="1"/>
      <c r="N1449" s="1"/>
    </row>
    <row r="1450">
      <c r="A1450" s="1"/>
      <c r="B1450" s="14" t="s">
        <v>3707</v>
      </c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"/>
    </row>
    <row r="1451">
      <c r="A1451" s="1"/>
      <c r="B1451" s="4" t="s">
        <v>3709</v>
      </c>
      <c r="D1451" s="9"/>
      <c r="E1451" s="17" t="s">
        <v>14</v>
      </c>
      <c r="F1451" s="28" t="str">
        <f>HYPERLINK("https://youtu.be/R_68kRQnq-8?t=1224",'Players&gt;List'!$B10)</f>
        <v>[CAM]</v>
      </c>
      <c r="G1451" s="1"/>
      <c r="H1451" s="1"/>
      <c r="I1451" s="1"/>
      <c r="J1451" s="1"/>
      <c r="K1451" s="1"/>
      <c r="L1451" s="1"/>
      <c r="M1451" s="1"/>
      <c r="N1451" s="1"/>
    </row>
    <row r="1452">
      <c r="A1452" s="1"/>
      <c r="B1452" s="25" t="s">
        <v>1715</v>
      </c>
      <c r="E1452" s="26" t="s">
        <v>234</v>
      </c>
      <c r="F1452" s="28" t="str">
        <f>HYPERLINK("https://www.youtube.com/watch?v=R6IyfW36FD8",'Players&gt;List'!$B28)</f>
        <v>[SUN]</v>
      </c>
      <c r="G1452" s="1"/>
      <c r="H1452" s="1"/>
      <c r="I1452" s="1"/>
      <c r="J1452" s="1"/>
      <c r="K1452" s="1"/>
      <c r="L1452" s="1"/>
      <c r="M1452" s="1"/>
      <c r="N1452" s="1"/>
    </row>
    <row r="1453">
      <c r="A1453" s="1"/>
      <c r="B1453" s="14" t="s">
        <v>3713</v>
      </c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"/>
    </row>
    <row r="1454">
      <c r="A1454" s="1"/>
      <c r="B1454" s="4" t="s">
        <v>3715</v>
      </c>
      <c r="D1454" s="9"/>
      <c r="E1454" s="17" t="s">
        <v>14</v>
      </c>
      <c r="F1454" s="28" t="str">
        <f>HYPERLINK("https://youtu.be/LxejGZfNXK8?t=16",'Players&gt;List'!$B10)</f>
        <v>[CAM]</v>
      </c>
      <c r="G1454" s="1"/>
      <c r="H1454" s="1"/>
      <c r="I1454" s="1"/>
      <c r="J1454" s="1"/>
      <c r="K1454" s="1"/>
      <c r="L1454" s="1"/>
      <c r="M1454" s="1"/>
      <c r="N1454" s="1"/>
    </row>
    <row r="1455">
      <c r="A1455" s="1"/>
      <c r="B1455" s="25" t="s">
        <v>2213</v>
      </c>
      <c r="E1455" s="26" t="s">
        <v>90</v>
      </c>
      <c r="F1455" s="1"/>
      <c r="G1455" s="1"/>
      <c r="H1455" s="1"/>
      <c r="I1455" s="1"/>
      <c r="J1455" s="1"/>
      <c r="K1455" s="1"/>
      <c r="L1455" s="1"/>
      <c r="M1455" s="1"/>
      <c r="N1455" s="1"/>
    </row>
    <row r="1456">
      <c r="A1456" s="1"/>
      <c r="B1456" s="14" t="s">
        <v>3716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"/>
    </row>
    <row r="1457">
      <c r="A1457" s="1"/>
      <c r="B1457" s="4" t="s">
        <v>3717</v>
      </c>
      <c r="D1457" s="9"/>
      <c r="E1457" s="17" t="s">
        <v>14</v>
      </c>
      <c r="F1457" s="28" t="str">
        <f>HYPERLINK("https://youtu.be/LxejGZfNXK8?t=149",'Players&gt;List'!$B10)</f>
        <v>[CAM]</v>
      </c>
      <c r="G1457" s="1"/>
      <c r="H1457" s="1"/>
      <c r="I1457" s="1"/>
      <c r="J1457" s="1"/>
      <c r="K1457" s="1"/>
      <c r="L1457" s="1"/>
      <c r="M1457" s="1"/>
      <c r="N1457" s="1"/>
    </row>
    <row r="1458">
      <c r="A1458" s="1"/>
      <c r="B1458" s="25" t="s">
        <v>117</v>
      </c>
      <c r="E1458" s="26" t="s">
        <v>110</v>
      </c>
      <c r="F1458" s="1"/>
      <c r="G1458" s="1"/>
      <c r="H1458" s="1"/>
      <c r="I1458" s="1"/>
      <c r="J1458" s="1"/>
      <c r="K1458" s="1"/>
      <c r="L1458" s="1"/>
      <c r="M1458" s="1"/>
      <c r="N1458" s="1"/>
    </row>
    <row r="1459">
      <c r="A1459" s="1"/>
      <c r="B1459" s="14" t="s">
        <v>3718</v>
      </c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"/>
    </row>
    <row r="1460">
      <c r="A1460" s="1"/>
      <c r="B1460" s="4" t="s">
        <v>3720</v>
      </c>
      <c r="D1460" s="9"/>
      <c r="E1460" s="17" t="s">
        <v>14</v>
      </c>
      <c r="F1460" s="28" t="str">
        <f>HYPERLINK("https://youtu.be/LxejGZfNXK8?t=205",'Players&gt;List'!$B10)</f>
        <v>[CAM]</v>
      </c>
      <c r="G1460" s="1"/>
      <c r="H1460" s="1"/>
      <c r="I1460" s="1"/>
      <c r="J1460" s="1"/>
      <c r="K1460" s="1"/>
      <c r="L1460" s="1"/>
      <c r="M1460" s="1"/>
      <c r="N1460" s="1"/>
    </row>
    <row r="1461">
      <c r="A1461" s="1"/>
      <c r="B1461" s="25" t="s">
        <v>335</v>
      </c>
      <c r="E1461" s="26" t="s">
        <v>90</v>
      </c>
      <c r="F1461" s="28" t="str">
        <f>HYPERLINK("https://www.youtube.com/watch?v=xLIKxX-dAmE",'Players&gt;List'!$B28)</f>
        <v>[SUN]</v>
      </c>
      <c r="G1461" s="28" t="str">
        <f>HYPERLINK("https://www.youtube.com/watch?v=fxeUXIyFCf4",'Players&gt;List'!$B15)</f>
        <v>[FNY]</v>
      </c>
      <c r="H1461" s="1"/>
      <c r="I1461" s="1"/>
      <c r="J1461" s="1"/>
      <c r="K1461" s="1"/>
      <c r="L1461" s="1"/>
      <c r="M1461" s="1"/>
      <c r="N1461" s="1"/>
    </row>
    <row r="1462">
      <c r="A1462" s="1"/>
      <c r="B1462" s="25" t="s">
        <v>439</v>
      </c>
      <c r="E1462" s="26" t="s">
        <v>132</v>
      </c>
      <c r="F1462" s="28" t="str">
        <f>HYPERLINK("https://www.youtube.com/watch?v=imKIV_KkRz0",'Players&gt;List'!$B28)</f>
        <v>[SUN]</v>
      </c>
      <c r="G1462" s="1"/>
      <c r="H1462" s="1"/>
      <c r="I1462" s="1"/>
      <c r="J1462" s="1"/>
      <c r="K1462" s="1"/>
      <c r="L1462" s="1"/>
      <c r="M1462" s="1"/>
      <c r="N1462" s="1"/>
    </row>
    <row r="1463">
      <c r="A1463" s="1"/>
      <c r="B1463" s="14" t="s">
        <v>3724</v>
      </c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"/>
    </row>
    <row r="1464">
      <c r="A1464" s="1"/>
      <c r="B1464" s="4" t="s">
        <v>3725</v>
      </c>
      <c r="D1464" s="9"/>
      <c r="E1464" s="17" t="s">
        <v>14</v>
      </c>
      <c r="F1464" s="28" t="str">
        <f>HYPERLINK("https://youtu.be/LxejGZfNXK8?t=279",'Players&gt;List'!$B10)</f>
        <v>[CAM]</v>
      </c>
      <c r="G1464" s="1"/>
      <c r="H1464" s="1"/>
      <c r="I1464" s="1"/>
      <c r="J1464" s="1"/>
      <c r="K1464" s="1"/>
      <c r="L1464" s="1"/>
      <c r="M1464" s="1"/>
      <c r="N1464" s="1"/>
    </row>
    <row r="1465">
      <c r="A1465" s="1"/>
      <c r="B1465" s="25" t="s">
        <v>335</v>
      </c>
      <c r="E1465" s="26" t="s">
        <v>90</v>
      </c>
      <c r="F1465" s="1"/>
      <c r="G1465" s="1"/>
      <c r="H1465" s="1"/>
      <c r="I1465" s="1"/>
      <c r="J1465" s="1"/>
      <c r="K1465" s="1"/>
      <c r="L1465" s="1"/>
      <c r="M1465" s="1"/>
      <c r="N1465" s="1"/>
    </row>
    <row r="1466">
      <c r="A1466" s="1"/>
      <c r="B1466" s="25" t="s">
        <v>131</v>
      </c>
      <c r="E1466" s="26" t="s">
        <v>132</v>
      </c>
      <c r="F1466" s="28" t="str">
        <f>HYPERLINK("https://www.youtube.com/watch?v=8WnVEI86NpA",'Players&gt;List'!$B15)</f>
        <v>[FNY]</v>
      </c>
      <c r="G1466" s="1"/>
      <c r="H1466" s="1"/>
      <c r="I1466" s="1"/>
      <c r="J1466" s="1"/>
      <c r="K1466" s="1"/>
      <c r="L1466" s="1"/>
      <c r="M1466" s="1"/>
      <c r="N1466" s="1"/>
    </row>
    <row r="1467">
      <c r="A1467" s="1"/>
      <c r="B1467" s="14" t="s">
        <v>3727</v>
      </c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"/>
    </row>
    <row r="1468">
      <c r="A1468" s="1"/>
      <c r="B1468" s="4" t="s">
        <v>3729</v>
      </c>
      <c r="D1468" s="9"/>
      <c r="E1468" s="17" t="s">
        <v>14</v>
      </c>
      <c r="F1468" s="28" t="str">
        <f>HYPERLINK("https://youtu.be/LxejGZfNXK8?t=349",'Players&gt;List'!$B10)</f>
        <v>[CAM]</v>
      </c>
      <c r="G1468" s="1"/>
      <c r="H1468" s="1"/>
      <c r="I1468" s="1"/>
      <c r="J1468" s="1"/>
      <c r="K1468" s="1"/>
      <c r="L1468" s="1"/>
      <c r="M1468" s="1"/>
      <c r="N1468" s="1"/>
    </row>
    <row r="1469">
      <c r="A1469" s="1"/>
      <c r="B1469" s="25" t="s">
        <v>149</v>
      </c>
      <c r="E1469" s="26" t="s">
        <v>90</v>
      </c>
      <c r="F1469" s="28" t="str">
        <f>HYPERLINK("https://www.youtube.com/watch?v=rMQPnnn898k",'Players&gt;List'!$B32)</f>
        <v>[XEL]</v>
      </c>
      <c r="G1469" s="28" t="str">
        <f>HYPERLINK("https://www.youtube.com/watch?v=tzq3VIIEDqo",'Players&gt;List'!$B15)</f>
        <v>[FNY]</v>
      </c>
      <c r="H1469" s="1"/>
      <c r="I1469" s="1"/>
      <c r="J1469" s="1"/>
      <c r="K1469" s="1"/>
      <c r="L1469" s="1"/>
      <c r="M1469" s="1"/>
      <c r="N1469" s="1"/>
    </row>
    <row r="1470">
      <c r="A1470" s="1"/>
      <c r="B1470" s="14" t="s">
        <v>3733</v>
      </c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"/>
    </row>
    <row r="1471">
      <c r="A1471" s="1"/>
      <c r="B1471" s="4" t="s">
        <v>3736</v>
      </c>
      <c r="D1471" s="9"/>
      <c r="E1471" s="17" t="s">
        <v>14</v>
      </c>
      <c r="F1471" s="28" t="str">
        <f>HYPERLINK("https://youtu.be/LxejGZfNXK8?t=458",'Players&gt;List'!$B10)</f>
        <v>[CAM]</v>
      </c>
      <c r="G1471" s="1"/>
      <c r="H1471" s="1"/>
      <c r="I1471" s="1"/>
      <c r="J1471" s="1"/>
      <c r="K1471" s="1"/>
      <c r="L1471" s="1"/>
      <c r="M1471" s="1"/>
      <c r="N1471" s="1"/>
    </row>
    <row r="1472">
      <c r="A1472" s="1"/>
      <c r="B1472" s="25" t="s">
        <v>88</v>
      </c>
      <c r="E1472" s="26" t="s">
        <v>90</v>
      </c>
      <c r="F1472" s="28" t="str">
        <f>HYPERLINK("https://www.youtube.com/watch?v=P4bbGltNMDo",'Players&gt;List'!$B15)</f>
        <v>[FNY]</v>
      </c>
      <c r="G1472" s="1"/>
      <c r="H1472" s="1"/>
      <c r="I1472" s="1"/>
      <c r="J1472" s="1"/>
      <c r="K1472" s="1"/>
      <c r="L1472" s="1"/>
      <c r="M1472" s="1"/>
      <c r="N1472" s="1"/>
    </row>
    <row r="1473">
      <c r="A1473" s="1"/>
      <c r="B1473" s="14" t="s">
        <v>3738</v>
      </c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"/>
    </row>
    <row r="1474">
      <c r="A1474" s="1"/>
      <c r="B1474" s="4" t="s">
        <v>3739</v>
      </c>
      <c r="D1474" s="9"/>
      <c r="E1474" s="17" t="s">
        <v>14</v>
      </c>
      <c r="F1474" s="28" t="str">
        <f>HYPERLINK("https://youtu.be/LxejGZfNXK8?t=492",'Players&gt;List'!$B10)</f>
        <v>[CAM]</v>
      </c>
      <c r="G1474" s="1"/>
      <c r="H1474" s="1"/>
      <c r="I1474" s="1"/>
      <c r="J1474" s="1"/>
      <c r="K1474" s="1"/>
      <c r="L1474" s="1"/>
      <c r="M1474" s="1"/>
      <c r="N1474" s="1"/>
    </row>
    <row r="1475">
      <c r="A1475" s="1"/>
      <c r="B1475" s="25" t="s">
        <v>197</v>
      </c>
      <c r="E1475" s="26" t="s">
        <v>90</v>
      </c>
      <c r="F1475" s="1"/>
      <c r="G1475" s="1"/>
      <c r="H1475" s="1"/>
      <c r="I1475" s="1"/>
      <c r="J1475" s="1"/>
      <c r="K1475" s="1"/>
      <c r="L1475" s="1"/>
      <c r="M1475" s="1"/>
      <c r="N1475" s="1"/>
    </row>
    <row r="1476">
      <c r="A1476" s="1"/>
      <c r="B1476" s="14" t="s">
        <v>3741</v>
      </c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"/>
    </row>
    <row r="1477">
      <c r="A1477" s="1"/>
      <c r="B1477" s="4" t="s">
        <v>3744</v>
      </c>
      <c r="D1477" s="9"/>
      <c r="E1477" s="17" t="s">
        <v>14</v>
      </c>
      <c r="F1477" s="28" t="str">
        <f>HYPERLINK("https://youtu.be/LxejGZfNXK8?t=513",'Players&gt;List'!$B10)</f>
        <v>[CAM]</v>
      </c>
      <c r="G1477" s="1"/>
      <c r="H1477" s="1"/>
      <c r="I1477" s="1"/>
      <c r="J1477" s="1"/>
      <c r="K1477" s="1"/>
      <c r="L1477" s="1"/>
      <c r="M1477" s="1"/>
      <c r="N1477" s="1"/>
    </row>
    <row r="1478">
      <c r="A1478" s="1"/>
      <c r="B1478" s="25" t="s">
        <v>131</v>
      </c>
      <c r="E1478" s="26" t="s">
        <v>110</v>
      </c>
      <c r="F1478" s="1"/>
      <c r="G1478" s="1"/>
      <c r="H1478" s="1"/>
      <c r="I1478" s="1"/>
      <c r="J1478" s="1"/>
      <c r="K1478" s="1"/>
      <c r="L1478" s="1"/>
      <c r="M1478" s="1"/>
      <c r="N1478" s="1"/>
    </row>
    <row r="1479">
      <c r="A1479" s="1"/>
      <c r="B1479" s="14" t="s">
        <v>3746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"/>
    </row>
    <row r="1480">
      <c r="A1480" s="1"/>
      <c r="B1480" s="4" t="s">
        <v>3748</v>
      </c>
      <c r="D1480" s="9"/>
      <c r="E1480" s="17" t="s">
        <v>14</v>
      </c>
      <c r="F1480" s="28" t="str">
        <f>HYPERLINK("https://youtu.be/LxejGZfNXK8?t=561",'Players&gt;List'!$B10)</f>
        <v>[CAM]</v>
      </c>
      <c r="G1480" s="1"/>
      <c r="H1480" s="1"/>
      <c r="I1480" s="1"/>
      <c r="J1480" s="1"/>
      <c r="K1480" s="1"/>
      <c r="L1480" s="1"/>
      <c r="M1480" s="1"/>
      <c r="N1480" s="1"/>
    </row>
    <row r="1481">
      <c r="A1481" s="1"/>
      <c r="B1481" s="25" t="s">
        <v>131</v>
      </c>
      <c r="E1481" s="26" t="s">
        <v>110</v>
      </c>
      <c r="F1481" s="28" t="str">
        <f>HYPERLINK("https://www.youtube.com/watch?v=MhvdfR1nALA",'Players&gt;List'!$B32)</f>
        <v>[XEL]</v>
      </c>
      <c r="G1481" s="28" t="str">
        <f>HYPERLINK("https://www.youtube.com/watch?v=kV5v84ueF6I&amp;index=294&amp;list=PLbU6uWaIKemqNvTeRxK-Ay6PRg9iwCKVi&amp;t=0s",'Players&gt;List'!$B19)</f>
        <v>[HIT]</v>
      </c>
      <c r="H1481" s="28" t="str">
        <f>HYPERLINK("https://www.youtube.com/watch?v=zJjkUU1HYWs",'Players&gt;List'!$B15)</f>
        <v>[FNY]</v>
      </c>
      <c r="I1481" s="1"/>
      <c r="J1481" s="1"/>
      <c r="K1481" s="1"/>
      <c r="L1481" s="1"/>
      <c r="M1481" s="1"/>
      <c r="N1481" s="1"/>
    </row>
    <row r="1482">
      <c r="A1482" s="1"/>
      <c r="B1482" s="14" t="s">
        <v>3752</v>
      </c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"/>
    </row>
    <row r="1483">
      <c r="A1483" s="1"/>
      <c r="B1483" s="4" t="s">
        <v>3755</v>
      </c>
      <c r="D1483" s="9"/>
      <c r="E1483" s="17" t="s">
        <v>14</v>
      </c>
      <c r="F1483" s="28" t="str">
        <f>HYPERLINK("https://youtu.be/LxejGZfNXK8?t=649",'Players&gt;List'!$B10)</f>
        <v>[CAM]</v>
      </c>
      <c r="G1483" s="1"/>
      <c r="H1483" s="1"/>
      <c r="I1483" s="1"/>
      <c r="J1483" s="1"/>
      <c r="K1483" s="1"/>
      <c r="L1483" s="1"/>
      <c r="M1483" s="1"/>
      <c r="N1483" s="1"/>
    </row>
    <row r="1484">
      <c r="A1484" s="1"/>
      <c r="B1484" s="25" t="s">
        <v>88</v>
      </c>
      <c r="E1484" s="26" t="s">
        <v>90</v>
      </c>
      <c r="F1484" s="1"/>
      <c r="G1484" s="1"/>
      <c r="H1484" s="1"/>
      <c r="I1484" s="1"/>
      <c r="J1484" s="1"/>
      <c r="K1484" s="1"/>
      <c r="L1484" s="1"/>
      <c r="M1484" s="1"/>
      <c r="N1484" s="1"/>
    </row>
    <row r="1485">
      <c r="A1485" s="1"/>
      <c r="B1485" s="14" t="s">
        <v>3756</v>
      </c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"/>
    </row>
    <row r="1486">
      <c r="A1486" s="1"/>
      <c r="B1486" s="4" t="s">
        <v>3757</v>
      </c>
      <c r="D1486" s="9"/>
      <c r="E1486" s="17" t="s">
        <v>14</v>
      </c>
      <c r="F1486" s="28" t="str">
        <f>HYPERLINK("https://youtu.be/BIv1kw31ue0?t=27",'Players&gt;List'!$B10)</f>
        <v>[CAM]</v>
      </c>
      <c r="G1486" s="28" t="str">
        <f>HYPERLINK("https://www.youtube.com/watch?v=1aaaQRKlmzM",'Players&gt;List'!$B29)</f>
        <v>[SYS]</v>
      </c>
      <c r="H1486" s="1"/>
      <c r="I1486" s="1"/>
      <c r="J1486" s="1"/>
      <c r="K1486" s="1"/>
      <c r="L1486" s="1"/>
      <c r="M1486" s="1"/>
      <c r="N1486" s="1"/>
    </row>
    <row r="1487">
      <c r="A1487" s="1"/>
      <c r="B1487" s="25" t="s">
        <v>88</v>
      </c>
      <c r="E1487" s="26" t="s">
        <v>90</v>
      </c>
      <c r="F1487" s="28" t="str">
        <f>HYPERLINK("https://www.youtube.com/watch?v=fprruIm3jUM",'Players&gt;List'!$B28)</f>
        <v>[SUN]</v>
      </c>
      <c r="G1487" s="1"/>
      <c r="H1487" s="1"/>
      <c r="I1487" s="1"/>
      <c r="J1487" s="1"/>
      <c r="K1487" s="1"/>
      <c r="L1487" s="1"/>
      <c r="M1487" s="1"/>
      <c r="N1487" s="1"/>
    </row>
    <row r="1488">
      <c r="A1488" s="1"/>
      <c r="B1488" s="14" t="s">
        <v>3763</v>
      </c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"/>
    </row>
    <row r="1489">
      <c r="A1489" s="1"/>
      <c r="B1489" s="4" t="s">
        <v>3764</v>
      </c>
      <c r="D1489" s="9"/>
      <c r="E1489" s="17" t="s">
        <v>14</v>
      </c>
      <c r="F1489" s="28" t="str">
        <f>HYPERLINK("https://youtu.be/BIv1kw31ue0?t=47",'Players&gt;List'!$B10)</f>
        <v>[CAM]</v>
      </c>
      <c r="G1489" s="28" t="str">
        <f>HYPERLINK("https://youtu.be/1aaaQRKlmzM?t=19s",'Players&gt;List'!$B29)</f>
        <v>[SYS]</v>
      </c>
      <c r="H1489" s="1"/>
      <c r="I1489" s="1"/>
      <c r="J1489" s="1"/>
      <c r="K1489" s="1"/>
      <c r="L1489" s="1"/>
      <c r="M1489" s="1"/>
      <c r="N1489" s="1"/>
    </row>
    <row r="1490">
      <c r="A1490" s="1"/>
      <c r="B1490" s="25" t="s">
        <v>108</v>
      </c>
      <c r="E1490" s="26" t="s">
        <v>110</v>
      </c>
      <c r="F1490" s="1"/>
      <c r="G1490" s="1"/>
      <c r="H1490" s="1"/>
      <c r="I1490" s="1"/>
      <c r="J1490" s="1"/>
      <c r="K1490" s="1"/>
      <c r="L1490" s="1"/>
      <c r="M1490" s="1"/>
      <c r="N1490" s="1"/>
    </row>
    <row r="1491">
      <c r="A1491" s="1"/>
      <c r="B1491" s="14" t="s">
        <v>3769</v>
      </c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"/>
    </row>
    <row r="1492">
      <c r="A1492" s="1"/>
      <c r="B1492" s="4" t="s">
        <v>3770</v>
      </c>
      <c r="D1492" s="9"/>
      <c r="E1492" s="17" t="s">
        <v>14</v>
      </c>
      <c r="F1492" s="28" t="str">
        <f>HYPERLINK("https://youtu.be/BIv1kw31ue0?t=310",'Players&gt;List'!$B10)</f>
        <v>[CAM]</v>
      </c>
      <c r="G1492" s="28" t="str">
        <f>HYPERLINK("https://youtu.be/1aaaQRKlmzM?t=46s",'Players&gt;List'!$B29)</f>
        <v>[SYS]</v>
      </c>
      <c r="H1492" s="1"/>
      <c r="I1492" s="1"/>
      <c r="J1492" s="1"/>
      <c r="K1492" s="1"/>
      <c r="L1492" s="1"/>
      <c r="M1492" s="1"/>
      <c r="N1492" s="1"/>
    </row>
    <row r="1493">
      <c r="A1493" s="1"/>
      <c r="B1493" s="25" t="s">
        <v>335</v>
      </c>
      <c r="E1493" s="26" t="s">
        <v>90</v>
      </c>
      <c r="F1493" s="1"/>
      <c r="G1493" s="1"/>
      <c r="H1493" s="1"/>
      <c r="I1493" s="1"/>
      <c r="J1493" s="1"/>
      <c r="K1493" s="1"/>
      <c r="L1493" s="1"/>
      <c r="M1493" s="1"/>
      <c r="N1493" s="1"/>
    </row>
    <row r="1494">
      <c r="A1494" s="1"/>
      <c r="B1494" s="14" t="s">
        <v>3775</v>
      </c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"/>
    </row>
    <row r="1495">
      <c r="A1495" s="1"/>
      <c r="B1495" s="4" t="s">
        <v>3776</v>
      </c>
      <c r="D1495" s="9"/>
      <c r="E1495" s="17" t="s">
        <v>14</v>
      </c>
      <c r="F1495" s="28" t="str">
        <f>HYPERLINK("https://youtu.be/BIv1kw31ue0?t=404",'Players&gt;List'!$B10)</f>
        <v>[CAM]</v>
      </c>
      <c r="G1495" s="28" t="str">
        <f>HYPERLINK("https://youtu.be/1aaaQRKlmzM?t=1m26s",'Players&gt;List'!$B29)</f>
        <v>[SYS]</v>
      </c>
      <c r="H1495" s="1"/>
      <c r="I1495" s="1"/>
      <c r="J1495" s="1"/>
      <c r="K1495" s="1"/>
      <c r="L1495" s="1"/>
      <c r="M1495" s="1"/>
      <c r="N1495" s="1"/>
    </row>
    <row r="1496">
      <c r="A1496" s="1"/>
      <c r="B1496" s="25" t="s">
        <v>335</v>
      </c>
      <c r="E1496" s="26" t="s">
        <v>90</v>
      </c>
      <c r="F1496" s="28" t="str">
        <f>HYPERLINK("https://www.youtube.com/watch?v=6wn3zwpVYlM",'Players&gt;List'!$B18)</f>
        <v>[HGB]</v>
      </c>
      <c r="G1496" s="28" t="str">
        <f>HYPERLINK("https://www.youtube.com/watch?v=V8pki6-UvKc",'Players&gt;List'!$B28)</f>
        <v>[SUN]</v>
      </c>
      <c r="H1496" s="1"/>
      <c r="I1496" s="1"/>
      <c r="J1496" s="1"/>
      <c r="K1496" s="1"/>
      <c r="L1496" s="1"/>
      <c r="M1496" s="1"/>
      <c r="N1496" s="1"/>
    </row>
    <row r="1497">
      <c r="A1497" s="1"/>
      <c r="B1497" s="14" t="s">
        <v>3787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"/>
    </row>
    <row r="1498">
      <c r="A1498" s="1"/>
      <c r="B1498" s="4" t="s">
        <v>3790</v>
      </c>
      <c r="D1498" s="9"/>
      <c r="E1498" s="17" t="s">
        <v>14</v>
      </c>
      <c r="F1498" s="28" t="str">
        <f>HYPERLINK("https://www.twitch.tv/videos/139535474",'Players&gt;List'!$B17)</f>
        <v>[GOL]</v>
      </c>
      <c r="G1498" s="28" t="str">
        <f>HYPERLINK("https://www.youtube.com/watch?v=TYaGbjuIcIo&amp;index=4&amp;t=0s&amp;list=PLbVGARhZL4D3VIfkIoV47VEKvYCqV_-ZB",'Players&gt;List'!$B23)</f>
        <v>[MOL]</v>
      </c>
      <c r="H1498" s="28" t="str">
        <f>HYPERLINK("https://www.youtube.com/watch?v=-1XCgNYWY2s&amp;list=PLbVGARhZL4D3VIfkIoV47VEKvYCqV_-ZB&amp;index=2&amp;t=0s",'Players&gt;List'!$B19)</f>
        <v>[HIT]</v>
      </c>
      <c r="I1498" s="28" t="str">
        <f>HYPERLINK("https://youtu.be/BIv1kw31ue0?t=2732",'Players&gt;List'!$B10)</f>
        <v>[CAM]</v>
      </c>
      <c r="J1498" s="28" t="str">
        <f>HYPERLINK("https://youtu.be/1aaaQRKlmzM?t=139",'Players&gt;List'!$B29)</f>
        <v>[SYS]</v>
      </c>
      <c r="K1498" s="28" t="str">
        <f>HYPERLINK("https://www.youtube.com/watch?v=N15MeGCUHZo&amp;index=3&amp;t=0s&amp;list=PLbVGARhZL4D3VIfkIoV47VEKvYCqV_-ZB",'Players&gt;List'!$B18)</f>
        <v>[HGB]</v>
      </c>
      <c r="L1498" s="1"/>
      <c r="M1498" s="1"/>
      <c r="N1498" s="1"/>
    </row>
    <row r="1499">
      <c r="A1499" s="1"/>
      <c r="B1499" s="25" t="s">
        <v>117</v>
      </c>
      <c r="E1499" s="26" t="s">
        <v>110</v>
      </c>
      <c r="F1499" s="18" t="str">
        <f>HYPERLINK("https://www.youtube.com/watch?v=kU-fIMsfPHg",'Players&gt;List'!$B32)</f>
        <v>[XEL]</v>
      </c>
      <c r="G1499" s="28" t="str">
        <f>HYPERLINK("https://www.youtube.com/watch?v=W4wEl4ed-FU&amp;index=322&amp;list=PLbU6uWaIKemqNvTeRxK-Ay6PRg9iwCKVi&amp;t=0s",'Players&gt;List'!$B19)</f>
        <v>[HIT]</v>
      </c>
      <c r="H1499" s="28" t="str">
        <f>HYPERLINK("https://youtu.be/pcArOkh0o5c",'Players&gt;List'!$B12)</f>
        <v>[EKI]</v>
      </c>
      <c r="I1499" s="1"/>
      <c r="J1499" s="1"/>
      <c r="K1499" s="1"/>
      <c r="L1499" s="1"/>
      <c r="M1499" s="1"/>
      <c r="N1499" s="1"/>
    </row>
    <row r="1500">
      <c r="A1500" s="1"/>
      <c r="B1500" s="14" t="s">
        <v>3805</v>
      </c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"/>
    </row>
    <row r="1501">
      <c r="A1501" s="1"/>
      <c r="B1501" s="4" t="s">
        <v>3807</v>
      </c>
      <c r="D1501" s="9"/>
      <c r="E1501" s="17" t="s">
        <v>14</v>
      </c>
      <c r="F1501" s="28" t="str">
        <f>HYPERLINK("https://youtu.be/RYkdAGZMvss?t=31",'Players&gt;List'!$B10)</f>
        <v>[CAM]</v>
      </c>
      <c r="G1501" s="1"/>
      <c r="H1501" s="1"/>
      <c r="I1501" s="1"/>
      <c r="J1501" s="1"/>
      <c r="K1501" s="1"/>
      <c r="L1501" s="1"/>
      <c r="M1501" s="1"/>
      <c r="N1501" s="1"/>
    </row>
    <row r="1502">
      <c r="A1502" s="1"/>
      <c r="B1502" s="25" t="s">
        <v>117</v>
      </c>
      <c r="E1502" s="26" t="s">
        <v>110</v>
      </c>
      <c r="F1502" s="1"/>
      <c r="G1502" s="1"/>
      <c r="H1502" s="1"/>
      <c r="I1502" s="1"/>
      <c r="J1502" s="1"/>
      <c r="K1502" s="1"/>
      <c r="L1502" s="1"/>
      <c r="M1502" s="1"/>
      <c r="N1502" s="1"/>
    </row>
    <row r="1503">
      <c r="A1503" s="1"/>
      <c r="B1503" s="25" t="s">
        <v>157</v>
      </c>
      <c r="E1503" s="26" t="s">
        <v>132</v>
      </c>
      <c r="F1503" s="1"/>
      <c r="G1503" s="1"/>
      <c r="H1503" s="1"/>
      <c r="I1503" s="1"/>
      <c r="J1503" s="1"/>
      <c r="K1503" s="1"/>
      <c r="L1503" s="1"/>
      <c r="M1503" s="1"/>
      <c r="N1503" s="1"/>
    </row>
    <row r="1504">
      <c r="A1504" s="1"/>
      <c r="B1504" s="14" t="s">
        <v>3812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"/>
    </row>
    <row r="1505">
      <c r="A1505" s="1"/>
      <c r="B1505" s="4" t="s">
        <v>3816</v>
      </c>
      <c r="D1505" s="9"/>
      <c r="E1505" s="17" t="s">
        <v>14</v>
      </c>
      <c r="F1505" s="28" t="str">
        <f>HYPERLINK("https://youtu.be/RYkdAGZMvss?t=94",'Players&gt;List'!$B10)</f>
        <v>[CAM]</v>
      </c>
      <c r="G1505" s="1"/>
      <c r="H1505" s="1"/>
      <c r="I1505" s="1"/>
      <c r="J1505" s="1"/>
      <c r="K1505" s="1"/>
      <c r="L1505" s="1"/>
      <c r="M1505" s="1"/>
      <c r="N1505" s="1"/>
    </row>
    <row r="1506">
      <c r="A1506" s="1"/>
      <c r="B1506" s="25" t="s">
        <v>117</v>
      </c>
      <c r="E1506" s="26" t="s">
        <v>110</v>
      </c>
      <c r="F1506" s="1"/>
      <c r="G1506" s="1"/>
      <c r="H1506" s="1"/>
      <c r="I1506" s="1"/>
      <c r="J1506" s="1"/>
      <c r="K1506" s="1"/>
      <c r="L1506" s="1"/>
      <c r="M1506" s="1"/>
      <c r="N1506" s="1"/>
    </row>
    <row r="1507">
      <c r="A1507" s="1"/>
      <c r="B1507" s="14" t="s">
        <v>3821</v>
      </c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"/>
    </row>
    <row r="1508">
      <c r="A1508" s="1"/>
      <c r="B1508" s="4" t="s">
        <v>3824</v>
      </c>
      <c r="D1508" s="9"/>
      <c r="E1508" s="17" t="s">
        <v>14</v>
      </c>
      <c r="F1508" s="28" t="str">
        <f>HYPERLINK("https://youtu.be/RYkdAGZMvss?t=113",'Players&gt;List'!$B10)</f>
        <v>[CAM]</v>
      </c>
      <c r="G1508" s="1"/>
      <c r="H1508" s="1"/>
      <c r="I1508" s="1"/>
      <c r="J1508" s="1"/>
      <c r="K1508" s="1"/>
      <c r="L1508" s="1"/>
      <c r="M1508" s="1"/>
      <c r="N1508" s="1"/>
    </row>
    <row r="1509">
      <c r="A1509" s="1"/>
      <c r="B1509" s="25" t="s">
        <v>88</v>
      </c>
      <c r="E1509" s="26" t="s">
        <v>90</v>
      </c>
      <c r="F1509" s="1"/>
      <c r="G1509" s="1"/>
      <c r="H1509" s="1"/>
      <c r="I1509" s="1"/>
      <c r="J1509" s="1"/>
      <c r="K1509" s="1"/>
      <c r="L1509" s="1"/>
      <c r="M1509" s="1"/>
      <c r="N1509" s="1"/>
    </row>
    <row r="1510">
      <c r="A1510" s="1"/>
      <c r="B1510" s="14" t="s">
        <v>3826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"/>
    </row>
    <row r="1511">
      <c r="A1511" s="1"/>
      <c r="B1511" s="4" t="s">
        <v>3828</v>
      </c>
      <c r="D1511" s="9"/>
      <c r="E1511" s="17" t="s">
        <v>14</v>
      </c>
      <c r="F1511" s="28" t="str">
        <f>HYPERLINK("https://youtu.be/RYkdAGZMvss?t=260",'Players&gt;List'!$B10)</f>
        <v>[CAM]</v>
      </c>
      <c r="G1511" s="1"/>
      <c r="H1511" s="1"/>
      <c r="I1511" s="1"/>
      <c r="J1511" s="1"/>
      <c r="K1511" s="1"/>
      <c r="L1511" s="1"/>
      <c r="M1511" s="1"/>
      <c r="N1511" s="1"/>
    </row>
    <row r="1512">
      <c r="A1512" s="1"/>
      <c r="B1512" s="25" t="s">
        <v>88</v>
      </c>
      <c r="E1512" s="26" t="s">
        <v>90</v>
      </c>
      <c r="F1512" s="1"/>
      <c r="G1512" s="1"/>
      <c r="H1512" s="1"/>
      <c r="I1512" s="1"/>
      <c r="J1512" s="1"/>
      <c r="K1512" s="1"/>
      <c r="L1512" s="1"/>
      <c r="M1512" s="1"/>
      <c r="N1512" s="1"/>
    </row>
    <row r="1513">
      <c r="A1513" s="1"/>
      <c r="B1513" s="14" t="s">
        <v>3830</v>
      </c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"/>
    </row>
    <row r="1514">
      <c r="A1514" s="1"/>
      <c r="B1514" s="4" t="s">
        <v>3831</v>
      </c>
      <c r="D1514" s="9"/>
      <c r="E1514" s="17" t="s">
        <v>14</v>
      </c>
      <c r="F1514" s="28" t="str">
        <f>HYPERLINK("https://youtu.be/RYkdAGZMvss?t=366",'Players&gt;List'!$B10)</f>
        <v>[CAM]</v>
      </c>
      <c r="G1514" s="1"/>
      <c r="H1514" s="1"/>
      <c r="I1514" s="1"/>
      <c r="J1514" s="1"/>
      <c r="K1514" s="1"/>
      <c r="L1514" s="1"/>
      <c r="M1514" s="1"/>
      <c r="N1514" s="1"/>
    </row>
    <row r="1515">
      <c r="A1515" s="1"/>
      <c r="B1515" s="25" t="s">
        <v>117</v>
      </c>
      <c r="E1515" s="26" t="s">
        <v>110</v>
      </c>
      <c r="F1515" s="1"/>
      <c r="G1515" s="1"/>
      <c r="H1515" s="1"/>
      <c r="I1515" s="1"/>
      <c r="J1515" s="1"/>
      <c r="K1515" s="1"/>
      <c r="L1515" s="1"/>
      <c r="M1515" s="1"/>
      <c r="N1515" s="1"/>
    </row>
    <row r="1516">
      <c r="A1516" s="1"/>
      <c r="B1516" s="14" t="s">
        <v>3833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"/>
    </row>
    <row r="1517">
      <c r="A1517" s="1"/>
      <c r="B1517" s="4" t="s">
        <v>3835</v>
      </c>
      <c r="D1517" s="9"/>
      <c r="E1517" s="17" t="s">
        <v>14</v>
      </c>
      <c r="F1517" s="28" t="str">
        <f>HYPERLINK("https://youtu.be/RYkdAGZMvss?t=393",'Players&gt;List'!$B10)</f>
        <v>[CAM]</v>
      </c>
      <c r="G1517" s="1"/>
      <c r="H1517" s="1"/>
      <c r="I1517" s="1"/>
      <c r="J1517" s="1"/>
      <c r="K1517" s="1"/>
      <c r="L1517" s="1"/>
      <c r="M1517" s="1"/>
      <c r="N1517" s="1"/>
    </row>
    <row r="1518">
      <c r="A1518" s="1"/>
      <c r="B1518" s="25" t="s">
        <v>88</v>
      </c>
      <c r="E1518" s="26" t="s">
        <v>90</v>
      </c>
      <c r="F1518" s="1"/>
      <c r="G1518" s="1"/>
      <c r="H1518" s="1"/>
      <c r="I1518" s="1"/>
      <c r="J1518" s="1"/>
      <c r="K1518" s="1"/>
      <c r="L1518" s="1"/>
      <c r="M1518" s="1"/>
      <c r="N1518" s="1"/>
    </row>
    <row r="1519">
      <c r="A1519" s="1"/>
      <c r="B1519" s="14" t="s">
        <v>3839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"/>
    </row>
    <row r="1520">
      <c r="A1520" s="1"/>
      <c r="B1520" s="4" t="s">
        <v>3841</v>
      </c>
      <c r="D1520" s="9"/>
      <c r="E1520" s="17" t="s">
        <v>14</v>
      </c>
      <c r="F1520" s="28" t="str">
        <f>HYPERLINK("https://youtu.be/RYkdAGZMvss?t=433",'Players&gt;List'!$B10)</f>
        <v>[CAM]</v>
      </c>
      <c r="G1520" s="1"/>
      <c r="H1520" s="1"/>
      <c r="I1520" s="1"/>
      <c r="J1520" s="1"/>
      <c r="K1520" s="1"/>
      <c r="L1520" s="1"/>
      <c r="M1520" s="1"/>
      <c r="N1520" s="1"/>
    </row>
    <row r="1521">
      <c r="A1521" s="1"/>
      <c r="B1521" s="25" t="s">
        <v>88</v>
      </c>
      <c r="E1521" s="26" t="s">
        <v>90</v>
      </c>
      <c r="F1521" s="28" t="str">
        <f>HYPERLINK("https://www.youtube.com/watch?v=nmSljC1fbQw",'Players&gt;List'!$B28)</f>
        <v>[SUN]</v>
      </c>
      <c r="G1521" s="1"/>
      <c r="H1521" s="1"/>
      <c r="I1521" s="1"/>
      <c r="J1521" s="1"/>
      <c r="K1521" s="1"/>
      <c r="L1521" s="1"/>
      <c r="M1521" s="1"/>
      <c r="N1521" s="1"/>
    </row>
    <row r="1522">
      <c r="A1522" s="1"/>
      <c r="B1522" s="14" t="s">
        <v>3847</v>
      </c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"/>
    </row>
    <row r="1523">
      <c r="A1523" s="1"/>
      <c r="B1523" s="4" t="s">
        <v>3848</v>
      </c>
      <c r="D1523" s="9"/>
      <c r="E1523" s="17" t="s">
        <v>14</v>
      </c>
      <c r="F1523" s="28" t="str">
        <f>HYPERLINK("https://youtu.be/RYkdAGZMvss?t=471",'Players&gt;List'!$B10)</f>
        <v>[CAM]</v>
      </c>
      <c r="G1523" s="1"/>
      <c r="H1523" s="1"/>
      <c r="I1523" s="1"/>
      <c r="J1523" s="1"/>
      <c r="K1523" s="1"/>
      <c r="L1523" s="1"/>
      <c r="M1523" s="1"/>
      <c r="N1523" s="1"/>
    </row>
    <row r="1524">
      <c r="A1524" s="1"/>
      <c r="B1524" s="25" t="s">
        <v>166</v>
      </c>
      <c r="E1524" s="26" t="s">
        <v>110</v>
      </c>
      <c r="F1524" s="1"/>
      <c r="G1524" s="1"/>
      <c r="H1524" s="1"/>
      <c r="I1524" s="1"/>
      <c r="J1524" s="1"/>
      <c r="K1524" s="1"/>
      <c r="L1524" s="1"/>
      <c r="M1524" s="1"/>
      <c r="N1524" s="1"/>
    </row>
    <row r="1525">
      <c r="A1525" s="1"/>
      <c r="B1525" s="14" t="s">
        <v>3851</v>
      </c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"/>
    </row>
    <row r="1526">
      <c r="A1526" s="1"/>
      <c r="B1526" s="4" t="s">
        <v>3854</v>
      </c>
      <c r="D1526" s="9"/>
      <c r="E1526" s="17" t="s">
        <v>14</v>
      </c>
      <c r="F1526" s="28" t="str">
        <f>HYPERLINK("https://youtu.be/RYkdAGZMvss?t=739",'Players&gt;List'!$B10)</f>
        <v>[CAM]</v>
      </c>
      <c r="G1526" s="1"/>
      <c r="H1526" s="1"/>
      <c r="I1526" s="1"/>
      <c r="J1526" s="1"/>
      <c r="K1526" s="1"/>
      <c r="L1526" s="1"/>
      <c r="M1526" s="1"/>
      <c r="N1526" s="1"/>
    </row>
    <row r="1527">
      <c r="A1527" s="1"/>
      <c r="B1527" s="25" t="s">
        <v>88</v>
      </c>
      <c r="E1527" s="26" t="s">
        <v>90</v>
      </c>
      <c r="F1527" s="1"/>
      <c r="G1527" s="1"/>
      <c r="H1527" s="1"/>
      <c r="I1527" s="1"/>
      <c r="J1527" s="1"/>
      <c r="K1527" s="1"/>
      <c r="L1527" s="1"/>
      <c r="M1527" s="1"/>
      <c r="N1527" s="1"/>
    </row>
    <row r="1528">
      <c r="A1528" s="1"/>
      <c r="B1528" s="14" t="s">
        <v>3859</v>
      </c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"/>
    </row>
    <row r="1529">
      <c r="A1529" s="1"/>
      <c r="B1529" s="4" t="s">
        <v>3861</v>
      </c>
      <c r="D1529" s="9"/>
      <c r="E1529" s="17" t="s">
        <v>14</v>
      </c>
      <c r="F1529" s="28" t="str">
        <f>HYPERLINK("https://youtu.be/RYkdAGZMvss?t=1019",'Players&gt;List'!$B10)</f>
        <v>[CAM]</v>
      </c>
      <c r="G1529" s="1"/>
      <c r="H1529" s="1"/>
      <c r="I1529" s="1"/>
      <c r="J1529" s="1"/>
      <c r="K1529" s="1"/>
      <c r="L1529" s="1"/>
      <c r="M1529" s="1"/>
      <c r="N1529" s="1"/>
    </row>
    <row r="1530">
      <c r="A1530" s="1"/>
      <c r="B1530" s="25" t="s">
        <v>2213</v>
      </c>
      <c r="E1530" s="26" t="s">
        <v>90</v>
      </c>
      <c r="F1530" s="1"/>
      <c r="G1530" s="1"/>
      <c r="H1530" s="1"/>
      <c r="I1530" s="1"/>
      <c r="J1530" s="1"/>
      <c r="K1530" s="1"/>
      <c r="L1530" s="1"/>
      <c r="M1530" s="1"/>
      <c r="N1530" s="1"/>
    </row>
    <row r="1531">
      <c r="A1531" s="1"/>
      <c r="B1531" s="25" t="s">
        <v>88</v>
      </c>
      <c r="E1531" s="26" t="s">
        <v>147</v>
      </c>
      <c r="F1531" s="1"/>
      <c r="G1531" s="1"/>
      <c r="H1531" s="1"/>
      <c r="I1531" s="1"/>
      <c r="J1531" s="1"/>
      <c r="K1531" s="1"/>
      <c r="L1531" s="1"/>
      <c r="M1531" s="1"/>
      <c r="N1531" s="1"/>
    </row>
    <row r="1532">
      <c r="A1532" s="1"/>
      <c r="B1532" s="25" t="s">
        <v>1147</v>
      </c>
      <c r="E1532" s="26" t="s">
        <v>132</v>
      </c>
      <c r="F1532" s="28" t="str">
        <f>HYPERLINK("https://www.youtube.com/watch?v=wUrAicSb1-Y&amp;index=273&amp;list=PLbU6uWaIKemqNvTeRxK-Ay6PRg9iwCKVi&amp;t=0s",'Players&gt;List'!$B19)</f>
        <v>[HIT]</v>
      </c>
      <c r="G1532" s="1"/>
      <c r="H1532" s="1"/>
      <c r="I1532" s="1"/>
      <c r="J1532" s="1"/>
      <c r="K1532" s="1"/>
      <c r="L1532" s="1"/>
      <c r="M1532" s="1"/>
      <c r="N1532" s="1"/>
    </row>
    <row r="1533">
      <c r="A1533" s="1"/>
      <c r="B1533" s="14" t="s">
        <v>3867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"/>
    </row>
    <row r="1534">
      <c r="A1534" s="1"/>
      <c r="B1534" s="4" t="s">
        <v>3869</v>
      </c>
      <c r="D1534" s="9"/>
      <c r="E1534" s="17" t="s">
        <v>14</v>
      </c>
      <c r="F1534" s="28" t="str">
        <f>HYPERLINK("https://youtu.be/iqK8Uo2DjC0?t=75",'Players&gt;List'!$B10)</f>
        <v>[CAM]</v>
      </c>
      <c r="G1534" s="1"/>
      <c r="H1534" s="1"/>
      <c r="I1534" s="1"/>
      <c r="J1534" s="1"/>
      <c r="K1534" s="1"/>
      <c r="L1534" s="1"/>
      <c r="M1534" s="1"/>
      <c r="N1534" s="1"/>
    </row>
    <row r="1535">
      <c r="A1535" s="1"/>
      <c r="B1535" s="25" t="s">
        <v>88</v>
      </c>
      <c r="E1535" s="26" t="s">
        <v>90</v>
      </c>
      <c r="F1535" s="1"/>
      <c r="G1535" s="1"/>
      <c r="H1535" s="1"/>
      <c r="I1535" s="1"/>
      <c r="J1535" s="1"/>
      <c r="K1535" s="1"/>
      <c r="L1535" s="1"/>
      <c r="M1535" s="1"/>
      <c r="N1535" s="1"/>
    </row>
    <row r="1536">
      <c r="A1536" s="1"/>
      <c r="B1536" s="14" t="s">
        <v>3873</v>
      </c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"/>
    </row>
    <row r="1537">
      <c r="A1537" s="1"/>
      <c r="B1537" s="4" t="s">
        <v>3874</v>
      </c>
      <c r="D1537" s="9"/>
      <c r="E1537" s="17" t="s">
        <v>14</v>
      </c>
      <c r="F1537" s="28" t="str">
        <f>HYPERLINK("https://youtu.be/iqK8Uo2DjC0?t=208",'Players&gt;List'!$B10)</f>
        <v>[CAM]</v>
      </c>
      <c r="G1537" s="1"/>
      <c r="H1537" s="1"/>
      <c r="I1537" s="1"/>
      <c r="J1537" s="1"/>
      <c r="K1537" s="1"/>
      <c r="L1537" s="1"/>
      <c r="M1537" s="1"/>
      <c r="N1537" s="1"/>
    </row>
    <row r="1538">
      <c r="A1538" s="1"/>
      <c r="B1538" s="25" t="s">
        <v>108</v>
      </c>
      <c r="E1538" s="26" t="s">
        <v>110</v>
      </c>
      <c r="F1538" s="1"/>
      <c r="G1538" s="1"/>
      <c r="H1538" s="1"/>
      <c r="I1538" s="1"/>
      <c r="J1538" s="1"/>
      <c r="K1538" s="1"/>
      <c r="L1538" s="1"/>
      <c r="M1538" s="1"/>
      <c r="N1538" s="1"/>
    </row>
    <row r="1539">
      <c r="A1539" s="1"/>
      <c r="B1539" s="14" t="s">
        <v>3879</v>
      </c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"/>
    </row>
    <row r="1540">
      <c r="A1540" s="1"/>
      <c r="B1540" s="4" t="s">
        <v>3881</v>
      </c>
      <c r="D1540" s="9"/>
      <c r="E1540" s="17" t="s">
        <v>14</v>
      </c>
      <c r="F1540" s="28" t="str">
        <f>HYPERLINK("https://youtu.be/iqK8Uo2DjC0?t=673",'Players&gt;List'!$B10)</f>
        <v>[CAM]</v>
      </c>
      <c r="G1540" s="1"/>
      <c r="H1540" s="1"/>
      <c r="I1540" s="1"/>
      <c r="J1540" s="1"/>
      <c r="K1540" s="1"/>
      <c r="L1540" s="1"/>
      <c r="M1540" s="1"/>
      <c r="N1540" s="1"/>
    </row>
    <row r="1541">
      <c r="A1541" s="1"/>
      <c r="B1541" s="25" t="s">
        <v>117</v>
      </c>
      <c r="E1541" s="26" t="s">
        <v>110</v>
      </c>
      <c r="F1541" s="1"/>
      <c r="G1541" s="1"/>
      <c r="H1541" s="1"/>
      <c r="I1541" s="1"/>
      <c r="J1541" s="1"/>
      <c r="K1541" s="1"/>
      <c r="L1541" s="1"/>
      <c r="M1541" s="1"/>
      <c r="N1541" s="1"/>
    </row>
    <row r="1542">
      <c r="A1542" s="1"/>
      <c r="B1542" s="14" t="s">
        <v>3884</v>
      </c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"/>
    </row>
    <row r="1543">
      <c r="A1543" s="1"/>
      <c r="B1543" s="4" t="s">
        <v>3886</v>
      </c>
      <c r="D1543" s="9"/>
      <c r="E1543" s="17" t="s">
        <v>14</v>
      </c>
      <c r="F1543" s="28" t="str">
        <f>HYPERLINK("https://youtu.be/iqK8Uo2DjC0?t=797",'Players&gt;List'!$B10)</f>
        <v>[CAM]</v>
      </c>
      <c r="G1543" s="1"/>
      <c r="H1543" s="1"/>
      <c r="I1543" s="1"/>
      <c r="J1543" s="1"/>
      <c r="K1543" s="1"/>
      <c r="L1543" s="1"/>
      <c r="M1543" s="1"/>
      <c r="N1543" s="1"/>
    </row>
    <row r="1544">
      <c r="A1544" s="1"/>
      <c r="B1544" s="25" t="s">
        <v>108</v>
      </c>
      <c r="E1544" s="26" t="s">
        <v>110</v>
      </c>
      <c r="F1544" s="1"/>
      <c r="G1544" s="1"/>
      <c r="H1544" s="1"/>
      <c r="I1544" s="1"/>
      <c r="J1544" s="1"/>
      <c r="K1544" s="1"/>
      <c r="L1544" s="1"/>
      <c r="M1544" s="1"/>
      <c r="N1544" s="1"/>
    </row>
    <row r="1545">
      <c r="A1545" s="1"/>
      <c r="B1545" s="25" t="s">
        <v>335</v>
      </c>
      <c r="E1545" s="26" t="s">
        <v>147</v>
      </c>
      <c r="F1545" s="1"/>
      <c r="G1545" s="1"/>
      <c r="H1545" s="1"/>
      <c r="I1545" s="1"/>
      <c r="J1545" s="1"/>
      <c r="K1545" s="1"/>
      <c r="L1545" s="1"/>
      <c r="M1545" s="1"/>
      <c r="N1545" s="1"/>
    </row>
    <row r="1546">
      <c r="A1546" s="1"/>
      <c r="B1546" s="25" t="s">
        <v>233</v>
      </c>
      <c r="E1546" s="26" t="s">
        <v>358</v>
      </c>
      <c r="F1546" s="28" t="str">
        <f>HYPERLINK("https://www.youtube.com/watch?v=tX-Q4OVdc6E",'Players&gt;List'!$B32)</f>
        <v>[XEL]</v>
      </c>
      <c r="G1546" s="28" t="str">
        <f>HYPERLINK("https://www.youtube.com/watch?v=rlzfa2ekTE8&amp;index=292&amp;list=PLbU6uWaIKemqNvTeRxK-Ay6PRg9iwCKVi&amp;t=0s",'Players&gt;List'!$B19)</f>
        <v>[HIT]</v>
      </c>
      <c r="H1546" s="28" t="str">
        <f>HYPERLINK("https://www.youtube.com/watch?v=JJ3epkTZweA",'Players&gt;List'!$B15)</f>
        <v>[FNY]</v>
      </c>
      <c r="I1546" s="1"/>
      <c r="J1546" s="1"/>
      <c r="K1546" s="1"/>
      <c r="L1546" s="1"/>
      <c r="M1546" s="1"/>
      <c r="N1546" s="1"/>
    </row>
    <row r="1547">
      <c r="A1547" s="1"/>
      <c r="B1547" s="14" t="s">
        <v>3894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"/>
    </row>
    <row r="1548">
      <c r="A1548" s="1"/>
      <c r="B1548" s="4" t="s">
        <v>3897</v>
      </c>
      <c r="D1548" s="9"/>
      <c r="E1548" s="17" t="s">
        <v>14</v>
      </c>
      <c r="F1548" s="28" t="str">
        <f>HYPERLINK("https://youtu.be/iqK8Uo2DjC0?t=1586",'Players&gt;List'!$B10)</f>
        <v>[CAM]</v>
      </c>
      <c r="G1548" s="1"/>
      <c r="H1548" s="1"/>
      <c r="I1548" s="1"/>
      <c r="J1548" s="1"/>
      <c r="K1548" s="1"/>
      <c r="L1548" s="1"/>
      <c r="M1548" s="1"/>
      <c r="N1548" s="1"/>
    </row>
    <row r="1549">
      <c r="A1549" s="1"/>
      <c r="B1549" s="25" t="s">
        <v>108</v>
      </c>
      <c r="E1549" s="26" t="s">
        <v>110</v>
      </c>
      <c r="F1549" s="1"/>
      <c r="G1549" s="1"/>
      <c r="H1549" s="1"/>
      <c r="I1549" s="1"/>
      <c r="J1549" s="1"/>
      <c r="K1549" s="1"/>
      <c r="L1549" s="1"/>
      <c r="M1549" s="1"/>
      <c r="N1549" s="1"/>
    </row>
    <row r="1550">
      <c r="A1550" s="1"/>
      <c r="B1550" s="25" t="s">
        <v>131</v>
      </c>
      <c r="E1550" s="26" t="s">
        <v>132</v>
      </c>
      <c r="F1550" s="28" t="str">
        <f>HYPERLINK("https://www.youtube.com/watch?v=m-CIa7puBUA&amp;index=293&amp;list=PLbU6uWaIKemqNvTeRxK-Ay6PRg9iwCKVi&amp;t=0s",'Players&gt;List'!$B19)</f>
        <v>[HIT]</v>
      </c>
      <c r="G1550" s="28" t="str">
        <f>HYPERLINK("https://www.youtube.com/watch?v=6jc9gkeKU6Q",'Players&gt;List'!$B15)</f>
        <v>[FNY]</v>
      </c>
      <c r="H1550" s="1"/>
      <c r="I1550" s="1"/>
      <c r="J1550" s="1"/>
      <c r="K1550" s="1"/>
      <c r="L1550" s="1"/>
      <c r="M1550" s="1"/>
      <c r="N1550" s="1"/>
    </row>
    <row r="1551">
      <c r="A1551" s="1"/>
      <c r="B1551" s="14" t="s">
        <v>3903</v>
      </c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"/>
    </row>
    <row r="1552">
      <c r="A1552" s="1"/>
      <c r="B1552" s="4" t="s">
        <v>3906</v>
      </c>
      <c r="D1552" s="9"/>
      <c r="E1552" s="17" t="s">
        <v>14</v>
      </c>
      <c r="F1552" s="28" t="str">
        <f>HYPERLINK("https://youtu.be/Jg_PdCb-JRU?t=51",'Players&gt;List'!$B10)</f>
        <v>[CAM]</v>
      </c>
      <c r="G1552" s="1"/>
      <c r="H1552" s="1"/>
      <c r="I1552" s="1"/>
      <c r="J1552" s="1"/>
      <c r="K1552" s="1"/>
      <c r="L1552" s="1"/>
      <c r="M1552" s="1"/>
      <c r="N1552" s="1"/>
    </row>
    <row r="1553">
      <c r="A1553" s="1"/>
      <c r="B1553" s="25" t="s">
        <v>457</v>
      </c>
      <c r="E1553" s="26" t="s">
        <v>110</v>
      </c>
      <c r="F1553" s="28" t="str">
        <f>HYPERLINK("https://www.youtube.com/watch?v=689mtckhVP4",'Players&gt;List'!$B18)</f>
        <v>[HGB]</v>
      </c>
      <c r="G1553" s="1"/>
      <c r="H1553" s="1"/>
      <c r="I1553" s="1"/>
      <c r="J1553" s="1"/>
      <c r="K1553" s="1"/>
      <c r="L1553" s="1"/>
      <c r="M1553" s="1"/>
      <c r="N1553" s="1"/>
    </row>
    <row r="1554">
      <c r="A1554" s="1"/>
      <c r="B1554" s="25" t="s">
        <v>131</v>
      </c>
      <c r="E1554" s="26" t="s">
        <v>132</v>
      </c>
      <c r="F1554" s="1"/>
      <c r="G1554" s="1"/>
      <c r="H1554" s="1"/>
      <c r="I1554" s="1"/>
      <c r="J1554" s="1"/>
      <c r="K1554" s="1"/>
      <c r="L1554" s="1"/>
      <c r="M1554" s="1"/>
      <c r="N1554" s="1"/>
    </row>
    <row r="1555">
      <c r="A1555" s="1"/>
      <c r="B1555" s="25" t="s">
        <v>197</v>
      </c>
      <c r="E1555" s="26" t="s">
        <v>147</v>
      </c>
      <c r="F1555" s="1"/>
      <c r="G1555" s="1"/>
      <c r="H1555" s="1"/>
      <c r="I1555" s="1"/>
      <c r="J1555" s="1"/>
      <c r="K1555" s="1"/>
      <c r="L1555" s="1"/>
      <c r="M1555" s="1"/>
      <c r="N1555" s="1"/>
    </row>
    <row r="1556">
      <c r="A1556" s="1"/>
      <c r="B1556" s="14" t="s">
        <v>3913</v>
      </c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"/>
    </row>
    <row r="1557">
      <c r="A1557" s="1"/>
      <c r="B1557" s="4" t="s">
        <v>3914</v>
      </c>
      <c r="D1557" s="9"/>
      <c r="E1557" s="17" t="s">
        <v>14</v>
      </c>
      <c r="F1557" s="28" t="str">
        <f>HYPERLINK("https://youtu.be/Jg_PdCb-JRU?t=732",'Players&gt;List'!$B10)</f>
        <v>[CAM]</v>
      </c>
      <c r="G1557" s="28" t="str">
        <f>HYPERLINK("https://www.youtube.com/watch?v=9ruzBSpNeWU",'Players&gt;List'!$B18)</f>
        <v>[HGB]</v>
      </c>
      <c r="H1557" s="1"/>
      <c r="I1557" s="1"/>
      <c r="J1557" s="1"/>
      <c r="K1557" s="1"/>
      <c r="L1557" s="1"/>
      <c r="M1557" s="1"/>
      <c r="N1557" s="1"/>
    </row>
    <row r="1558">
      <c r="A1558" s="1"/>
      <c r="B1558" s="25" t="s">
        <v>88</v>
      </c>
      <c r="E1558" s="26" t="s">
        <v>90</v>
      </c>
      <c r="F1558" s="1"/>
      <c r="G1558" s="1"/>
      <c r="H1558" s="1"/>
      <c r="I1558" s="1"/>
      <c r="J1558" s="1"/>
      <c r="K1558" s="1"/>
      <c r="L1558" s="1"/>
      <c r="M1558" s="1"/>
      <c r="N1558" s="1"/>
    </row>
    <row r="1559">
      <c r="A1559" s="1"/>
      <c r="B1559" s="14" t="s">
        <v>3921</v>
      </c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"/>
    </row>
    <row r="1560">
      <c r="A1560" s="1"/>
      <c r="B1560" s="4" t="s">
        <v>3923</v>
      </c>
      <c r="D1560" s="9"/>
      <c r="E1560" s="17" t="s">
        <v>14</v>
      </c>
      <c r="F1560" s="28" t="str">
        <f>HYPERLINK("https://youtu.be/Jg_PdCb-JRU?t=889",'Players&gt;List'!$B10)</f>
        <v>[CAM]</v>
      </c>
      <c r="G1560" s="1"/>
      <c r="H1560" s="1"/>
      <c r="I1560" s="1"/>
      <c r="J1560" s="1"/>
      <c r="K1560" s="1"/>
      <c r="L1560" s="1"/>
      <c r="M1560" s="1"/>
      <c r="N1560" s="1"/>
    </row>
    <row r="1561">
      <c r="A1561" s="1"/>
      <c r="B1561" s="25" t="s">
        <v>117</v>
      </c>
      <c r="E1561" s="26" t="s">
        <v>110</v>
      </c>
      <c r="F1561" s="1"/>
      <c r="G1561" s="1"/>
      <c r="H1561" s="1"/>
      <c r="I1561" s="1"/>
      <c r="J1561" s="1"/>
      <c r="K1561" s="1"/>
      <c r="L1561" s="1"/>
      <c r="M1561" s="1"/>
      <c r="N1561" s="1"/>
    </row>
    <row r="1562">
      <c r="A1562" s="1"/>
      <c r="B1562" s="14" t="s">
        <v>3927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"/>
    </row>
    <row r="1563">
      <c r="A1563" s="1"/>
      <c r="B1563" s="4" t="s">
        <v>3928</v>
      </c>
      <c r="D1563" s="9"/>
      <c r="E1563" s="17" t="s">
        <v>14</v>
      </c>
      <c r="F1563" s="28" t="str">
        <f>HYPERLINK("https://youtu.be/Jg_PdCb-JRU?t=1036",'Players&gt;List'!$B10)</f>
        <v>[CAM]</v>
      </c>
      <c r="G1563" s="1"/>
      <c r="H1563" s="1"/>
      <c r="I1563" s="1"/>
      <c r="J1563" s="1"/>
      <c r="K1563" s="1"/>
      <c r="L1563" s="1"/>
      <c r="M1563" s="1"/>
      <c r="N1563" s="1"/>
    </row>
    <row r="1564">
      <c r="A1564" s="1"/>
      <c r="B1564" s="25" t="s">
        <v>457</v>
      </c>
      <c r="E1564" s="26" t="s">
        <v>110</v>
      </c>
      <c r="F1564" s="1"/>
      <c r="G1564" s="1"/>
      <c r="H1564" s="1"/>
      <c r="I1564" s="1"/>
      <c r="J1564" s="1"/>
      <c r="K1564" s="1"/>
      <c r="L1564" s="1"/>
      <c r="M1564" s="1"/>
      <c r="N1564" s="1"/>
    </row>
    <row r="1565">
      <c r="A1565" s="1"/>
      <c r="B1565" s="14" t="s">
        <v>3932</v>
      </c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"/>
    </row>
    <row r="1566">
      <c r="A1566" s="1"/>
      <c r="B1566" s="4" t="s">
        <v>3934</v>
      </c>
      <c r="D1566" s="9"/>
      <c r="E1566" s="17" t="s">
        <v>14</v>
      </c>
      <c r="F1566" s="28" t="str">
        <f>HYPERLINK("https://youtu.be/Jg_PdCb-JRU?t=1231",'Players&gt;List'!$B10)</f>
        <v>[CAM]</v>
      </c>
      <c r="G1566" s="1"/>
      <c r="H1566" s="1"/>
      <c r="I1566" s="1"/>
      <c r="J1566" s="1"/>
      <c r="K1566" s="1"/>
      <c r="L1566" s="1"/>
      <c r="M1566" s="1"/>
      <c r="N1566" s="1"/>
    </row>
    <row r="1567">
      <c r="A1567" s="1"/>
      <c r="B1567" s="25" t="s">
        <v>88</v>
      </c>
      <c r="E1567" s="26" t="s">
        <v>90</v>
      </c>
      <c r="F1567" s="1"/>
      <c r="G1567" s="1"/>
      <c r="H1567" s="1"/>
      <c r="I1567" s="1"/>
      <c r="J1567" s="1"/>
      <c r="K1567" s="1"/>
      <c r="L1567" s="1"/>
      <c r="M1567" s="1"/>
      <c r="N1567" s="1"/>
    </row>
    <row r="1568">
      <c r="A1568" s="1"/>
      <c r="B1568" s="14" t="s">
        <v>3936</v>
      </c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"/>
    </row>
    <row r="1569">
      <c r="A1569" s="1"/>
      <c r="B1569" s="4" t="s">
        <v>3939</v>
      </c>
      <c r="D1569" s="9"/>
      <c r="E1569" s="17" t="s">
        <v>14</v>
      </c>
      <c r="F1569" s="28" t="str">
        <f>HYPERLINK("https://youtu.be/giXB3auDS38?t=26",'Players&gt;List'!$B10)</f>
        <v>[CAM]</v>
      </c>
      <c r="G1569" s="1"/>
      <c r="H1569" s="1"/>
      <c r="I1569" s="1"/>
      <c r="J1569" s="1"/>
      <c r="K1569" s="1"/>
      <c r="L1569" s="1"/>
      <c r="M1569" s="1"/>
      <c r="N1569" s="1"/>
    </row>
    <row r="1570">
      <c r="A1570" s="1"/>
      <c r="B1570" s="25" t="s">
        <v>88</v>
      </c>
      <c r="E1570" s="26" t="s">
        <v>90</v>
      </c>
      <c r="F1570" s="1"/>
      <c r="G1570" s="1"/>
      <c r="H1570" s="1"/>
      <c r="I1570" s="1"/>
      <c r="J1570" s="1"/>
      <c r="K1570" s="1"/>
      <c r="L1570" s="1"/>
      <c r="M1570" s="1"/>
      <c r="N1570" s="1"/>
    </row>
    <row r="1571">
      <c r="A1571" s="1"/>
      <c r="B1571" s="14" t="s">
        <v>3943</v>
      </c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"/>
    </row>
    <row r="1572">
      <c r="A1572" s="1"/>
      <c r="B1572" s="4" t="s">
        <v>3944</v>
      </c>
      <c r="D1572" s="9"/>
      <c r="E1572" s="17" t="s">
        <v>14</v>
      </c>
      <c r="F1572" s="28" t="str">
        <f>HYPERLINK("https://youtu.be/giXB3auDS38?t=65",'Players&gt;List'!$B10)</f>
        <v>[CAM]</v>
      </c>
      <c r="G1572" s="1"/>
      <c r="H1572" s="1"/>
      <c r="I1572" s="1"/>
      <c r="J1572" s="1"/>
      <c r="K1572" s="1"/>
      <c r="L1572" s="1"/>
      <c r="M1572" s="1"/>
      <c r="N1572" s="1"/>
    </row>
    <row r="1573">
      <c r="A1573" s="1"/>
      <c r="B1573" s="25" t="s">
        <v>131</v>
      </c>
      <c r="E1573" s="26" t="s">
        <v>110</v>
      </c>
      <c r="F1573" s="1"/>
      <c r="G1573" s="1"/>
      <c r="H1573" s="1"/>
      <c r="I1573" s="1"/>
      <c r="J1573" s="1"/>
      <c r="K1573" s="1"/>
      <c r="L1573" s="1"/>
      <c r="M1573" s="1"/>
      <c r="N1573" s="1"/>
    </row>
    <row r="1574">
      <c r="A1574" s="1"/>
      <c r="B1574" s="14" t="s">
        <v>3950</v>
      </c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"/>
    </row>
    <row r="1575">
      <c r="A1575" s="1"/>
      <c r="B1575" s="4" t="s">
        <v>3952</v>
      </c>
      <c r="D1575" s="9"/>
      <c r="E1575" s="17" t="s">
        <v>14</v>
      </c>
      <c r="F1575" s="28" t="str">
        <f>HYPERLINK("https://youtu.be/giXB3auDS38?t=143",'Players&gt;List'!$B10)</f>
        <v>[CAM]</v>
      </c>
      <c r="G1575" s="1"/>
      <c r="H1575" s="1"/>
      <c r="I1575" s="1"/>
      <c r="J1575" s="1"/>
      <c r="K1575" s="1"/>
      <c r="L1575" s="1"/>
      <c r="M1575" s="1"/>
      <c r="N1575" s="1"/>
    </row>
    <row r="1576">
      <c r="A1576" s="1"/>
      <c r="B1576" s="25" t="s">
        <v>400</v>
      </c>
      <c r="E1576" s="26" t="s">
        <v>234</v>
      </c>
      <c r="F1576" s="1"/>
      <c r="G1576" s="1"/>
      <c r="H1576" s="1"/>
      <c r="I1576" s="1"/>
      <c r="J1576" s="1"/>
      <c r="K1576" s="1"/>
      <c r="L1576" s="1"/>
      <c r="M1576" s="1"/>
      <c r="N1576" s="1"/>
    </row>
    <row r="1577">
      <c r="A1577" s="1"/>
      <c r="B1577" s="25" t="s">
        <v>108</v>
      </c>
      <c r="E1577" s="26" t="s">
        <v>132</v>
      </c>
      <c r="F1577" s="1"/>
      <c r="G1577" s="1"/>
      <c r="H1577" s="1"/>
      <c r="I1577" s="1"/>
      <c r="J1577" s="1"/>
      <c r="K1577" s="1"/>
      <c r="L1577" s="1"/>
      <c r="M1577" s="1"/>
      <c r="N1577" s="1"/>
    </row>
    <row r="1578">
      <c r="A1578" s="1"/>
      <c r="B1578" s="14" t="s">
        <v>3955</v>
      </c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"/>
    </row>
    <row r="1579">
      <c r="A1579" s="1"/>
      <c r="B1579" s="4" t="s">
        <v>3956</v>
      </c>
      <c r="D1579" s="9"/>
      <c r="E1579" s="17" t="s">
        <v>14</v>
      </c>
      <c r="F1579" s="28" t="str">
        <f>HYPERLINK("https://youtu.be/giXB3auDS38?t=315",'Players&gt;List'!$B10)</f>
        <v>[CAM]</v>
      </c>
      <c r="G1579" s="1"/>
      <c r="H1579" s="1"/>
      <c r="I1579" s="1"/>
      <c r="J1579" s="1"/>
      <c r="K1579" s="1"/>
      <c r="L1579" s="1"/>
      <c r="M1579" s="1"/>
      <c r="N1579" s="1"/>
    </row>
    <row r="1580">
      <c r="A1580" s="1"/>
      <c r="B1580" s="25" t="s">
        <v>387</v>
      </c>
      <c r="E1580" s="26" t="s">
        <v>110</v>
      </c>
      <c r="F1580" s="28" t="str">
        <f>HYPERLINK("https://www.youtube.com/watch?v=tyqZxdAtQl4&amp;index=221&amp;t=0s&amp;list=PLbU6uWaIKemqNvTeRxK-Ay6PRg9iwCKVi",'Players&gt;List'!$B19)</f>
        <v>[HIT]</v>
      </c>
      <c r="G1580" s="1"/>
      <c r="H1580" s="1"/>
      <c r="I1580" s="1"/>
      <c r="J1580" s="1"/>
      <c r="K1580" s="1"/>
      <c r="L1580" s="1"/>
      <c r="M1580" s="1"/>
      <c r="N1580" s="1"/>
    </row>
    <row r="1581">
      <c r="A1581" s="1"/>
      <c r="B1581" s="14" t="s">
        <v>3962</v>
      </c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"/>
    </row>
    <row r="1582">
      <c r="A1582" s="1"/>
      <c r="B1582" s="4" t="s">
        <v>3964</v>
      </c>
      <c r="D1582" s="9"/>
      <c r="E1582" s="17" t="s">
        <v>14</v>
      </c>
      <c r="F1582" s="28" t="str">
        <f>HYPERLINK("https://youtu.be/giXB3auDS38?t=417",'Players&gt;List'!$B10)</f>
        <v>[CAM]</v>
      </c>
      <c r="G1582" s="1"/>
      <c r="H1582" s="1"/>
      <c r="I1582" s="1"/>
      <c r="J1582" s="1"/>
      <c r="K1582" s="1"/>
      <c r="L1582" s="1"/>
      <c r="M1582" s="1"/>
      <c r="N1582" s="1"/>
    </row>
    <row r="1583">
      <c r="A1583" s="1"/>
      <c r="B1583" s="25" t="s">
        <v>166</v>
      </c>
      <c r="E1583" s="26" t="s">
        <v>110</v>
      </c>
      <c r="F1583" s="1"/>
      <c r="G1583" s="1"/>
      <c r="H1583" s="1"/>
      <c r="I1583" s="1"/>
      <c r="J1583" s="1"/>
      <c r="K1583" s="1"/>
      <c r="L1583" s="1"/>
      <c r="M1583" s="1"/>
      <c r="N1583" s="1"/>
    </row>
    <row r="1584">
      <c r="A1584" s="1"/>
      <c r="B1584" s="14" t="s">
        <v>3965</v>
      </c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"/>
    </row>
    <row r="1585">
      <c r="A1585" s="1"/>
      <c r="B1585" s="4" t="s">
        <v>3966</v>
      </c>
      <c r="D1585" s="9"/>
      <c r="E1585" s="17" t="s">
        <v>14</v>
      </c>
      <c r="F1585" s="28" t="str">
        <f>HYPERLINK("https://youtu.be/giXB3auDS38?t=458",'Players&gt;List'!$B10)</f>
        <v>[CAM]</v>
      </c>
      <c r="G1585" s="1"/>
      <c r="H1585" s="1"/>
      <c r="I1585" s="1"/>
      <c r="J1585" s="1"/>
      <c r="K1585" s="1"/>
      <c r="L1585" s="1"/>
      <c r="M1585" s="1"/>
      <c r="N1585" s="1"/>
    </row>
    <row r="1586">
      <c r="A1586" s="1"/>
      <c r="B1586" s="25" t="s">
        <v>88</v>
      </c>
      <c r="E1586" s="26" t="s">
        <v>90</v>
      </c>
      <c r="F1586" s="28" t="str">
        <f>HYPERLINK("https://www.youtube.com/watch?v=dbZALdJulIk",'Players&gt;List'!$B28)</f>
        <v>[SUN]</v>
      </c>
      <c r="G1586" s="1"/>
      <c r="H1586" s="1"/>
      <c r="I1586" s="1"/>
      <c r="J1586" s="1"/>
      <c r="K1586" s="1"/>
      <c r="L1586" s="1"/>
      <c r="M1586" s="1"/>
      <c r="N1586" s="1"/>
    </row>
    <row r="1587">
      <c r="A1587" s="1"/>
      <c r="B1587" s="14" t="s">
        <v>3969</v>
      </c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"/>
    </row>
    <row r="1588">
      <c r="A1588" s="1"/>
      <c r="B1588" s="4" t="s">
        <v>3970</v>
      </c>
      <c r="D1588" s="9"/>
      <c r="E1588" s="17" t="s">
        <v>14</v>
      </c>
      <c r="F1588" s="28" t="str">
        <f>HYPERLINK("https://youtu.be/giXB3auDS38?t=576",'Players&gt;List'!$B10)</f>
        <v>[CAM]</v>
      </c>
      <c r="G1588" s="1"/>
      <c r="H1588" s="1"/>
      <c r="I1588" s="1"/>
      <c r="J1588" s="1"/>
      <c r="K1588" s="1"/>
      <c r="L1588" s="1"/>
      <c r="M1588" s="1"/>
      <c r="N1588" s="1"/>
    </row>
    <row r="1589">
      <c r="A1589" s="1"/>
      <c r="B1589" s="25" t="s">
        <v>649</v>
      </c>
      <c r="E1589" s="26" t="s">
        <v>90</v>
      </c>
      <c r="F1589" s="1"/>
      <c r="G1589" s="1"/>
      <c r="H1589" s="1"/>
      <c r="I1589" s="1"/>
      <c r="J1589" s="1"/>
      <c r="K1589" s="1"/>
      <c r="L1589" s="1"/>
      <c r="M1589" s="1"/>
      <c r="N1589" s="1"/>
    </row>
    <row r="1590">
      <c r="A1590" s="1"/>
      <c r="B1590" s="25" t="s">
        <v>387</v>
      </c>
      <c r="E1590" s="26" t="s">
        <v>132</v>
      </c>
      <c r="F1590" s="28" t="str">
        <f>HYPERLINK("https://www.youtube.com/watch?v=ZolduArHavE",'Players&gt;List'!$B28)</f>
        <v>[SUN]</v>
      </c>
      <c r="G1590" s="1"/>
      <c r="H1590" s="1"/>
      <c r="I1590" s="1"/>
      <c r="J1590" s="1"/>
      <c r="K1590" s="1"/>
      <c r="L1590" s="1"/>
      <c r="M1590" s="1"/>
      <c r="N1590" s="1"/>
    </row>
    <row r="1591">
      <c r="A1591" s="1"/>
      <c r="B1591" s="14" t="s">
        <v>3979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"/>
    </row>
    <row r="1592">
      <c r="A1592" s="1"/>
      <c r="B1592" s="4" t="s">
        <v>3980</v>
      </c>
      <c r="D1592" s="9"/>
      <c r="E1592" s="17" t="s">
        <v>14</v>
      </c>
      <c r="F1592" s="28" t="str">
        <f>HYPERLINK("https://youtu.be/giXB3auDS38?t=638",'Players&gt;List'!$B10)</f>
        <v>[CAM]</v>
      </c>
      <c r="G1592" s="1"/>
      <c r="H1592" s="1"/>
      <c r="I1592" s="1"/>
      <c r="J1592" s="1"/>
      <c r="K1592" s="1"/>
      <c r="L1592" s="1"/>
      <c r="M1592" s="1"/>
      <c r="N1592" s="1"/>
    </row>
    <row r="1593">
      <c r="A1593" s="1"/>
      <c r="B1593" s="25" t="s">
        <v>88</v>
      </c>
      <c r="E1593" s="26" t="s">
        <v>90</v>
      </c>
      <c r="F1593" s="1"/>
      <c r="G1593" s="1"/>
      <c r="H1593" s="1"/>
      <c r="I1593" s="1"/>
      <c r="J1593" s="1"/>
      <c r="K1593" s="1"/>
      <c r="L1593" s="1"/>
      <c r="M1593" s="1"/>
      <c r="N1593" s="1"/>
    </row>
    <row r="1594">
      <c r="A1594" s="1"/>
      <c r="B1594" s="14" t="s">
        <v>3983</v>
      </c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"/>
    </row>
    <row r="1595">
      <c r="A1595" s="1"/>
      <c r="B1595" s="4" t="s">
        <v>3985</v>
      </c>
      <c r="D1595" s="9"/>
      <c r="E1595" s="17" t="s">
        <v>14</v>
      </c>
      <c r="F1595" s="28" t="str">
        <f>HYPERLINK("https://youtu.be/giXB3auDS38?t=785",'Players&gt;List'!$B10)</f>
        <v>[CAM]</v>
      </c>
      <c r="G1595" s="1"/>
      <c r="H1595" s="1"/>
      <c r="I1595" s="1"/>
      <c r="J1595" s="1"/>
      <c r="K1595" s="1"/>
      <c r="L1595" s="1"/>
      <c r="M1595" s="1"/>
      <c r="N1595" s="1"/>
    </row>
    <row r="1596">
      <c r="A1596" s="1"/>
      <c r="B1596" s="25" t="s">
        <v>117</v>
      </c>
      <c r="E1596" s="26" t="s">
        <v>110</v>
      </c>
      <c r="F1596" s="1"/>
      <c r="G1596" s="1"/>
      <c r="H1596" s="1"/>
      <c r="I1596" s="1"/>
      <c r="J1596" s="1"/>
      <c r="K1596" s="1"/>
      <c r="L1596" s="1"/>
      <c r="M1596" s="1"/>
      <c r="N1596" s="1"/>
    </row>
    <row r="1597">
      <c r="A1597" s="1"/>
      <c r="B1597" s="14" t="s">
        <v>3987</v>
      </c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"/>
    </row>
    <row r="1598">
      <c r="A1598" s="1"/>
      <c r="B1598" s="4" t="s">
        <v>3988</v>
      </c>
      <c r="D1598" s="9"/>
      <c r="E1598" s="17" t="s">
        <v>14</v>
      </c>
      <c r="F1598" s="28" t="str">
        <f>HYPERLINK("https://youtu.be/giXB3auDS38?t=954",'Players&gt;List'!$B10)</f>
        <v>[CAM]</v>
      </c>
      <c r="G1598" s="1"/>
      <c r="H1598" s="1"/>
      <c r="I1598" s="1"/>
      <c r="J1598" s="1"/>
      <c r="K1598" s="1"/>
      <c r="L1598" s="1"/>
      <c r="M1598" s="1"/>
      <c r="N1598" s="1"/>
    </row>
    <row r="1599">
      <c r="A1599" s="1"/>
      <c r="B1599" s="25" t="s">
        <v>88</v>
      </c>
      <c r="E1599" s="26" t="s">
        <v>90</v>
      </c>
      <c r="F1599" s="1"/>
      <c r="G1599" s="1"/>
      <c r="H1599" s="1"/>
      <c r="I1599" s="1"/>
      <c r="J1599" s="1"/>
      <c r="K1599" s="1"/>
      <c r="L1599" s="1"/>
      <c r="M1599" s="1"/>
      <c r="N1599" s="1"/>
    </row>
    <row r="1600">
      <c r="A1600" s="1"/>
      <c r="B1600" s="14" t="s">
        <v>3991</v>
      </c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"/>
    </row>
    <row r="1601">
      <c r="A1601" s="1"/>
      <c r="B1601" s="4" t="s">
        <v>3992</v>
      </c>
      <c r="D1601" s="9"/>
      <c r="E1601" s="17" t="s">
        <v>14</v>
      </c>
      <c r="F1601" s="28" t="str">
        <f>HYPERLINK("https://youtu.be/-LnmQwNwFbk?t=54",'Players&gt;List'!$B10)</f>
        <v>[CAM]</v>
      </c>
      <c r="G1601" s="1"/>
      <c r="H1601" s="1"/>
      <c r="I1601" s="1"/>
      <c r="J1601" s="1"/>
      <c r="K1601" s="1"/>
      <c r="L1601" s="1"/>
      <c r="M1601" s="1"/>
      <c r="N1601" s="1"/>
    </row>
    <row r="1602">
      <c r="A1602" s="1"/>
      <c r="B1602" s="25" t="s">
        <v>108</v>
      </c>
      <c r="E1602" s="26" t="s">
        <v>110</v>
      </c>
      <c r="F1602" s="1"/>
      <c r="G1602" s="1"/>
      <c r="H1602" s="1"/>
      <c r="I1602" s="1"/>
      <c r="J1602" s="1"/>
      <c r="K1602" s="1"/>
      <c r="L1602" s="1"/>
      <c r="M1602" s="1"/>
      <c r="N1602" s="1"/>
    </row>
    <row r="1603">
      <c r="A1603" s="1"/>
      <c r="B1603" s="14" t="s">
        <v>3994</v>
      </c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"/>
    </row>
    <row r="1604">
      <c r="A1604" s="1"/>
      <c r="B1604" s="4" t="s">
        <v>3996</v>
      </c>
      <c r="D1604" s="9"/>
      <c r="E1604" s="17" t="s">
        <v>14</v>
      </c>
      <c r="F1604" s="28" t="str">
        <f>HYPERLINK("https://youtu.be/-LnmQwNwFbk?t=377",'Players&gt;List'!$B10)</f>
        <v>[CAM]</v>
      </c>
      <c r="G1604" s="1"/>
      <c r="H1604" s="1"/>
      <c r="I1604" s="1"/>
      <c r="J1604" s="1"/>
      <c r="K1604" s="1"/>
      <c r="L1604" s="1"/>
      <c r="M1604" s="1"/>
      <c r="N1604" s="1"/>
    </row>
    <row r="1605">
      <c r="A1605" s="1"/>
      <c r="B1605" s="25" t="s">
        <v>197</v>
      </c>
      <c r="E1605" s="26" t="s">
        <v>90</v>
      </c>
      <c r="F1605" s="1"/>
      <c r="G1605" s="1"/>
      <c r="H1605" s="1"/>
      <c r="I1605" s="1"/>
      <c r="J1605" s="1"/>
      <c r="K1605" s="1"/>
      <c r="L1605" s="1"/>
      <c r="M1605" s="1"/>
      <c r="N1605" s="1"/>
    </row>
    <row r="1606">
      <c r="A1606" s="1"/>
      <c r="B1606" s="14" t="s">
        <v>3997</v>
      </c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"/>
    </row>
    <row r="1607">
      <c r="A1607" s="1"/>
      <c r="B1607" s="4" t="s">
        <v>3998</v>
      </c>
      <c r="D1607" s="9"/>
      <c r="E1607" s="17" t="s">
        <v>14</v>
      </c>
      <c r="F1607" s="28" t="str">
        <f>HYPERLINK("https://youtu.be/-LnmQwNwFbk?t=497",'Players&gt;List'!$B10)</f>
        <v>[CAM]</v>
      </c>
      <c r="G1607" s="1"/>
      <c r="H1607" s="1"/>
      <c r="I1607" s="1"/>
      <c r="J1607" s="1"/>
      <c r="K1607" s="1"/>
      <c r="L1607" s="1"/>
      <c r="M1607" s="1"/>
      <c r="N1607" s="1"/>
    </row>
    <row r="1608">
      <c r="A1608" s="1"/>
      <c r="B1608" s="25" t="s">
        <v>1715</v>
      </c>
      <c r="E1608" s="26" t="s">
        <v>234</v>
      </c>
      <c r="F1608" s="1"/>
      <c r="G1608" s="1"/>
      <c r="H1608" s="1"/>
      <c r="I1608" s="1"/>
      <c r="J1608" s="1"/>
      <c r="K1608" s="1"/>
      <c r="L1608" s="1"/>
      <c r="M1608" s="1"/>
      <c r="N1608" s="1"/>
    </row>
    <row r="1609">
      <c r="A1609" s="1"/>
      <c r="B1609" s="14" t="s">
        <v>4001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"/>
    </row>
    <row r="1610">
      <c r="A1610" s="1"/>
      <c r="B1610" s="4" t="s">
        <v>4003</v>
      </c>
      <c r="D1610" s="9"/>
      <c r="E1610" s="17" t="s">
        <v>14</v>
      </c>
      <c r="F1610" s="28" t="str">
        <f>HYPERLINK("https://youtu.be/-LnmQwNwFbk?t=529",'Players&gt;List'!$B10)</f>
        <v>[CAM]</v>
      </c>
      <c r="G1610" s="1"/>
      <c r="H1610" s="1"/>
      <c r="I1610" s="1"/>
      <c r="J1610" s="1"/>
      <c r="K1610" s="1"/>
      <c r="L1610" s="1"/>
      <c r="M1610" s="1"/>
      <c r="N1610" s="1"/>
    </row>
    <row r="1611">
      <c r="A1611" s="1"/>
      <c r="B1611" s="25" t="s">
        <v>88</v>
      </c>
      <c r="E1611" s="26" t="s">
        <v>90</v>
      </c>
      <c r="F1611" s="1"/>
      <c r="G1611" s="1"/>
      <c r="H1611" s="1"/>
      <c r="I1611" s="1"/>
      <c r="J1611" s="1"/>
      <c r="K1611" s="1"/>
      <c r="L1611" s="1"/>
      <c r="M1611" s="1"/>
      <c r="N1611" s="1"/>
    </row>
    <row r="1612">
      <c r="A1612" s="1"/>
      <c r="B1612" s="14" t="s">
        <v>4007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"/>
    </row>
    <row r="1613">
      <c r="A1613" s="1"/>
      <c r="B1613" s="4" t="s">
        <v>4012</v>
      </c>
      <c r="D1613" s="9"/>
      <c r="E1613" s="17" t="s">
        <v>14</v>
      </c>
      <c r="F1613" s="28" t="str">
        <f>HYPERLINK("https://youtu.be/-LnmQwNwFbk?t=1043",'Players&gt;List'!$B10)</f>
        <v>[CAM]</v>
      </c>
      <c r="G1613" s="1"/>
      <c r="H1613" s="1"/>
      <c r="I1613" s="1"/>
      <c r="J1613" s="1"/>
      <c r="K1613" s="1"/>
      <c r="L1613" s="1"/>
      <c r="M1613" s="1"/>
      <c r="N1613" s="1"/>
    </row>
    <row r="1614">
      <c r="A1614" s="1"/>
      <c r="B1614" s="25" t="s">
        <v>88</v>
      </c>
      <c r="E1614" s="26" t="s">
        <v>90</v>
      </c>
      <c r="F1614" s="1"/>
      <c r="G1614" s="1"/>
      <c r="H1614" s="1"/>
      <c r="I1614" s="1"/>
      <c r="J1614" s="1"/>
      <c r="K1614" s="1"/>
      <c r="L1614" s="1"/>
      <c r="M1614" s="1"/>
      <c r="N1614" s="1"/>
    </row>
    <row r="1615">
      <c r="A1615" s="1"/>
      <c r="B1615" s="14" t="s">
        <v>4013</v>
      </c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"/>
    </row>
    <row r="1616">
      <c r="A1616" s="1"/>
      <c r="B1616" s="4" t="s">
        <v>4016</v>
      </c>
      <c r="D1616" s="9"/>
      <c r="E1616" s="17" t="s">
        <v>14</v>
      </c>
      <c r="F1616" s="28" t="str">
        <f>HYPERLINK("https://youtu.be/IYBgYxzflcg?t=133",'Players&gt;List'!$B10)</f>
        <v>[CAM]</v>
      </c>
      <c r="G1616" s="1"/>
      <c r="H1616" s="1"/>
      <c r="I1616" s="1"/>
      <c r="J1616" s="1"/>
      <c r="K1616" s="1"/>
      <c r="L1616" s="1"/>
      <c r="M1616" s="1"/>
      <c r="N1616" s="1"/>
    </row>
    <row r="1617">
      <c r="A1617" s="1"/>
      <c r="B1617" s="25" t="s">
        <v>157</v>
      </c>
      <c r="E1617" s="26" t="s">
        <v>110</v>
      </c>
      <c r="F1617" s="1"/>
      <c r="G1617" s="1"/>
      <c r="H1617" s="1"/>
      <c r="I1617" s="1"/>
      <c r="J1617" s="1"/>
      <c r="K1617" s="1"/>
      <c r="L1617" s="1"/>
      <c r="M1617" s="1"/>
      <c r="N1617" s="1"/>
    </row>
    <row r="1618">
      <c r="A1618" s="1"/>
      <c r="B1618" s="14" t="s">
        <v>4018</v>
      </c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"/>
    </row>
    <row r="1619">
      <c r="A1619" s="1"/>
      <c r="B1619" s="4" t="s">
        <v>4020</v>
      </c>
      <c r="D1619" s="9"/>
      <c r="E1619" s="17" t="s">
        <v>14</v>
      </c>
      <c r="F1619" s="28" t="str">
        <f>HYPERLINK("https://youtu.be/IYBgYxzflcg?t=234",'Players&gt;List'!$B10)</f>
        <v>[CAM]</v>
      </c>
      <c r="G1619" s="1"/>
      <c r="H1619" s="1"/>
      <c r="I1619" s="1"/>
      <c r="J1619" s="1"/>
      <c r="K1619" s="1"/>
      <c r="L1619" s="1"/>
      <c r="M1619" s="1"/>
      <c r="N1619" s="1"/>
    </row>
    <row r="1620">
      <c r="A1620" s="1"/>
      <c r="B1620" s="25" t="s">
        <v>131</v>
      </c>
      <c r="E1620" s="26" t="s">
        <v>110</v>
      </c>
      <c r="F1620" s="28" t="str">
        <f>HYPERLINK("https://www.youtube.com/watch?v=VSgJat0dmnc",'Players&gt;List'!$B15)</f>
        <v>[FNY]</v>
      </c>
      <c r="G1620" s="1"/>
      <c r="H1620" s="1"/>
      <c r="I1620" s="1"/>
      <c r="J1620" s="1"/>
      <c r="K1620" s="1"/>
      <c r="L1620" s="1"/>
      <c r="M1620" s="1"/>
      <c r="N1620" s="1"/>
    </row>
    <row r="1621">
      <c r="A1621" s="1"/>
      <c r="B1621" s="14" t="s">
        <v>4023</v>
      </c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"/>
    </row>
    <row r="1622">
      <c r="A1622" s="1"/>
      <c r="B1622" s="4" t="s">
        <v>4025</v>
      </c>
      <c r="D1622" s="9"/>
      <c r="E1622" s="17" t="s">
        <v>14</v>
      </c>
      <c r="F1622" s="28" t="str">
        <f>HYPERLINK("https://youtu.be/IYBgYxzflcg?t=417",'Players&gt;List'!$B10)</f>
        <v>[CAM]</v>
      </c>
      <c r="G1622" s="28" t="str">
        <f>HYPERLINK("https://clips.twitch.tv/FrailVictoriousGooseThunBeast",'Players&gt;List'!$B20)</f>
        <v>[KOS]</v>
      </c>
      <c r="H1622" s="1"/>
      <c r="I1622" s="1"/>
      <c r="J1622" s="1"/>
      <c r="K1622" s="1"/>
      <c r="L1622" s="1"/>
      <c r="M1622" s="1"/>
      <c r="N1622" s="1"/>
    </row>
    <row r="1623">
      <c r="A1623" s="1"/>
      <c r="B1623" s="25" t="s">
        <v>88</v>
      </c>
      <c r="E1623" s="26" t="s">
        <v>90</v>
      </c>
      <c r="F1623" s="1"/>
      <c r="G1623" s="1"/>
      <c r="H1623" s="1"/>
      <c r="I1623" s="1"/>
      <c r="J1623" s="1"/>
      <c r="K1623" s="1"/>
      <c r="L1623" s="1"/>
      <c r="M1623" s="1"/>
      <c r="N1623" s="1"/>
    </row>
    <row r="1624">
      <c r="A1624" s="1"/>
      <c r="B1624" s="14" t="s">
        <v>4029</v>
      </c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"/>
    </row>
    <row r="1625">
      <c r="A1625" s="1"/>
      <c r="B1625" s="4" t="s">
        <v>4031</v>
      </c>
      <c r="D1625" s="9"/>
      <c r="E1625" s="17" t="s">
        <v>14</v>
      </c>
      <c r="F1625" s="28" t="str">
        <f>HYPERLINK("https://youtu.be/IYBgYxzflcg?t=1020",'Players&gt;List'!$B10)</f>
        <v>[CAM]</v>
      </c>
      <c r="G1625" s="1"/>
      <c r="H1625" s="1"/>
      <c r="I1625" s="1"/>
      <c r="J1625" s="1"/>
      <c r="K1625" s="1"/>
      <c r="L1625" s="1"/>
      <c r="M1625" s="1"/>
      <c r="N1625" s="1"/>
    </row>
    <row r="1626">
      <c r="A1626" s="1"/>
      <c r="B1626" s="25" t="s">
        <v>457</v>
      </c>
      <c r="E1626" s="26" t="s">
        <v>110</v>
      </c>
      <c r="F1626" s="28" t="str">
        <f>HYPERLINK("https://www.youtube.com/watch?v=BgBbgkVW5ck",'Players&gt;List'!$B15)</f>
        <v>[FNY]</v>
      </c>
      <c r="G1626" s="1"/>
      <c r="H1626" s="1"/>
      <c r="I1626" s="1"/>
      <c r="J1626" s="1"/>
      <c r="K1626" s="1"/>
      <c r="L1626" s="1"/>
      <c r="M1626" s="1"/>
      <c r="N1626" s="1"/>
    </row>
    <row r="1627">
      <c r="A1627" s="1"/>
      <c r="B1627" s="14" t="s">
        <v>4035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"/>
    </row>
    <row r="1628">
      <c r="A1628" s="1"/>
      <c r="B1628" s="4" t="s">
        <v>4036</v>
      </c>
      <c r="D1628" s="9"/>
      <c r="E1628" s="17" t="s">
        <v>14</v>
      </c>
      <c r="F1628" s="28" t="str">
        <f>HYPERLINK("https://youtu.be/IYBgYxzflcg?t=1488",'Players&gt;List'!$B10)</f>
        <v>[CAM]</v>
      </c>
      <c r="G1628" s="1"/>
      <c r="H1628" s="1"/>
      <c r="I1628" s="1"/>
      <c r="J1628" s="1"/>
      <c r="K1628" s="1"/>
      <c r="L1628" s="1"/>
      <c r="M1628" s="1"/>
      <c r="N1628" s="1"/>
    </row>
    <row r="1629">
      <c r="A1629" s="1"/>
      <c r="B1629" s="25" t="s">
        <v>197</v>
      </c>
      <c r="E1629" s="26" t="s">
        <v>90</v>
      </c>
      <c r="F1629" s="1"/>
      <c r="G1629" s="1"/>
      <c r="H1629" s="1"/>
      <c r="I1629" s="1"/>
      <c r="J1629" s="1"/>
      <c r="K1629" s="1"/>
      <c r="L1629" s="1"/>
      <c r="M1629" s="1"/>
      <c r="N1629" s="1"/>
    </row>
    <row r="1630">
      <c r="A1630" s="1"/>
      <c r="B1630" s="14" t="s">
        <v>4037</v>
      </c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"/>
    </row>
    <row r="1631">
      <c r="A1631" s="1"/>
      <c r="B1631" s="4" t="s">
        <v>4039</v>
      </c>
      <c r="D1631" s="9"/>
      <c r="E1631" s="17" t="s">
        <v>14</v>
      </c>
      <c r="F1631" s="28" t="str">
        <f>HYPERLINK("https://youtu.be/VGa1hrzyvNg?t=144",'Players&gt;List'!$B10)</f>
        <v>[CAM]</v>
      </c>
      <c r="G1631" s="1"/>
      <c r="H1631" s="1"/>
      <c r="I1631" s="1"/>
      <c r="J1631" s="1"/>
      <c r="K1631" s="1"/>
      <c r="L1631" s="1"/>
      <c r="M1631" s="1"/>
      <c r="N1631" s="1"/>
    </row>
    <row r="1632">
      <c r="A1632" s="1"/>
      <c r="B1632" s="25" t="s">
        <v>88</v>
      </c>
      <c r="E1632" s="26" t="s">
        <v>90</v>
      </c>
      <c r="F1632" s="1"/>
      <c r="G1632" s="1"/>
      <c r="H1632" s="1"/>
      <c r="I1632" s="1"/>
      <c r="J1632" s="1"/>
      <c r="K1632" s="1"/>
      <c r="L1632" s="1"/>
      <c r="M1632" s="1"/>
      <c r="N1632" s="1"/>
    </row>
    <row r="1633">
      <c r="A1633" s="1"/>
      <c r="B1633" s="14" t="s">
        <v>4041</v>
      </c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"/>
    </row>
    <row r="1634">
      <c r="A1634" s="1"/>
      <c r="B1634" s="4" t="s">
        <v>4042</v>
      </c>
      <c r="D1634" s="9"/>
      <c r="E1634" s="17" t="s">
        <v>14</v>
      </c>
      <c r="F1634" s="28" t="str">
        <f>HYPERLINK("https://youtu.be/VGa1hrzyvNg?t=603",'Players&gt;List'!$B10)</f>
        <v>[CAM]</v>
      </c>
      <c r="G1634" s="1"/>
      <c r="H1634" s="1"/>
      <c r="I1634" s="1"/>
      <c r="J1634" s="1"/>
      <c r="K1634" s="1"/>
      <c r="L1634" s="1"/>
      <c r="M1634" s="1"/>
      <c r="N1634" s="1"/>
    </row>
    <row r="1635">
      <c r="A1635" s="1"/>
      <c r="B1635" s="25" t="s">
        <v>117</v>
      </c>
      <c r="E1635" s="26" t="s">
        <v>110</v>
      </c>
      <c r="F1635" s="1"/>
      <c r="G1635" s="1"/>
      <c r="H1635" s="1"/>
      <c r="I1635" s="1"/>
      <c r="J1635" s="1"/>
      <c r="K1635" s="1"/>
      <c r="L1635" s="1"/>
      <c r="M1635" s="1"/>
      <c r="N1635" s="1"/>
    </row>
    <row r="1636">
      <c r="A1636" s="1"/>
      <c r="B1636" s="25" t="s">
        <v>149</v>
      </c>
      <c r="E1636" s="26" t="s">
        <v>147</v>
      </c>
      <c r="F1636" s="1"/>
      <c r="G1636" s="1"/>
      <c r="H1636" s="1"/>
      <c r="I1636" s="1"/>
      <c r="J1636" s="1"/>
      <c r="K1636" s="1"/>
      <c r="L1636" s="1"/>
      <c r="M1636" s="1"/>
      <c r="N1636" s="1"/>
    </row>
    <row r="1637">
      <c r="A1637" s="1"/>
      <c r="B1637" s="25" t="s">
        <v>88</v>
      </c>
      <c r="E1637" s="26" t="s">
        <v>147</v>
      </c>
      <c r="F1637" s="1"/>
      <c r="G1637" s="1"/>
      <c r="H1637" s="1"/>
      <c r="I1637" s="1"/>
      <c r="J1637" s="1"/>
      <c r="K1637" s="1"/>
      <c r="L1637" s="1"/>
      <c r="M1637" s="1"/>
      <c r="N1637" s="1"/>
    </row>
    <row r="1638">
      <c r="A1638" s="1"/>
      <c r="B1638" s="14" t="s">
        <v>4047</v>
      </c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"/>
    </row>
    <row r="1639">
      <c r="A1639" s="1"/>
      <c r="B1639" s="4" t="s">
        <v>4048</v>
      </c>
      <c r="D1639" s="9"/>
      <c r="E1639" s="17" t="s">
        <v>14</v>
      </c>
      <c r="F1639" s="28" t="str">
        <f>HYPERLINK("https://youtu.be/VGa1hrzyvNg?t=652",'Players&gt;List'!$B10)</f>
        <v>[CAM]</v>
      </c>
      <c r="G1639" s="1"/>
      <c r="H1639" s="1"/>
      <c r="I1639" s="1"/>
      <c r="J1639" s="1"/>
      <c r="K1639" s="1"/>
      <c r="L1639" s="1"/>
      <c r="M1639" s="1"/>
      <c r="N1639" s="1"/>
    </row>
    <row r="1640">
      <c r="A1640" s="1"/>
      <c r="B1640" s="25" t="s">
        <v>88</v>
      </c>
      <c r="E1640" s="26" t="s">
        <v>90</v>
      </c>
      <c r="F1640" s="1"/>
      <c r="G1640" s="1"/>
      <c r="H1640" s="1"/>
      <c r="I1640" s="1"/>
      <c r="J1640" s="1"/>
      <c r="K1640" s="1"/>
      <c r="L1640" s="1"/>
      <c r="M1640" s="1"/>
      <c r="N1640" s="1"/>
    </row>
    <row r="1641">
      <c r="A1641" s="1"/>
      <c r="B1641" s="14" t="s">
        <v>4053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"/>
    </row>
    <row r="1642">
      <c r="A1642" s="1"/>
      <c r="B1642" s="4" t="s">
        <v>4055</v>
      </c>
      <c r="D1642" s="9"/>
      <c r="E1642" s="17" t="s">
        <v>14</v>
      </c>
      <c r="F1642" s="28" t="str">
        <f>HYPERLINK("https://youtu.be/VGa1hrzyvNg?t=1129",'Players&gt;List'!$B10)</f>
        <v>[CAM]</v>
      </c>
      <c r="G1642" s="1"/>
      <c r="H1642" s="1"/>
      <c r="I1642" s="1"/>
      <c r="J1642" s="1"/>
      <c r="K1642" s="1"/>
      <c r="L1642" s="1"/>
      <c r="M1642" s="1"/>
      <c r="N1642" s="1"/>
    </row>
    <row r="1643">
      <c r="A1643" s="1"/>
      <c r="B1643" s="25" t="s">
        <v>149</v>
      </c>
      <c r="E1643" s="26" t="s">
        <v>90</v>
      </c>
      <c r="F1643" s="1"/>
      <c r="G1643" s="1"/>
      <c r="H1643" s="1"/>
      <c r="I1643" s="1"/>
      <c r="J1643" s="1"/>
      <c r="K1643" s="1"/>
      <c r="L1643" s="1"/>
      <c r="M1643" s="1"/>
      <c r="N1643" s="1"/>
    </row>
    <row r="1644">
      <c r="A1644" s="1"/>
      <c r="B1644" s="14" t="s">
        <v>4059</v>
      </c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"/>
    </row>
    <row r="1645">
      <c r="A1645" s="1"/>
      <c r="B1645" s="4" t="s">
        <v>4060</v>
      </c>
      <c r="D1645" s="9"/>
      <c r="E1645" s="17" t="s">
        <v>14</v>
      </c>
      <c r="F1645" s="28" t="str">
        <f>HYPERLINK("https://youtu.be/VGa1hrzyvNg?t=1576",'Players&gt;List'!$B10)</f>
        <v>[CAM]</v>
      </c>
      <c r="G1645" s="1"/>
      <c r="H1645" s="1"/>
      <c r="I1645" s="1"/>
      <c r="J1645" s="1"/>
      <c r="K1645" s="1"/>
      <c r="L1645" s="1"/>
      <c r="M1645" s="1"/>
      <c r="N1645" s="1"/>
    </row>
    <row r="1646">
      <c r="A1646" s="1"/>
      <c r="B1646" s="25" t="s">
        <v>117</v>
      </c>
      <c r="E1646" s="26" t="s">
        <v>110</v>
      </c>
      <c r="F1646" s="1"/>
      <c r="G1646" s="1"/>
      <c r="H1646" s="1"/>
      <c r="I1646" s="1"/>
      <c r="J1646" s="1"/>
      <c r="K1646" s="1"/>
      <c r="L1646" s="1"/>
      <c r="M1646" s="1"/>
      <c r="N1646" s="1"/>
    </row>
    <row r="1647">
      <c r="A1647" s="1"/>
      <c r="B1647" s="25" t="s">
        <v>457</v>
      </c>
      <c r="E1647" s="26" t="s">
        <v>132</v>
      </c>
      <c r="F1647" s="1"/>
      <c r="G1647" s="1"/>
      <c r="H1647" s="1"/>
      <c r="I1647" s="1"/>
      <c r="J1647" s="1"/>
      <c r="K1647" s="1"/>
      <c r="L1647" s="1"/>
      <c r="M1647" s="1"/>
      <c r="N1647" s="1"/>
    </row>
    <row r="1648">
      <c r="A1648" s="1"/>
      <c r="B1648" s="14" t="s">
        <v>4062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"/>
    </row>
    <row r="1649">
      <c r="A1649" s="1"/>
      <c r="B1649" s="4" t="s">
        <v>4064</v>
      </c>
      <c r="D1649" s="9"/>
      <c r="E1649" s="17" t="s">
        <v>14</v>
      </c>
      <c r="F1649" s="28" t="str">
        <f>HYPERLINK("https://youtu.be/nQeis-Src7U?t=42",'Players&gt;List'!$B10)</f>
        <v>[CAM]</v>
      </c>
      <c r="G1649" s="1"/>
      <c r="H1649" s="1"/>
      <c r="I1649" s="1"/>
      <c r="J1649" s="1"/>
      <c r="K1649" s="1"/>
      <c r="L1649" s="1"/>
      <c r="M1649" s="1"/>
      <c r="N1649" s="1"/>
    </row>
    <row r="1650">
      <c r="A1650" s="1"/>
      <c r="B1650" s="25" t="s">
        <v>88</v>
      </c>
      <c r="E1650" s="26" t="s">
        <v>90</v>
      </c>
      <c r="F1650" s="1"/>
      <c r="G1650" s="1"/>
      <c r="H1650" s="1"/>
      <c r="I1650" s="1"/>
      <c r="J1650" s="1"/>
      <c r="K1650" s="1"/>
      <c r="L1650" s="1"/>
      <c r="M1650" s="1"/>
      <c r="N1650" s="1"/>
    </row>
    <row r="1651">
      <c r="A1651" s="1"/>
      <c r="B1651" s="14" t="s">
        <v>4067</v>
      </c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"/>
    </row>
    <row r="1652">
      <c r="A1652" s="1"/>
      <c r="B1652" s="4" t="s">
        <v>4070</v>
      </c>
      <c r="D1652" s="9"/>
      <c r="E1652" s="17" t="s">
        <v>14</v>
      </c>
      <c r="F1652" s="28" t="str">
        <f>HYPERLINK("https://www.youtube.com/watch?v=jS8DrWrVaTA&amp;t=0s&amp;list=PLbU6uWaIKemqNvTeRxK-Ay6PRg9iwCKVi&amp;index=67",'Players&gt;List'!$B19)</f>
        <v>[HIT]</v>
      </c>
      <c r="G1652" s="28" t="str">
        <f>HYPERLINK("https://youtu.be/nQeis-Src7U?t=516",'Players&gt;List'!$B10)</f>
        <v>[CAM]</v>
      </c>
      <c r="H1652" s="1"/>
      <c r="I1652" s="1"/>
      <c r="J1652" s="1"/>
      <c r="K1652" s="1"/>
      <c r="L1652" s="1"/>
      <c r="M1652" s="1"/>
      <c r="N1652" s="1"/>
    </row>
    <row r="1653">
      <c r="A1653" s="1"/>
      <c r="B1653" s="25" t="s">
        <v>88</v>
      </c>
      <c r="E1653" s="26" t="s">
        <v>90</v>
      </c>
      <c r="F1653" s="1"/>
      <c r="G1653" s="1"/>
      <c r="H1653" s="1"/>
      <c r="I1653" s="1"/>
      <c r="J1653" s="1"/>
      <c r="K1653" s="1"/>
      <c r="L1653" s="1"/>
      <c r="M1653" s="1"/>
      <c r="N1653" s="1"/>
    </row>
    <row r="1654">
      <c r="A1654" s="1"/>
      <c r="B1654" s="14" t="s">
        <v>4072</v>
      </c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"/>
    </row>
    <row r="1655">
      <c r="A1655" s="1"/>
      <c r="B1655" s="4" t="s">
        <v>4074</v>
      </c>
      <c r="D1655" s="9"/>
      <c r="E1655" s="17" t="s">
        <v>14</v>
      </c>
      <c r="F1655" s="28" t="str">
        <f>HYPERLINK("https://youtu.be/nQeis-Src7U?t=690",'Players&gt;List'!$B10)</f>
        <v>[CAM]</v>
      </c>
      <c r="G1655" s="1"/>
      <c r="H1655" s="1"/>
      <c r="I1655" s="1"/>
      <c r="J1655" s="1"/>
      <c r="K1655" s="1"/>
      <c r="L1655" s="1"/>
      <c r="M1655" s="1"/>
      <c r="N1655" s="1"/>
    </row>
    <row r="1656">
      <c r="A1656" s="1"/>
      <c r="B1656" s="25" t="s">
        <v>649</v>
      </c>
      <c r="E1656" s="26" t="s">
        <v>90</v>
      </c>
      <c r="F1656" s="1"/>
      <c r="G1656" s="1"/>
      <c r="H1656" s="1"/>
      <c r="I1656" s="1"/>
      <c r="J1656" s="1"/>
      <c r="K1656" s="1"/>
      <c r="L1656" s="1"/>
      <c r="M1656" s="1"/>
      <c r="N1656" s="1"/>
    </row>
    <row r="1657">
      <c r="A1657" s="1"/>
      <c r="B1657" s="25" t="s">
        <v>197</v>
      </c>
      <c r="E1657" s="26" t="s">
        <v>147</v>
      </c>
      <c r="F1657" s="1"/>
      <c r="G1657" s="1"/>
      <c r="H1657" s="1"/>
      <c r="I1657" s="1"/>
      <c r="J1657" s="1"/>
      <c r="K1657" s="1"/>
      <c r="L1657" s="1"/>
      <c r="M1657" s="1"/>
      <c r="N1657" s="1"/>
    </row>
    <row r="1658">
      <c r="A1658" s="1"/>
      <c r="B1658" s="14" t="s">
        <v>4077</v>
      </c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"/>
    </row>
    <row r="1659">
      <c r="A1659" s="1"/>
      <c r="B1659" s="4" t="s">
        <v>4079</v>
      </c>
      <c r="D1659" s="9"/>
      <c r="E1659" s="17" t="s">
        <v>14</v>
      </c>
      <c r="F1659" s="28" t="str">
        <f>HYPERLINK("https://youtu.be/nQeis-Src7U?t=828",'Players&gt;List'!$B10)</f>
        <v>[CAM]</v>
      </c>
      <c r="G1659" s="1"/>
      <c r="H1659" s="1"/>
      <c r="I1659" s="1"/>
      <c r="J1659" s="1"/>
      <c r="K1659" s="1"/>
      <c r="L1659" s="1"/>
      <c r="M1659" s="1"/>
      <c r="N1659" s="1"/>
    </row>
    <row r="1660">
      <c r="A1660" s="1"/>
      <c r="B1660" s="25" t="s">
        <v>149</v>
      </c>
      <c r="E1660" s="26" t="s">
        <v>90</v>
      </c>
      <c r="F1660" s="1"/>
      <c r="G1660" s="1"/>
      <c r="H1660" s="1"/>
      <c r="I1660" s="1"/>
      <c r="J1660" s="1"/>
      <c r="K1660" s="1"/>
      <c r="L1660" s="1"/>
      <c r="M1660" s="1"/>
      <c r="N1660" s="1"/>
    </row>
    <row r="1661">
      <c r="A1661" s="1"/>
      <c r="B1661" s="25" t="s">
        <v>2213</v>
      </c>
      <c r="E1661" s="26" t="s">
        <v>147</v>
      </c>
      <c r="F1661" s="1"/>
      <c r="G1661" s="1"/>
      <c r="H1661" s="1"/>
      <c r="I1661" s="1"/>
      <c r="J1661" s="1"/>
      <c r="K1661" s="1"/>
      <c r="L1661" s="1"/>
      <c r="M1661" s="1"/>
      <c r="N1661" s="1"/>
    </row>
    <row r="1662">
      <c r="A1662" s="1"/>
      <c r="B1662" s="25" t="s">
        <v>88</v>
      </c>
      <c r="E1662" s="26" t="s">
        <v>147</v>
      </c>
      <c r="F1662" s="1"/>
      <c r="G1662" s="1"/>
      <c r="H1662" s="1"/>
      <c r="I1662" s="1"/>
      <c r="J1662" s="1"/>
      <c r="K1662" s="1"/>
      <c r="L1662" s="1"/>
      <c r="M1662" s="1"/>
      <c r="N1662" s="1"/>
    </row>
    <row r="1663">
      <c r="A1663" s="1"/>
      <c r="B1663" s="14" t="s">
        <v>4085</v>
      </c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"/>
    </row>
    <row r="1664">
      <c r="A1664" s="1"/>
      <c r="B1664" s="4" t="s">
        <v>4087</v>
      </c>
      <c r="D1664" s="9"/>
      <c r="E1664" s="17" t="s">
        <v>14</v>
      </c>
      <c r="F1664" s="28" t="str">
        <f>HYPERLINK("https://youtu.be/nQeis-Src7U?t=921",'Players&gt;List'!$B10)</f>
        <v>[CAM]</v>
      </c>
      <c r="G1664" s="1"/>
      <c r="H1664" s="1"/>
      <c r="I1664" s="1"/>
      <c r="J1664" s="1"/>
      <c r="K1664" s="1"/>
      <c r="L1664" s="1"/>
      <c r="M1664" s="1"/>
      <c r="N1664" s="1"/>
    </row>
    <row r="1665">
      <c r="A1665" s="1"/>
      <c r="B1665" s="25" t="s">
        <v>131</v>
      </c>
      <c r="E1665" s="26" t="s">
        <v>110</v>
      </c>
      <c r="F1665" s="1"/>
      <c r="G1665" s="1"/>
      <c r="H1665" s="1"/>
      <c r="I1665" s="1"/>
      <c r="J1665" s="1"/>
      <c r="K1665" s="1"/>
      <c r="L1665" s="1"/>
      <c r="M1665" s="1"/>
      <c r="N1665" s="1"/>
    </row>
    <row r="1666">
      <c r="A1666" s="1"/>
      <c r="B1666" s="25" t="s">
        <v>108</v>
      </c>
      <c r="E1666" s="26" t="s">
        <v>132</v>
      </c>
      <c r="F1666" s="1"/>
      <c r="G1666" s="1"/>
      <c r="H1666" s="1"/>
      <c r="I1666" s="1"/>
      <c r="J1666" s="1"/>
      <c r="K1666" s="1"/>
      <c r="L1666" s="1"/>
      <c r="M1666" s="1"/>
      <c r="N1666" s="1"/>
    </row>
    <row r="1667">
      <c r="A1667" s="1"/>
      <c r="B1667" s="14" t="s">
        <v>4091</v>
      </c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"/>
    </row>
    <row r="1668">
      <c r="A1668" s="1"/>
      <c r="B1668" s="4" t="s">
        <v>4092</v>
      </c>
      <c r="D1668" s="9"/>
      <c r="E1668" s="17" t="s">
        <v>14</v>
      </c>
      <c r="F1668" s="28" t="str">
        <f>HYPERLINK("https://youtu.be/BwH92l8Ul7E?t=21",'Players&gt;List'!$B10)</f>
        <v>[CAM]</v>
      </c>
      <c r="G1668" s="1"/>
      <c r="H1668" s="1"/>
      <c r="I1668" s="1"/>
      <c r="J1668" s="1"/>
      <c r="K1668" s="1"/>
      <c r="L1668" s="1"/>
      <c r="M1668" s="1"/>
      <c r="N1668" s="1"/>
    </row>
    <row r="1669">
      <c r="A1669" s="1"/>
      <c r="B1669" s="25" t="s">
        <v>88</v>
      </c>
      <c r="E1669" s="26" t="s">
        <v>90</v>
      </c>
      <c r="F1669" s="1"/>
      <c r="G1669" s="1"/>
      <c r="H1669" s="1"/>
      <c r="I1669" s="1"/>
      <c r="J1669" s="1"/>
      <c r="K1669" s="1"/>
      <c r="L1669" s="1"/>
      <c r="M1669" s="1"/>
      <c r="N1669" s="1"/>
    </row>
    <row r="1670">
      <c r="A1670" s="1"/>
      <c r="B1670" s="14" t="s">
        <v>4095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"/>
    </row>
    <row r="1671">
      <c r="A1671" s="1"/>
      <c r="B1671" s="4" t="s">
        <v>4097</v>
      </c>
      <c r="D1671" s="9"/>
      <c r="E1671" s="17" t="s">
        <v>14</v>
      </c>
      <c r="F1671" s="28" t="str">
        <f>HYPERLINK("https://youtu.be/BwH92l8Ul7E?t=51",'Players&gt;List'!$B10)</f>
        <v>[CAM]</v>
      </c>
      <c r="G1671" s="1"/>
      <c r="H1671" s="1"/>
      <c r="I1671" s="1"/>
      <c r="J1671" s="1"/>
      <c r="K1671" s="1"/>
      <c r="L1671" s="1"/>
      <c r="M1671" s="1"/>
      <c r="N1671" s="1"/>
    </row>
    <row r="1672">
      <c r="A1672" s="1"/>
      <c r="B1672" s="25" t="s">
        <v>88</v>
      </c>
      <c r="E1672" s="26" t="s">
        <v>90</v>
      </c>
      <c r="F1672" s="1"/>
      <c r="G1672" s="1"/>
      <c r="H1672" s="1"/>
      <c r="I1672" s="1"/>
      <c r="J1672" s="1"/>
      <c r="K1672" s="1"/>
      <c r="L1672" s="1"/>
      <c r="M1672" s="1"/>
      <c r="N1672" s="1"/>
    </row>
    <row r="1673">
      <c r="A1673" s="1"/>
      <c r="B1673" s="14" t="s">
        <v>4099</v>
      </c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"/>
    </row>
    <row r="1674">
      <c r="A1674" s="1"/>
      <c r="B1674" s="4" t="s">
        <v>4100</v>
      </c>
      <c r="D1674" s="9"/>
      <c r="E1674" s="17" t="s">
        <v>14</v>
      </c>
      <c r="F1674" s="28" t="str">
        <f>HYPERLINK("https://youtu.be/BwH92l8Ul7E?t=485",'Players&gt;List'!$B10)</f>
        <v>[CAM]</v>
      </c>
      <c r="G1674" s="1"/>
      <c r="H1674" s="1"/>
      <c r="I1674" s="1"/>
      <c r="J1674" s="1"/>
      <c r="K1674" s="1"/>
      <c r="L1674" s="1"/>
      <c r="M1674" s="1"/>
      <c r="N1674" s="1"/>
    </row>
    <row r="1675">
      <c r="A1675" s="1"/>
      <c r="B1675" s="25" t="s">
        <v>131</v>
      </c>
      <c r="E1675" s="26" t="s">
        <v>110</v>
      </c>
      <c r="F1675" s="28" t="str">
        <f>HYPERLINK("https://www.youtube.com/watch?v=XzBFtt3GiqA&amp;index=233&amp;t=0s&amp;list=PLbU6uWaIKemqNvTeRxK-Ay6PRg9iwCKVi",'Players&gt;List'!$B19)</f>
        <v>[HIT]</v>
      </c>
      <c r="G1675" s="1"/>
      <c r="H1675" s="1"/>
      <c r="I1675" s="1"/>
      <c r="J1675" s="1"/>
      <c r="K1675" s="1"/>
      <c r="L1675" s="1"/>
      <c r="M1675" s="1"/>
      <c r="N1675" s="1"/>
    </row>
    <row r="1676">
      <c r="A1676" s="1"/>
      <c r="B1676" s="14" t="s">
        <v>4103</v>
      </c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"/>
    </row>
    <row r="1677">
      <c r="A1677" s="1"/>
      <c r="B1677" s="4" t="s">
        <v>4105</v>
      </c>
      <c r="D1677" s="9"/>
      <c r="E1677" s="17" t="s">
        <v>14</v>
      </c>
      <c r="F1677" s="28" t="str">
        <f>HYPERLINK("https://youtu.be/BwH92l8Ul7E?t=586",'Players&gt;List'!$B10)</f>
        <v>[CAM]</v>
      </c>
      <c r="G1677" s="1"/>
      <c r="H1677" s="1"/>
      <c r="I1677" s="1"/>
      <c r="J1677" s="1"/>
      <c r="K1677" s="1"/>
      <c r="L1677" s="1"/>
      <c r="M1677" s="1"/>
      <c r="N1677" s="1"/>
    </row>
    <row r="1678">
      <c r="A1678" s="1"/>
      <c r="B1678" s="25" t="s">
        <v>108</v>
      </c>
      <c r="E1678" s="26" t="s">
        <v>110</v>
      </c>
      <c r="F1678" s="1"/>
      <c r="G1678" s="1"/>
      <c r="H1678" s="1"/>
      <c r="I1678" s="1"/>
      <c r="J1678" s="1"/>
      <c r="K1678" s="1"/>
      <c r="L1678" s="1"/>
      <c r="M1678" s="1"/>
      <c r="N1678" s="1"/>
    </row>
    <row r="1679">
      <c r="A1679" s="1"/>
      <c r="B1679" s="25" t="s">
        <v>88</v>
      </c>
      <c r="E1679" s="26" t="s">
        <v>147</v>
      </c>
      <c r="F1679" s="1"/>
      <c r="G1679" s="1"/>
      <c r="H1679" s="1"/>
      <c r="I1679" s="1"/>
      <c r="J1679" s="1"/>
      <c r="K1679" s="1"/>
      <c r="L1679" s="1"/>
      <c r="M1679" s="1"/>
      <c r="N1679" s="1"/>
    </row>
    <row r="1680">
      <c r="A1680" s="1"/>
      <c r="B1680" s="25" t="s">
        <v>197</v>
      </c>
      <c r="E1680" s="26" t="s">
        <v>147</v>
      </c>
      <c r="F1680" s="1"/>
      <c r="G1680" s="1"/>
      <c r="H1680" s="1"/>
      <c r="I1680" s="1"/>
      <c r="J1680" s="1"/>
      <c r="K1680" s="1"/>
      <c r="L1680" s="1"/>
      <c r="M1680" s="1"/>
      <c r="N1680" s="1"/>
    </row>
    <row r="1681">
      <c r="A1681" s="1"/>
      <c r="B1681" s="25" t="s">
        <v>131</v>
      </c>
      <c r="E1681" s="26" t="s">
        <v>132</v>
      </c>
      <c r="F1681" s="1"/>
      <c r="G1681" s="1"/>
      <c r="H1681" s="1"/>
      <c r="I1681" s="1"/>
      <c r="J1681" s="1"/>
      <c r="K1681" s="1"/>
      <c r="L1681" s="1"/>
      <c r="M1681" s="1"/>
      <c r="N1681" s="1"/>
    </row>
    <row r="1682">
      <c r="A1682" s="1"/>
      <c r="B1682" s="14" t="s">
        <v>4107</v>
      </c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"/>
    </row>
    <row r="1683">
      <c r="A1683" s="1"/>
      <c r="B1683" s="4" t="s">
        <v>4111</v>
      </c>
      <c r="D1683" s="9"/>
      <c r="E1683" s="17" t="s">
        <v>14</v>
      </c>
      <c r="F1683" s="28" t="str">
        <f>HYPERLINK("https://youtu.be/BwH92l8Ul7E?t=1020",'Players&gt;List'!$B10)</f>
        <v>[CAM]</v>
      </c>
      <c r="G1683" s="1"/>
      <c r="H1683" s="1"/>
      <c r="I1683" s="1"/>
      <c r="J1683" s="1"/>
      <c r="K1683" s="1"/>
      <c r="L1683" s="1"/>
      <c r="M1683" s="1"/>
      <c r="N1683" s="1"/>
    </row>
    <row r="1684">
      <c r="A1684" s="1"/>
      <c r="B1684" s="25" t="s">
        <v>117</v>
      </c>
      <c r="E1684" s="26" t="s">
        <v>110</v>
      </c>
      <c r="F1684" s="28" t="str">
        <f>HYPERLINK("https://www.youtube.com/watch?v=7BpMWVOMBCk&amp;index=232&amp;t=0s&amp;list=PLbU6uWaIKemqNvTeRxK-Ay6PRg9iwCKVi",'Players&gt;List'!$B19)</f>
        <v>[HIT]</v>
      </c>
      <c r="G1684" s="28" t="str">
        <f>HYPERLINK("https://www.youtube.com/watch?v=J2K0hYDlihw",'Players&gt;List'!$B28)</f>
        <v>[SUN]</v>
      </c>
      <c r="H1684" s="1"/>
      <c r="I1684" s="1"/>
      <c r="J1684" s="1"/>
      <c r="K1684" s="1"/>
      <c r="L1684" s="1"/>
      <c r="M1684" s="1"/>
      <c r="N1684" s="1"/>
    </row>
    <row r="1685">
      <c r="A1685" s="1"/>
      <c r="B1685" s="14" t="s">
        <v>4117</v>
      </c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"/>
    </row>
    <row r="1686">
      <c r="A1686" s="1"/>
      <c r="B1686" s="4" t="s">
        <v>4118</v>
      </c>
      <c r="D1686" s="9"/>
      <c r="E1686" s="17" t="s">
        <v>14</v>
      </c>
      <c r="F1686" s="28" t="str">
        <f>HYPERLINK("https://youtu.be/qvVT9EKZbmg?t=178",'Players&gt;List'!$B10)</f>
        <v>[CAM]</v>
      </c>
      <c r="G1686" s="1"/>
      <c r="H1686" s="1"/>
      <c r="I1686" s="1"/>
      <c r="J1686" s="1"/>
      <c r="K1686" s="1"/>
      <c r="L1686" s="1"/>
      <c r="M1686" s="1"/>
      <c r="N1686" s="1"/>
    </row>
    <row r="1687">
      <c r="A1687" s="1"/>
      <c r="B1687" s="25" t="s">
        <v>117</v>
      </c>
      <c r="E1687" s="26" t="s">
        <v>110</v>
      </c>
      <c r="F1687" s="1"/>
      <c r="G1687" s="1"/>
      <c r="H1687" s="1"/>
      <c r="I1687" s="1"/>
      <c r="J1687" s="1"/>
      <c r="K1687" s="1"/>
      <c r="L1687" s="1"/>
      <c r="M1687" s="1"/>
      <c r="N1687" s="1"/>
    </row>
    <row r="1688">
      <c r="A1688" s="1"/>
      <c r="B1688" s="14" t="s">
        <v>4119</v>
      </c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"/>
    </row>
    <row r="1689">
      <c r="A1689" s="1"/>
      <c r="B1689" s="4" t="s">
        <v>4122</v>
      </c>
      <c r="D1689" s="9"/>
      <c r="E1689" s="17" t="s">
        <v>14</v>
      </c>
      <c r="F1689" s="28" t="str">
        <f>HYPERLINK("https://www.twitch.tv/videos/139536377",'Players&gt;List'!$B17)</f>
        <v>[GOL]</v>
      </c>
      <c r="G1689" s="28" t="str">
        <f>HYPERLINK("https://youtu.be/qvVT9EKZbmg?t=433",'Players&gt;List'!$B10)</f>
        <v>[CAM]</v>
      </c>
      <c r="H1689" s="1"/>
      <c r="I1689" s="1"/>
      <c r="J1689" s="1"/>
      <c r="K1689" s="1"/>
      <c r="L1689" s="1"/>
      <c r="M1689" s="1"/>
      <c r="N1689" s="1"/>
    </row>
    <row r="1690">
      <c r="A1690" s="1"/>
      <c r="B1690" s="25" t="s">
        <v>88</v>
      </c>
      <c r="E1690" s="26" t="s">
        <v>90</v>
      </c>
      <c r="F1690" s="1"/>
      <c r="G1690" s="1"/>
      <c r="H1690" s="1"/>
      <c r="I1690" s="1"/>
      <c r="J1690" s="1"/>
      <c r="K1690" s="1"/>
      <c r="L1690" s="1"/>
      <c r="M1690" s="1"/>
      <c r="N1690" s="1"/>
    </row>
    <row r="1691">
      <c r="A1691" s="1"/>
      <c r="B1691" s="14" t="s">
        <v>4125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"/>
    </row>
    <row r="1692">
      <c r="A1692" s="1"/>
      <c r="B1692" s="4" t="s">
        <v>4126</v>
      </c>
      <c r="D1692" s="9"/>
      <c r="E1692" s="17" t="s">
        <v>14</v>
      </c>
      <c r="F1692" s="28" t="str">
        <f>HYPERLINK("https://youtu.be/qvVT9EKZbmg?t=799",'Players&gt;List'!$B10)</f>
        <v>[CAM]</v>
      </c>
      <c r="G1692" s="1"/>
      <c r="H1692" s="1"/>
      <c r="I1692" s="1"/>
      <c r="J1692" s="1"/>
      <c r="K1692" s="1"/>
      <c r="L1692" s="1"/>
      <c r="M1692" s="1"/>
      <c r="N1692" s="1"/>
    </row>
    <row r="1693">
      <c r="A1693" s="1"/>
      <c r="B1693" s="25" t="s">
        <v>131</v>
      </c>
      <c r="E1693" s="26" t="s">
        <v>110</v>
      </c>
      <c r="F1693" s="1"/>
      <c r="G1693" s="1"/>
      <c r="H1693" s="1"/>
      <c r="I1693" s="1"/>
      <c r="J1693" s="1"/>
      <c r="K1693" s="1"/>
      <c r="L1693" s="1"/>
      <c r="M1693" s="1"/>
      <c r="N1693" s="1"/>
    </row>
    <row r="1694">
      <c r="A1694" s="1"/>
      <c r="B1694" s="14" t="s">
        <v>4128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"/>
    </row>
    <row r="1695">
      <c r="A1695" s="1"/>
      <c r="B1695" s="4" t="s">
        <v>4129</v>
      </c>
      <c r="D1695" s="9"/>
      <c r="E1695" s="17" t="s">
        <v>14</v>
      </c>
      <c r="F1695" s="28" t="str">
        <f>HYPERLINK("https://youtu.be/qvVT9EKZbmg?t=1411",'Players&gt;List'!$B10)</f>
        <v>[CAM]</v>
      </c>
      <c r="G1695" s="1"/>
      <c r="H1695" s="1"/>
      <c r="I1695" s="1"/>
      <c r="J1695" s="1"/>
      <c r="K1695" s="1"/>
      <c r="L1695" s="1"/>
      <c r="M1695" s="1"/>
      <c r="N1695" s="1"/>
    </row>
    <row r="1696">
      <c r="A1696" s="1"/>
      <c r="B1696" s="25" t="s">
        <v>88</v>
      </c>
      <c r="E1696" s="26" t="s">
        <v>90</v>
      </c>
      <c r="F1696" s="1"/>
      <c r="G1696" s="1"/>
      <c r="H1696" s="1"/>
      <c r="I1696" s="1"/>
      <c r="J1696" s="1"/>
      <c r="K1696" s="1"/>
      <c r="L1696" s="1"/>
      <c r="M1696" s="1"/>
      <c r="N1696" s="1"/>
    </row>
    <row r="1697">
      <c r="A1697" s="1"/>
      <c r="B1697" s="25" t="s">
        <v>149</v>
      </c>
      <c r="E1697" s="26" t="s">
        <v>147</v>
      </c>
      <c r="F1697" s="1"/>
      <c r="G1697" s="1"/>
      <c r="H1697" s="1"/>
      <c r="I1697" s="1"/>
      <c r="J1697" s="1"/>
      <c r="K1697" s="1"/>
      <c r="L1697" s="1"/>
      <c r="M1697" s="1"/>
      <c r="N1697" s="1"/>
    </row>
    <row r="1698">
      <c r="A1698" s="1"/>
      <c r="B1698" s="14" t="s">
        <v>4131</v>
      </c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"/>
    </row>
    <row r="1699">
      <c r="A1699" s="1"/>
      <c r="B1699" s="4" t="s">
        <v>4134</v>
      </c>
      <c r="D1699" s="9"/>
      <c r="E1699" s="17" t="s">
        <v>14</v>
      </c>
      <c r="F1699" s="28" t="str">
        <f>HYPERLINK("https://youtu.be/qvVT9EKZbmg?t=2103",'Players&gt;List'!$B10)</f>
        <v>[CAM]</v>
      </c>
      <c r="G1699" s="1"/>
      <c r="H1699" s="1"/>
      <c r="I1699" s="1"/>
      <c r="J1699" s="1"/>
      <c r="K1699" s="1"/>
      <c r="L1699" s="1"/>
      <c r="M1699" s="1"/>
      <c r="N1699" s="1"/>
    </row>
    <row r="1700">
      <c r="A1700" s="1"/>
      <c r="B1700" s="25" t="s">
        <v>131</v>
      </c>
      <c r="E1700" s="26" t="s">
        <v>110</v>
      </c>
      <c r="F1700" s="28" t="str">
        <f>HYPERLINK("https://www.youtube.com/watch?v=DfuKipu107E&amp;index=231&amp;t=0s&amp;list=PLbU6uWaIKemqNvTeRxK-Ay6PRg9iwCKVi",'Players&gt;List'!$B19)</f>
        <v>[HIT]</v>
      </c>
      <c r="G1700" s="28" t="str">
        <f>HYPERLINK("https://www.youtube.com/watch?v=LQR2rAKd_Rg",'Players&gt;List'!$B18)</f>
        <v>[HGB]</v>
      </c>
      <c r="H1700" s="1"/>
      <c r="I1700" s="1"/>
      <c r="J1700" s="1"/>
      <c r="K1700" s="1"/>
      <c r="L1700" s="1"/>
      <c r="M1700" s="1"/>
      <c r="N1700" s="1"/>
    </row>
    <row r="1701">
      <c r="A1701" s="1"/>
      <c r="B1701" s="14" t="s">
        <v>4139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"/>
    </row>
    <row r="1702">
      <c r="A1702" s="1"/>
      <c r="B1702" s="4" t="s">
        <v>4140</v>
      </c>
      <c r="D1702" s="9"/>
      <c r="E1702" s="17" t="s">
        <v>14</v>
      </c>
      <c r="F1702" s="28" t="str">
        <f>HYPERLINK("https://youtu.be/9B-eNAoV1kM?t=137",'Players&gt;List'!$B10)</f>
        <v>[CAM]</v>
      </c>
      <c r="G1702" s="1"/>
      <c r="H1702" s="1"/>
      <c r="I1702" s="1"/>
      <c r="J1702" s="1"/>
      <c r="K1702" s="1"/>
      <c r="L1702" s="1"/>
      <c r="M1702" s="1"/>
      <c r="N1702" s="1"/>
    </row>
    <row r="1703">
      <c r="A1703" s="1"/>
      <c r="B1703" s="25" t="s">
        <v>379</v>
      </c>
      <c r="E1703" s="26" t="s">
        <v>380</v>
      </c>
      <c r="F1703" s="28" t="str">
        <f>HYPERLINK("https://www.youtube.com/watch?v=491lcJS8fzc",'Players&gt;List'!$B15)</f>
        <v>[FNY]</v>
      </c>
      <c r="G1703" s="1"/>
      <c r="H1703" s="1"/>
      <c r="I1703" s="1"/>
      <c r="J1703" s="1"/>
      <c r="K1703" s="1"/>
      <c r="L1703" s="1"/>
      <c r="M1703" s="1"/>
      <c r="N1703" s="1"/>
    </row>
    <row r="1704">
      <c r="A1704" s="1"/>
      <c r="B1704" s="25" t="s">
        <v>2183</v>
      </c>
      <c r="E1704" s="26" t="s">
        <v>1418</v>
      </c>
      <c r="F1704" s="1"/>
      <c r="G1704" s="1"/>
      <c r="H1704" s="1"/>
      <c r="I1704" s="1"/>
      <c r="J1704" s="1"/>
      <c r="K1704" s="1"/>
      <c r="L1704" s="1"/>
      <c r="M1704" s="1"/>
      <c r="N1704" s="1"/>
    </row>
    <row r="1705">
      <c r="A1705" s="1"/>
      <c r="B1705" s="25" t="s">
        <v>2493</v>
      </c>
      <c r="E1705" s="26" t="s">
        <v>1418</v>
      </c>
      <c r="F1705" s="1"/>
      <c r="G1705" s="1"/>
      <c r="H1705" s="1"/>
      <c r="I1705" s="1"/>
      <c r="J1705" s="1"/>
      <c r="K1705" s="1"/>
      <c r="L1705" s="1"/>
      <c r="M1705" s="1"/>
      <c r="N1705" s="1"/>
    </row>
    <row r="1706">
      <c r="A1706" s="1"/>
      <c r="B1706" s="25" t="s">
        <v>4143</v>
      </c>
      <c r="E1706" s="26" t="s">
        <v>1418</v>
      </c>
      <c r="F1706" s="1"/>
      <c r="G1706" s="1"/>
      <c r="H1706" s="1"/>
      <c r="I1706" s="1"/>
      <c r="J1706" s="1"/>
      <c r="K1706" s="1"/>
      <c r="L1706" s="1"/>
      <c r="M1706" s="1"/>
      <c r="N1706" s="1"/>
    </row>
    <row r="1707">
      <c r="A1707" s="1"/>
      <c r="B1707" s="14" t="s">
        <v>4145</v>
      </c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"/>
    </row>
    <row r="1708">
      <c r="A1708" s="1"/>
      <c r="B1708" s="4" t="s">
        <v>4147</v>
      </c>
      <c r="D1708" s="9"/>
      <c r="E1708" s="17" t="s">
        <v>14</v>
      </c>
      <c r="F1708" s="28" t="str">
        <f>HYPERLINK("https://youtu.be/9B-eNAoV1kM?t=538",'Players&gt;List'!$B10)</f>
        <v>[CAM]</v>
      </c>
      <c r="G1708" s="28" t="str">
        <f>HYPERLINK("https://www.youtube.com/watch?v=FjylQPghtsM&amp;feature=youtu.be",'Players&gt;List'!$B28)</f>
        <v>[SUN]</v>
      </c>
      <c r="H1708" s="1"/>
      <c r="I1708" s="1"/>
      <c r="J1708" s="1"/>
      <c r="K1708" s="1"/>
      <c r="L1708" s="1"/>
      <c r="M1708" s="1"/>
      <c r="N1708" s="1"/>
    </row>
    <row r="1709">
      <c r="A1709" s="1"/>
      <c r="B1709" s="25" t="s">
        <v>149</v>
      </c>
      <c r="E1709" s="26" t="s">
        <v>90</v>
      </c>
      <c r="F1709" s="28" t="str">
        <f>HYPERLINK("https://www.youtube.com/watch?v=8y9Jp9eaz1Y&amp;t=0s&amp;list=PLbU6uWaIKemqNvTeRxK-Ay6PRg9iwCKVi&amp;index=73",'Players&gt;List'!$B19)</f>
        <v>[HIT]</v>
      </c>
      <c r="G1709" s="28" t="str">
        <f>HYPERLINK("https://www.youtube.com/watch?v=FjylQPghtsM&amp;feature=youtu.be",'Players&gt;List'!$B28)</f>
        <v>[SUN]</v>
      </c>
      <c r="H1709" s="1"/>
      <c r="I1709" s="1"/>
      <c r="J1709" s="1"/>
      <c r="K1709" s="1"/>
      <c r="L1709" s="1"/>
      <c r="M1709" s="1"/>
      <c r="N1709" s="1"/>
    </row>
    <row r="1710">
      <c r="A1710" s="1"/>
      <c r="B1710" s="14" t="s">
        <v>4152</v>
      </c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"/>
    </row>
    <row r="1711">
      <c r="A1711" s="1"/>
      <c r="B1711" s="4" t="s">
        <v>4155</v>
      </c>
      <c r="D1711" s="9"/>
      <c r="E1711" s="17" t="s">
        <v>14</v>
      </c>
      <c r="F1711" s="28" t="str">
        <f>HYPERLINK("https://youtu.be/9B-eNAoV1kM?t=680",'Players&gt;List'!$B10)</f>
        <v>[CAM]</v>
      </c>
      <c r="G1711" s="1"/>
      <c r="H1711" s="1"/>
      <c r="I1711" s="1"/>
      <c r="J1711" s="1"/>
      <c r="K1711" s="1"/>
      <c r="L1711" s="1"/>
      <c r="M1711" s="1"/>
      <c r="N1711" s="1"/>
    </row>
    <row r="1712">
      <c r="A1712" s="1"/>
      <c r="B1712" s="25" t="s">
        <v>117</v>
      </c>
      <c r="E1712" s="26" t="s">
        <v>110</v>
      </c>
      <c r="F1712" s="28" t="str">
        <f>HYPERLINK("https://www.youtube.com/watch?v=zqzsTzGfkY8",'Players&gt;List'!$B15)</f>
        <v>[FNY]</v>
      </c>
      <c r="G1712" s="1"/>
      <c r="H1712" s="1"/>
      <c r="I1712" s="1"/>
      <c r="J1712" s="1"/>
      <c r="K1712" s="1"/>
      <c r="L1712" s="1"/>
      <c r="M1712" s="1"/>
      <c r="N1712" s="1"/>
    </row>
    <row r="1713">
      <c r="A1713" s="1"/>
      <c r="B1713" s="14" t="s">
        <v>4158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"/>
    </row>
    <row r="1714">
      <c r="A1714" s="1"/>
      <c r="B1714" s="4" t="s">
        <v>4159</v>
      </c>
      <c r="D1714" s="9"/>
      <c r="E1714" s="17" t="s">
        <v>14</v>
      </c>
      <c r="F1714" s="28" t="str">
        <f>HYPERLINK("https://youtu.be/9B-eNAoV1kM?t=912",'Players&gt;List'!$B10)</f>
        <v>[CAM]</v>
      </c>
      <c r="G1714" s="1"/>
      <c r="H1714" s="1"/>
      <c r="I1714" s="1"/>
      <c r="J1714" s="1"/>
      <c r="K1714" s="1"/>
      <c r="L1714" s="1"/>
      <c r="M1714" s="1"/>
      <c r="N1714" s="1"/>
    </row>
    <row r="1715">
      <c r="A1715" s="1"/>
      <c r="B1715" s="25" t="s">
        <v>2557</v>
      </c>
      <c r="E1715" s="26" t="s">
        <v>915</v>
      </c>
      <c r="F1715" s="28" t="str">
        <f>HYPERLINK("https://www.twitch.tv/videos/161748696",'Players&gt;List'!$B17)</f>
        <v>[GOL]</v>
      </c>
      <c r="G1715" s="18" t="str">
        <f>HYPERLINK("https://www.youtube.com/watch?v=sXv6WZN2Sx4",'Players&gt;List'!$B32)</f>
        <v>[XEL]</v>
      </c>
      <c r="H1715" s="28" t="str">
        <f>HYPERLINK("https://www.youtube.com/watch?v=lIIhowaBNFk&amp;index=306&amp;list=PLbU6uWaIKemqNvTeRxK-Ay6PRg9iwCKVi&amp;t=0s",'Players&gt;List'!$B19)</f>
        <v>[HIT]</v>
      </c>
      <c r="I1715" s="28" t="str">
        <f>HYPERLINK("https://www.youtube.com/watch?v=NTkOCtPji2A",'Players&gt;List'!$B15)</f>
        <v>[FNY]</v>
      </c>
      <c r="J1715" s="28" t="str">
        <f>HYPERLINK("https://youtu.be/31B6HgYgQvY",'Players&gt;List'!$B12)</f>
        <v>[EKI]</v>
      </c>
      <c r="K1715" s="1"/>
      <c r="L1715" s="1"/>
      <c r="M1715" s="1"/>
      <c r="N1715" s="1"/>
    </row>
    <row r="1716">
      <c r="A1716" s="1"/>
      <c r="B1716" s="25" t="s">
        <v>400</v>
      </c>
      <c r="E1716" s="26" t="s">
        <v>358</v>
      </c>
      <c r="F1716" s="1"/>
      <c r="G1716" s="1"/>
      <c r="H1716" s="1"/>
      <c r="I1716" s="1"/>
      <c r="J1716" s="1"/>
      <c r="K1716" s="1"/>
      <c r="L1716" s="1"/>
      <c r="M1716" s="1"/>
      <c r="N1716" s="1"/>
    </row>
    <row r="1717">
      <c r="A1717" s="1"/>
      <c r="B1717" s="14" t="s">
        <v>4168</v>
      </c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"/>
    </row>
    <row r="1718">
      <c r="A1718" s="1"/>
      <c r="B1718" s="4" t="s">
        <v>4170</v>
      </c>
      <c r="D1718" s="9"/>
      <c r="E1718" s="17" t="s">
        <v>14</v>
      </c>
      <c r="F1718" s="28" t="str">
        <f>HYPERLINK("https://www.youtube.com/watch?v=YzpRn8ALOiQ",'Players&gt;List'!$B23)</f>
        <v>[MOL]</v>
      </c>
      <c r="G1718" s="28" t="str">
        <f>HYPERLINK("https://youtu.be/9B-eNAoV1kM?t=2570",'Players&gt;List'!$B10)</f>
        <v>[CAM]</v>
      </c>
      <c r="H1718" s="1"/>
      <c r="I1718" s="1"/>
      <c r="J1718" s="1"/>
      <c r="K1718" s="1"/>
      <c r="L1718" s="1"/>
      <c r="M1718" s="1"/>
      <c r="N1718" s="1"/>
    </row>
    <row r="1719">
      <c r="A1719" s="1"/>
      <c r="B1719" s="25" t="s">
        <v>88</v>
      </c>
      <c r="E1719" s="26" t="s">
        <v>90</v>
      </c>
      <c r="F1719" s="28" t="str">
        <f>HYPERLINK("https://www.youtube.com/watch?v=ewIU9ir7rBs&amp;index=305&amp;list=PLbU6uWaIKemqNvTeRxK-Ay6PRg9iwCKVi&amp;t=0s",'Players&gt;List'!$B19)</f>
        <v>[HIT]</v>
      </c>
      <c r="G1719" s="28" t="str">
        <f>HYPERLINK("https://www.youtube.com/watch?v=FGLManigNIk",'Players&gt;List'!$B20)</f>
        <v>[KOS]</v>
      </c>
      <c r="H1719" s="28" t="str">
        <f>HYPERLINK("https://www.youtube.com/watch?v=nzsIKx_kKXQ",'Players&gt;List'!$B15)</f>
        <v>[FNY]</v>
      </c>
      <c r="I1719" s="1"/>
      <c r="J1719" s="1"/>
      <c r="K1719" s="1"/>
      <c r="L1719" s="1"/>
      <c r="M1719" s="1"/>
      <c r="N1719" s="1"/>
    </row>
    <row r="1720">
      <c r="A1720" s="1"/>
      <c r="B1720" s="25" t="s">
        <v>131</v>
      </c>
      <c r="E1720" s="26" t="s">
        <v>132</v>
      </c>
      <c r="F1720" s="1"/>
      <c r="G1720" s="1"/>
      <c r="H1720" s="1"/>
      <c r="I1720" s="1"/>
      <c r="J1720" s="1"/>
      <c r="K1720" s="1"/>
      <c r="L1720" s="1"/>
      <c r="M1720" s="1"/>
      <c r="N1720" s="1"/>
    </row>
    <row r="1721">
      <c r="A1721" s="1"/>
      <c r="B1721" s="25" t="s">
        <v>2303</v>
      </c>
      <c r="E1721" s="26" t="s">
        <v>132</v>
      </c>
      <c r="F1721" s="28" t="str">
        <f>HYPERLINK("https://www.youtube.com/watch?v=YzpRn8ALOiQ",'Players&gt;List'!$B23)</f>
        <v>[MOL]</v>
      </c>
      <c r="G1721" s="28" t="str">
        <f>HYPERLINK("https://youtu.be/9B-eNAoV1kM?t=2570",'Players&gt;List'!$B10)</f>
        <v>[CAM]</v>
      </c>
      <c r="H1721" s="1"/>
      <c r="I1721" s="1"/>
      <c r="J1721" s="1"/>
      <c r="K1721" s="1"/>
      <c r="L1721" s="1"/>
      <c r="M1721" s="1"/>
      <c r="N1721" s="1"/>
    </row>
    <row r="1722">
      <c r="A1722" s="1"/>
      <c r="B1722" s="25" t="s">
        <v>2557</v>
      </c>
      <c r="E1722" s="26" t="s">
        <v>2185</v>
      </c>
      <c r="F1722" s="28" t="str">
        <f>HYPERLINK("https://www.youtube.com/watch?v=i7xT-TTvcb4",'Players&gt;List'!$B15)</f>
        <v>[FNY]</v>
      </c>
      <c r="G1722" s="1"/>
      <c r="H1722" s="1"/>
      <c r="I1722" s="1"/>
      <c r="J1722" s="1"/>
      <c r="K1722" s="1"/>
      <c r="L1722" s="1"/>
      <c r="M1722" s="1"/>
      <c r="N1722" s="1"/>
    </row>
    <row r="1723">
      <c r="A1723" s="1"/>
      <c r="B1723" s="14" t="s">
        <v>4174</v>
      </c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"/>
    </row>
    <row r="1724">
      <c r="A1724" s="1"/>
      <c r="B1724" s="4" t="s">
        <v>4175</v>
      </c>
      <c r="D1724" s="9"/>
      <c r="E1724" s="17" t="s">
        <v>14</v>
      </c>
      <c r="F1724" s="28" t="str">
        <f>HYPERLINK("https://youtu.be/CMfJBHydhpM?t=30",'Players&gt;List'!$B10)</f>
        <v>[CAM]</v>
      </c>
      <c r="G1724" s="1"/>
      <c r="H1724" s="1"/>
      <c r="I1724" s="1"/>
      <c r="J1724" s="1"/>
      <c r="K1724" s="1"/>
      <c r="L1724" s="1"/>
      <c r="M1724" s="1"/>
      <c r="N1724" s="1"/>
    </row>
    <row r="1725">
      <c r="A1725" s="1"/>
      <c r="B1725" s="25" t="s">
        <v>233</v>
      </c>
      <c r="E1725" s="26" t="s">
        <v>234</v>
      </c>
      <c r="F1725" s="1"/>
      <c r="G1725" s="1"/>
      <c r="H1725" s="1"/>
      <c r="I1725" s="1"/>
      <c r="J1725" s="1"/>
      <c r="K1725" s="1"/>
      <c r="L1725" s="1"/>
      <c r="M1725" s="1"/>
      <c r="N1725" s="1"/>
    </row>
    <row r="1726">
      <c r="A1726" s="1"/>
      <c r="B1726" s="25" t="s">
        <v>157</v>
      </c>
      <c r="E1726" s="26" t="s">
        <v>132</v>
      </c>
      <c r="F1726" s="1"/>
      <c r="G1726" s="1"/>
      <c r="H1726" s="1"/>
      <c r="I1726" s="1"/>
      <c r="J1726" s="1"/>
      <c r="K1726" s="1"/>
      <c r="L1726" s="1"/>
      <c r="M1726" s="1"/>
      <c r="N1726" s="1"/>
    </row>
    <row r="1727">
      <c r="A1727" s="1"/>
      <c r="B1727" s="14" t="s">
        <v>4179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"/>
    </row>
    <row r="1728">
      <c r="A1728" s="1"/>
      <c r="B1728" s="4" t="s">
        <v>4181</v>
      </c>
      <c r="D1728" s="9"/>
      <c r="E1728" s="17" t="s">
        <v>14</v>
      </c>
      <c r="F1728" s="28" t="str">
        <f>HYPERLINK("https://youtu.be/CMfJBHydhpM?t=114",'Players&gt;List'!$B10)</f>
        <v>[CAM]</v>
      </c>
      <c r="G1728" s="1"/>
      <c r="H1728" s="1"/>
      <c r="I1728" s="1"/>
      <c r="J1728" s="1"/>
      <c r="K1728" s="1"/>
      <c r="L1728" s="1"/>
      <c r="M1728" s="1"/>
      <c r="N1728" s="1"/>
    </row>
    <row r="1729">
      <c r="A1729" s="1"/>
      <c r="B1729" s="25" t="s">
        <v>117</v>
      </c>
      <c r="E1729" s="26" t="s">
        <v>110</v>
      </c>
      <c r="F1729" s="1"/>
      <c r="G1729" s="1"/>
      <c r="H1729" s="1"/>
      <c r="I1729" s="1"/>
      <c r="J1729" s="1"/>
      <c r="K1729" s="1"/>
      <c r="L1729" s="1"/>
      <c r="M1729" s="1"/>
      <c r="N1729" s="1"/>
    </row>
    <row r="1730">
      <c r="A1730" s="1"/>
      <c r="B1730" s="14" t="s">
        <v>4185</v>
      </c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"/>
    </row>
    <row r="1731">
      <c r="A1731" s="1"/>
      <c r="B1731" s="4" t="s">
        <v>4187</v>
      </c>
      <c r="D1731" s="9"/>
      <c r="E1731" s="17" t="s">
        <v>14</v>
      </c>
      <c r="F1731" s="1"/>
      <c r="G1731" s="1"/>
      <c r="H1731" s="1"/>
      <c r="I1731" s="1"/>
      <c r="J1731" s="1"/>
      <c r="K1731" s="1"/>
      <c r="L1731" s="1"/>
      <c r="M1731" s="1"/>
      <c r="N1731" s="1"/>
    </row>
    <row r="1732">
      <c r="A1732" s="1"/>
      <c r="B1732" s="25" t="s">
        <v>157</v>
      </c>
      <c r="E1732" s="26" t="s">
        <v>110</v>
      </c>
      <c r="F1732" s="28" t="str">
        <f>HYPERLINK("https://youtu.be/CMfJBHydhpM?t=281",'Players&gt;List'!$B10)</f>
        <v>[CAM]</v>
      </c>
      <c r="G1732" s="1"/>
      <c r="H1732" s="1"/>
      <c r="I1732" s="1"/>
      <c r="J1732" s="1"/>
      <c r="K1732" s="1"/>
      <c r="L1732" s="1"/>
      <c r="M1732" s="1"/>
      <c r="N1732" s="1"/>
    </row>
    <row r="1733">
      <c r="A1733" s="1"/>
      <c r="B1733" s="14" t="s">
        <v>4190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"/>
    </row>
    <row r="1734">
      <c r="A1734" s="1"/>
      <c r="B1734" s="4" t="s">
        <v>4194</v>
      </c>
      <c r="D1734" s="9"/>
      <c r="E1734" s="17" t="s">
        <v>14</v>
      </c>
      <c r="F1734" s="28" t="str">
        <f>HYPERLINK("https://youtu.be/CMfJBHydhpM?t=307",'Players&gt;List'!$B10)</f>
        <v>[CAM]</v>
      </c>
      <c r="G1734" s="1"/>
      <c r="H1734" s="1"/>
      <c r="I1734" s="1"/>
      <c r="J1734" s="1"/>
      <c r="K1734" s="1"/>
      <c r="L1734" s="1"/>
      <c r="M1734" s="1"/>
      <c r="N1734" s="1"/>
    </row>
    <row r="1735">
      <c r="A1735" s="1"/>
      <c r="B1735" s="25" t="s">
        <v>117</v>
      </c>
      <c r="E1735" s="26" t="s">
        <v>110</v>
      </c>
      <c r="F1735" s="1"/>
      <c r="G1735" s="1"/>
      <c r="H1735" s="1"/>
      <c r="I1735" s="1"/>
      <c r="J1735" s="1"/>
      <c r="K1735" s="1"/>
      <c r="L1735" s="1"/>
      <c r="M1735" s="1"/>
      <c r="N1735" s="1"/>
    </row>
    <row r="1736">
      <c r="A1736" s="1"/>
      <c r="B1736" s="14" t="s">
        <v>4196</v>
      </c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"/>
    </row>
    <row r="1737">
      <c r="A1737" s="1"/>
      <c r="B1737" s="4" t="s">
        <v>4197</v>
      </c>
      <c r="D1737" s="9"/>
      <c r="E1737" s="17" t="s">
        <v>14</v>
      </c>
      <c r="F1737" s="28" t="str">
        <f>HYPERLINK("https://youtu.be/CMfJBHydhpM?t=344",'Players&gt;List'!$B10)</f>
        <v>[CAM]</v>
      </c>
      <c r="G1737" s="1"/>
      <c r="H1737" s="1"/>
      <c r="I1737" s="1"/>
      <c r="J1737" s="1"/>
      <c r="K1737" s="1"/>
      <c r="L1737" s="1"/>
      <c r="M1737" s="1"/>
      <c r="N1737" s="1"/>
    </row>
    <row r="1738">
      <c r="A1738" s="1"/>
      <c r="B1738" s="25" t="s">
        <v>88</v>
      </c>
      <c r="E1738" s="26" t="s">
        <v>90</v>
      </c>
      <c r="F1738" s="1"/>
      <c r="G1738" s="1"/>
      <c r="H1738" s="1"/>
      <c r="I1738" s="1"/>
      <c r="J1738" s="1"/>
      <c r="K1738" s="1"/>
      <c r="L1738" s="1"/>
      <c r="M1738" s="1"/>
      <c r="N1738" s="1"/>
    </row>
    <row r="1739">
      <c r="A1739" s="1"/>
      <c r="B1739" s="14" t="s">
        <v>4198</v>
      </c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"/>
    </row>
    <row r="1740">
      <c r="A1740" s="1"/>
      <c r="B1740" s="4" t="s">
        <v>4200</v>
      </c>
      <c r="D1740" s="9"/>
      <c r="E1740" s="17" t="s">
        <v>14</v>
      </c>
      <c r="F1740" s="28" t="str">
        <f>HYPERLINK("https://youtu.be/MHeqJtFaTL0?t=14",'Players&gt;List'!$B10)</f>
        <v>[CAM]</v>
      </c>
      <c r="G1740" s="1"/>
      <c r="H1740" s="1"/>
      <c r="I1740" s="1"/>
      <c r="J1740" s="1"/>
      <c r="K1740" s="1"/>
      <c r="L1740" s="1"/>
      <c r="M1740" s="1"/>
      <c r="N1740" s="1"/>
    </row>
    <row r="1741">
      <c r="A1741" s="1"/>
      <c r="B1741" s="25" t="s">
        <v>88</v>
      </c>
      <c r="E1741" s="26" t="s">
        <v>90</v>
      </c>
      <c r="F1741" s="1"/>
      <c r="G1741" s="1"/>
      <c r="H1741" s="1"/>
      <c r="I1741" s="1"/>
      <c r="J1741" s="1"/>
      <c r="K1741" s="1"/>
      <c r="L1741" s="1"/>
      <c r="M1741" s="1"/>
      <c r="N1741" s="1"/>
    </row>
    <row r="1742">
      <c r="A1742" s="1"/>
      <c r="B1742" s="14" t="s">
        <v>4202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"/>
    </row>
    <row r="1743">
      <c r="A1743" s="1"/>
      <c r="B1743" s="4" t="s">
        <v>4203</v>
      </c>
      <c r="D1743" s="9"/>
      <c r="E1743" s="17" t="s">
        <v>14</v>
      </c>
      <c r="F1743" s="28" t="str">
        <f>HYPERLINK("https://youtu.be/MHeqJtFaTL0?t=93",'Players&gt;List'!$B10)</f>
        <v>[CAM]</v>
      </c>
      <c r="G1743" s="1"/>
      <c r="H1743" s="1"/>
      <c r="I1743" s="1"/>
      <c r="J1743" s="1"/>
      <c r="K1743" s="1"/>
      <c r="L1743" s="1"/>
      <c r="M1743" s="1"/>
      <c r="N1743" s="1"/>
    </row>
    <row r="1744">
      <c r="A1744" s="1"/>
      <c r="B1744" s="25" t="s">
        <v>457</v>
      </c>
      <c r="E1744" s="26" t="s">
        <v>110</v>
      </c>
      <c r="F1744" s="1"/>
      <c r="G1744" s="1"/>
      <c r="H1744" s="1"/>
      <c r="I1744" s="1"/>
      <c r="J1744" s="1"/>
      <c r="K1744" s="1"/>
      <c r="L1744" s="1"/>
      <c r="M1744" s="1"/>
      <c r="N1744" s="1"/>
    </row>
    <row r="1745">
      <c r="A1745" s="1"/>
      <c r="B1745" s="14" t="s">
        <v>4207</v>
      </c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"/>
    </row>
    <row r="1746">
      <c r="A1746" s="1"/>
      <c r="B1746" s="4" t="s">
        <v>4209</v>
      </c>
      <c r="D1746" s="9"/>
      <c r="E1746" s="17" t="s">
        <v>14</v>
      </c>
      <c r="F1746" s="28" t="str">
        <f>HYPERLINK("https://youtu.be/MHeqJtFaTL0?t=155",'Players&gt;List'!$B10)</f>
        <v>[CAM]</v>
      </c>
      <c r="G1746" s="1"/>
      <c r="H1746" s="1"/>
      <c r="I1746" s="1"/>
      <c r="J1746" s="1"/>
      <c r="K1746" s="1"/>
      <c r="L1746" s="1"/>
      <c r="M1746" s="1"/>
      <c r="N1746" s="1"/>
    </row>
    <row r="1747">
      <c r="A1747" s="1"/>
      <c r="B1747" s="25" t="s">
        <v>88</v>
      </c>
      <c r="E1747" s="26" t="s">
        <v>90</v>
      </c>
      <c r="F1747" s="1"/>
      <c r="G1747" s="1"/>
      <c r="H1747" s="1"/>
      <c r="I1747" s="1"/>
      <c r="J1747" s="1"/>
      <c r="K1747" s="1"/>
      <c r="L1747" s="1"/>
      <c r="M1747" s="1"/>
      <c r="N1747" s="1"/>
    </row>
    <row r="1748">
      <c r="A1748" s="1"/>
      <c r="B1748" s="14" t="s">
        <v>4210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"/>
    </row>
    <row r="1749">
      <c r="A1749" s="1"/>
      <c r="B1749" s="4" t="s">
        <v>4212</v>
      </c>
      <c r="D1749" s="9"/>
      <c r="E1749" s="17" t="s">
        <v>14</v>
      </c>
      <c r="F1749" s="28" t="str">
        <f>HYPERLINK("https://youtu.be/MHeqJtFaTL0?t=181",'Players&gt;List'!$B10)</f>
        <v>[CAM]</v>
      </c>
      <c r="G1749" s="1"/>
      <c r="H1749" s="1"/>
      <c r="I1749" s="1"/>
      <c r="J1749" s="1"/>
      <c r="K1749" s="1"/>
      <c r="L1749" s="1"/>
      <c r="M1749" s="1"/>
      <c r="N1749" s="1"/>
    </row>
    <row r="1750">
      <c r="A1750" s="1"/>
      <c r="B1750" s="25" t="s">
        <v>88</v>
      </c>
      <c r="E1750" s="26" t="s">
        <v>90</v>
      </c>
      <c r="F1750" s="1"/>
      <c r="G1750" s="1"/>
      <c r="H1750" s="1"/>
      <c r="I1750" s="1"/>
      <c r="J1750" s="1"/>
      <c r="K1750" s="1"/>
      <c r="L1750" s="1"/>
      <c r="M1750" s="1"/>
      <c r="N1750" s="1"/>
    </row>
    <row r="1751">
      <c r="A1751" s="1"/>
      <c r="B1751" s="14" t="s">
        <v>4214</v>
      </c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"/>
    </row>
    <row r="1752">
      <c r="A1752" s="1"/>
      <c r="B1752" s="4" t="s">
        <v>4215</v>
      </c>
      <c r="D1752" s="9"/>
      <c r="E1752" s="17" t="s">
        <v>14</v>
      </c>
      <c r="F1752" s="28" t="str">
        <f>HYPERLINK("https://youtu.be/MHeqJtFaTL0?t=630",'Players&gt;List'!$B10)</f>
        <v>[CAM]</v>
      </c>
      <c r="G1752" s="1"/>
      <c r="H1752" s="1"/>
      <c r="I1752" s="1"/>
      <c r="J1752" s="1"/>
      <c r="K1752" s="1"/>
      <c r="L1752" s="1"/>
      <c r="M1752" s="1"/>
      <c r="N1752" s="1"/>
    </row>
    <row r="1753">
      <c r="A1753" s="1"/>
      <c r="B1753" s="25" t="s">
        <v>88</v>
      </c>
      <c r="E1753" s="26" t="s">
        <v>90</v>
      </c>
      <c r="F1753" s="1"/>
      <c r="G1753" s="1"/>
      <c r="H1753" s="1"/>
      <c r="I1753" s="1"/>
      <c r="J1753" s="1"/>
      <c r="K1753" s="1"/>
      <c r="L1753" s="1"/>
      <c r="M1753" s="1"/>
      <c r="N1753" s="1"/>
    </row>
    <row r="1754">
      <c r="A1754" s="1"/>
      <c r="B1754" s="25" t="s">
        <v>422</v>
      </c>
      <c r="E1754" s="26" t="s">
        <v>132</v>
      </c>
      <c r="F1754" s="18" t="str">
        <f>HYPERLINK("https://www.youtube.com/watch?v=oQosO7pWtms&amp;t=0s&amp;index=2&amp;list=PLbVGARhZL4D1pAsLW17RDS_Gg4rY75hcO",'Players&gt;List'!$B32)</f>
        <v>[XEL]</v>
      </c>
      <c r="G1754" s="28" t="str">
        <f>HYPERLINK("https://www.youtube.com/watch?v=Ktm9j0ScVoQ&amp;list=PLbVGARhZL4D1pAsLW17RDS_Gg4rY75hcO&amp;index=3&amp;t=0s",'Players&gt;List'!$B23)</f>
        <v>[MOL]</v>
      </c>
      <c r="H1754" s="28" t="str">
        <f>HYPERLINK("https://www.youtube.com/watch?v=7_0McvbSrX4&amp;list=PLbVGARhZL4D1pAsLW17RDS_Gg4rY75hcO&amp;index=4&amp;t=0s",'Players&gt;List'!$B19)</f>
        <v>[HIT]</v>
      </c>
      <c r="I1754" s="28" t="str">
        <f>HYPERLINK("https://www.youtube.com/watch?v=j4GdF7SVgbk&amp;t=0s&amp;index=5&amp;list=PLbVGARhZL4D1pAsLW17RDS_Gg4rY75hcO",'Players&gt;List'!$B8)</f>
        <v>[ABA]</v>
      </c>
      <c r="J1754" s="28" t="str">
        <f>HYPERLINK("https://youtu.be/tDx8f8Jl-CM",'Players&gt;List'!$B15)</f>
        <v>[FNY]</v>
      </c>
      <c r="K1754" s="1"/>
      <c r="L1754" s="1"/>
      <c r="M1754" s="1"/>
      <c r="N1754" s="1"/>
    </row>
    <row r="1755">
      <c r="A1755" s="1"/>
      <c r="B1755" s="14" t="s">
        <v>4224</v>
      </c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"/>
    </row>
    <row r="1756">
      <c r="A1756" s="1"/>
      <c r="B1756" s="4" t="s">
        <v>4227</v>
      </c>
      <c r="D1756" s="9"/>
      <c r="E1756" s="17" t="s">
        <v>14</v>
      </c>
      <c r="F1756" s="28" t="str">
        <f>HYPERLINK("https://youtu.be/tZ04o7F1IfQ?t=20",'Players&gt;List'!$B10)</f>
        <v>[CAM]</v>
      </c>
      <c r="G1756" s="1"/>
      <c r="H1756" s="1"/>
      <c r="I1756" s="1"/>
      <c r="J1756" s="1"/>
      <c r="K1756" s="1"/>
      <c r="L1756" s="1"/>
      <c r="M1756" s="1"/>
      <c r="N1756" s="1"/>
    </row>
    <row r="1757">
      <c r="A1757" s="1"/>
      <c r="B1757" s="25" t="s">
        <v>117</v>
      </c>
      <c r="E1757" s="26" t="s">
        <v>110</v>
      </c>
      <c r="F1757" s="1"/>
      <c r="G1757" s="1"/>
      <c r="H1757" s="1"/>
      <c r="I1757" s="1"/>
      <c r="J1757" s="1"/>
      <c r="K1757" s="1"/>
      <c r="L1757" s="1"/>
      <c r="M1757" s="1"/>
      <c r="N1757" s="1"/>
    </row>
    <row r="1758">
      <c r="A1758" s="1"/>
      <c r="B1758" s="14" t="s">
        <v>4230</v>
      </c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"/>
    </row>
    <row r="1759">
      <c r="A1759" s="1"/>
      <c r="B1759" s="4" t="s">
        <v>4243</v>
      </c>
      <c r="D1759" s="9"/>
      <c r="E1759" s="17" t="s">
        <v>14</v>
      </c>
      <c r="F1759" s="28" t="str">
        <f>HYPERLINK("https://youtu.be/tZ04o7F1IfQ?t=70",'Players&gt;List'!$B10)</f>
        <v>[CAM]</v>
      </c>
      <c r="G1759" s="1"/>
      <c r="H1759" s="1"/>
      <c r="I1759" s="1"/>
      <c r="J1759" s="1"/>
      <c r="K1759" s="1"/>
      <c r="L1759" s="1"/>
      <c r="M1759" s="1"/>
      <c r="N1759" s="1"/>
    </row>
    <row r="1760">
      <c r="A1760" s="1"/>
      <c r="B1760" s="25" t="s">
        <v>117</v>
      </c>
      <c r="E1760" s="26" t="s">
        <v>110</v>
      </c>
      <c r="F1760" s="28" t="str">
        <f>HYPERLINK("https://www.twitch.tv/videos/307194699",'Players&gt;List'!$B24)</f>
        <v>[NIM]</v>
      </c>
      <c r="G1760" s="1"/>
      <c r="H1760" s="1"/>
      <c r="I1760" s="1"/>
      <c r="J1760" s="1"/>
      <c r="K1760" s="1"/>
      <c r="L1760" s="1"/>
      <c r="M1760" s="1"/>
      <c r="N1760" s="1"/>
    </row>
    <row r="1761">
      <c r="A1761" s="1"/>
      <c r="B1761" s="14" t="s">
        <v>4244</v>
      </c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"/>
    </row>
    <row r="1762">
      <c r="A1762" s="1"/>
      <c r="B1762" s="4" t="s">
        <v>4246</v>
      </c>
      <c r="D1762" s="9"/>
      <c r="E1762" s="17" t="s">
        <v>14</v>
      </c>
      <c r="F1762" s="28" t="str">
        <f>HYPERLINK("https://youtu.be/tZ04o7F1IfQ?t=183",'Players&gt;List'!$B10)</f>
        <v>[CAM]</v>
      </c>
      <c r="G1762" s="1"/>
      <c r="H1762" s="1"/>
      <c r="I1762" s="1"/>
      <c r="J1762" s="1"/>
      <c r="K1762" s="1"/>
      <c r="L1762" s="1"/>
      <c r="M1762" s="1"/>
      <c r="N1762" s="1"/>
    </row>
    <row r="1763">
      <c r="A1763" s="1"/>
      <c r="B1763" s="25" t="s">
        <v>117</v>
      </c>
      <c r="E1763" s="26" t="s">
        <v>110</v>
      </c>
      <c r="F1763" s="28" t="str">
        <f>HYPERLINK("https://www.youtube.com/watch?v=JVwM0FKSLII",'Players&gt;List'!$B28)</f>
        <v>[SUN]</v>
      </c>
      <c r="G1763" s="1"/>
      <c r="H1763" s="1"/>
      <c r="I1763" s="1"/>
      <c r="J1763" s="1"/>
      <c r="K1763" s="1"/>
      <c r="L1763" s="1"/>
      <c r="M1763" s="1"/>
      <c r="N1763" s="1"/>
    </row>
    <row r="1764">
      <c r="A1764" s="1"/>
      <c r="B1764" s="14" t="s">
        <v>4249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"/>
    </row>
    <row r="1765">
      <c r="A1765" s="1"/>
      <c r="B1765" s="4" t="s">
        <v>4251</v>
      </c>
      <c r="D1765" s="9"/>
      <c r="E1765" s="17" t="s">
        <v>14</v>
      </c>
      <c r="F1765" s="28" t="str">
        <f>HYPERLINK("https://youtu.be/tZ04o7F1IfQ?t=245",'Players&gt;List'!$B10)</f>
        <v>[CAM]</v>
      </c>
      <c r="G1765" s="1"/>
      <c r="H1765" s="1"/>
      <c r="I1765" s="1"/>
      <c r="J1765" s="1"/>
      <c r="K1765" s="1"/>
      <c r="L1765" s="1"/>
      <c r="M1765" s="1"/>
      <c r="N1765" s="1"/>
    </row>
    <row r="1766">
      <c r="A1766" s="1"/>
      <c r="B1766" s="25" t="s">
        <v>88</v>
      </c>
      <c r="E1766" s="26" t="s">
        <v>90</v>
      </c>
      <c r="F1766" s="28" t="str">
        <f>HYPERLINK("https://www.youtube.com/watch?v=k70vkChrGTo",'Players&gt;List'!$B28)</f>
        <v>[SUN]</v>
      </c>
      <c r="G1766" s="1"/>
      <c r="H1766" s="1"/>
      <c r="I1766" s="1"/>
      <c r="J1766" s="1"/>
      <c r="K1766" s="1"/>
      <c r="L1766" s="1"/>
      <c r="M1766" s="1"/>
      <c r="N1766" s="1"/>
    </row>
    <row r="1767">
      <c r="A1767" s="1"/>
      <c r="B1767" s="14" t="s">
        <v>4253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"/>
    </row>
    <row r="1768">
      <c r="A1768" s="1"/>
      <c r="B1768" s="4" t="s">
        <v>4255</v>
      </c>
      <c r="D1768" s="9"/>
      <c r="E1768" s="17" t="s">
        <v>14</v>
      </c>
      <c r="F1768" s="28" t="str">
        <f>HYPERLINK("https://youtu.be/tZ04o7F1IfQ?t=753",'Players&gt;List'!$B10)</f>
        <v>[CAM]</v>
      </c>
      <c r="G1768" s="1"/>
      <c r="H1768" s="1"/>
      <c r="I1768" s="1"/>
      <c r="J1768" s="1"/>
      <c r="K1768" s="1"/>
      <c r="L1768" s="1"/>
      <c r="M1768" s="1"/>
      <c r="N1768" s="1"/>
    </row>
    <row r="1769">
      <c r="A1769" s="1"/>
      <c r="B1769" s="25" t="s">
        <v>149</v>
      </c>
      <c r="E1769" s="26" t="s">
        <v>90</v>
      </c>
      <c r="F1769" s="1"/>
      <c r="G1769" s="1"/>
      <c r="H1769" s="1"/>
      <c r="I1769" s="1"/>
      <c r="J1769" s="1"/>
      <c r="K1769" s="1"/>
      <c r="L1769" s="1"/>
      <c r="M1769" s="1"/>
      <c r="N1769" s="1"/>
    </row>
    <row r="1770">
      <c r="A1770" s="1"/>
      <c r="B1770" s="25" t="s">
        <v>335</v>
      </c>
      <c r="E1770" s="26" t="s">
        <v>147</v>
      </c>
      <c r="F1770" s="28" t="str">
        <f>HYPERLINK("https://www.youtube.com/watch?v=efFKS6xNCAA",'Players&gt;List'!$B8)</f>
        <v>[ABA]</v>
      </c>
      <c r="G1770" s="1"/>
      <c r="H1770" s="1"/>
      <c r="I1770" s="1"/>
      <c r="J1770" s="1"/>
      <c r="K1770" s="1"/>
      <c r="L1770" s="1"/>
      <c r="M1770" s="1"/>
      <c r="N1770" s="1"/>
    </row>
    <row r="1771">
      <c r="A1771" s="1"/>
      <c r="B1771" s="14" t="s">
        <v>4256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"/>
    </row>
    <row r="1772">
      <c r="A1772" s="1"/>
      <c r="B1772" s="4" t="s">
        <v>4258</v>
      </c>
      <c r="D1772" s="9"/>
      <c r="E1772" s="17" t="s">
        <v>14</v>
      </c>
      <c r="F1772" s="28" t="str">
        <f>HYPERLINK("https://youtu.be/afblfY_Yv8U?t=20",'Players&gt;List'!$B10)</f>
        <v>[CAM]</v>
      </c>
      <c r="G1772" s="1"/>
      <c r="H1772" s="1"/>
      <c r="I1772" s="1"/>
      <c r="J1772" s="1"/>
      <c r="K1772" s="1"/>
      <c r="L1772" s="1"/>
      <c r="M1772" s="1"/>
      <c r="N1772" s="1"/>
    </row>
    <row r="1773">
      <c r="A1773" s="1"/>
      <c r="B1773" s="25" t="s">
        <v>88</v>
      </c>
      <c r="E1773" s="26" t="s">
        <v>90</v>
      </c>
      <c r="F1773" s="1"/>
      <c r="G1773" s="1"/>
      <c r="H1773" s="1"/>
      <c r="I1773" s="1"/>
      <c r="J1773" s="1"/>
      <c r="K1773" s="1"/>
      <c r="L1773" s="1"/>
      <c r="M1773" s="1"/>
      <c r="N1773" s="1"/>
    </row>
    <row r="1774">
      <c r="A1774" s="1"/>
      <c r="B1774" s="14" t="s">
        <v>4260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"/>
    </row>
    <row r="1775">
      <c r="A1775" s="1"/>
      <c r="B1775" s="4" t="s">
        <v>4261</v>
      </c>
      <c r="D1775" s="9"/>
      <c r="E1775" s="17" t="s">
        <v>14</v>
      </c>
      <c r="F1775" s="28" t="str">
        <f>HYPERLINK("https://youtu.be/afblfY_Yv8U?t=124",'Players&gt;List'!$B10)</f>
        <v>[CAM]</v>
      </c>
      <c r="G1775" s="1"/>
      <c r="H1775" s="1"/>
      <c r="I1775" s="1"/>
      <c r="J1775" s="1"/>
      <c r="K1775" s="1"/>
      <c r="L1775" s="1"/>
      <c r="M1775" s="1"/>
      <c r="N1775" s="1"/>
    </row>
    <row r="1776">
      <c r="A1776" s="1"/>
      <c r="B1776" s="25" t="s">
        <v>149</v>
      </c>
      <c r="E1776" s="26" t="s">
        <v>90</v>
      </c>
      <c r="F1776" s="18" t="str">
        <f>HYPERLINK("https://www.youtube.com/watch?v=fzv0Adfkw58",'Players&gt;List'!$B32)</f>
        <v>[XEL]</v>
      </c>
      <c r="G1776" s="28" t="str">
        <f>HYPERLINK("https://www.youtube.com/watch?v=eFwMVFdfasE&amp;index=268&amp;list=PLbU6uWaIKemqNvTeRxK-Ay6PRg9iwCKVi&amp;t=0s",'Players&gt;List'!$B19)</f>
        <v>[HIT]</v>
      </c>
      <c r="H1776" s="28" t="str">
        <f>HYPERLINK("https://www.youtube.com/watch?v=OWt2F-IfON4",'Players&gt;List'!$B8)</f>
        <v>[ABA]</v>
      </c>
      <c r="I1776" s="28" t="str">
        <f>HYPERLINK("https://youtu.be/krprj5N7Y5U",'Players&gt;List'!$B15)</f>
        <v>[FNY]</v>
      </c>
      <c r="J1776" s="1"/>
      <c r="K1776" s="1"/>
      <c r="L1776" s="1"/>
      <c r="M1776" s="1"/>
      <c r="N1776" s="1"/>
    </row>
    <row r="1777">
      <c r="A1777" s="1"/>
      <c r="B1777" s="14" t="s">
        <v>4268</v>
      </c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"/>
    </row>
    <row r="1778">
      <c r="A1778" s="1"/>
      <c r="B1778" s="4" t="s">
        <v>4269</v>
      </c>
      <c r="D1778" s="9"/>
      <c r="E1778" s="17" t="s">
        <v>14</v>
      </c>
      <c r="F1778" s="28" t="str">
        <f>HYPERLINK("https://youtu.be/afblfY_Yv8U?t=166",'Players&gt;List'!$B10)</f>
        <v>[CAM]</v>
      </c>
      <c r="G1778" s="1"/>
      <c r="H1778" s="1"/>
      <c r="I1778" s="1"/>
      <c r="J1778" s="1"/>
      <c r="K1778" s="1"/>
      <c r="L1778" s="1"/>
      <c r="M1778" s="1"/>
      <c r="N1778" s="1"/>
    </row>
    <row r="1779">
      <c r="A1779" s="1"/>
      <c r="B1779" s="25" t="s">
        <v>108</v>
      </c>
      <c r="E1779" s="26" t="s">
        <v>110</v>
      </c>
      <c r="F1779" s="1"/>
      <c r="G1779" s="1"/>
      <c r="H1779" s="1"/>
      <c r="I1779" s="1"/>
      <c r="J1779" s="1"/>
      <c r="K1779" s="1"/>
      <c r="L1779" s="1"/>
      <c r="M1779" s="1"/>
      <c r="N1779" s="1"/>
    </row>
    <row r="1780">
      <c r="A1780" s="1"/>
      <c r="B1780" s="14" t="s">
        <v>4271</v>
      </c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"/>
    </row>
    <row r="1781">
      <c r="A1781" s="1"/>
      <c r="B1781" s="4" t="s">
        <v>4274</v>
      </c>
      <c r="D1781" s="9"/>
      <c r="E1781" s="17" t="s">
        <v>14</v>
      </c>
      <c r="F1781" s="28" t="str">
        <f>HYPERLINK("https://youtu.be/afblfY_Yv8U?t=263",'Players&gt;List'!$B10)</f>
        <v>[CAM]</v>
      </c>
      <c r="G1781" s="1"/>
      <c r="H1781" s="1"/>
      <c r="I1781" s="1"/>
      <c r="J1781" s="1"/>
      <c r="K1781" s="1"/>
      <c r="L1781" s="1"/>
      <c r="M1781" s="1"/>
      <c r="N1781" s="1"/>
    </row>
    <row r="1782">
      <c r="A1782" s="1"/>
      <c r="B1782" s="25" t="s">
        <v>157</v>
      </c>
      <c r="E1782" s="26" t="s">
        <v>110</v>
      </c>
      <c r="F1782" s="1"/>
      <c r="G1782" s="1"/>
      <c r="H1782" s="1"/>
      <c r="I1782" s="1"/>
      <c r="J1782" s="1"/>
      <c r="K1782" s="1"/>
      <c r="L1782" s="1"/>
      <c r="M1782" s="1"/>
      <c r="N1782" s="1"/>
    </row>
    <row r="1783">
      <c r="A1783" s="1"/>
      <c r="B1783" s="14" t="s">
        <v>4276</v>
      </c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"/>
    </row>
    <row r="1784">
      <c r="A1784" s="1"/>
      <c r="B1784" s="4" t="s">
        <v>4277</v>
      </c>
      <c r="D1784" s="9"/>
      <c r="E1784" s="17" t="s">
        <v>14</v>
      </c>
      <c r="F1784" s="28" t="str">
        <f>HYPERLINK("https://www.youtube.com/watch?v=xczY9VRu6tA",'Players&gt;List'!$B18)</f>
        <v>[HGB]</v>
      </c>
      <c r="G1784" s="28" t="str">
        <f>HYPERLINK("https://youtu.be/afblfY_Yv8U?t=810",'Players&gt;List'!$B10)</f>
        <v>[CAM]</v>
      </c>
      <c r="H1784" s="1"/>
      <c r="I1784" s="1"/>
      <c r="J1784" s="1"/>
      <c r="K1784" s="1"/>
      <c r="L1784" s="1"/>
      <c r="M1784" s="1"/>
      <c r="N1784" s="1"/>
    </row>
    <row r="1785">
      <c r="A1785" s="1"/>
      <c r="B1785" s="25" t="s">
        <v>88</v>
      </c>
      <c r="E1785" s="26" t="s">
        <v>90</v>
      </c>
      <c r="F1785" s="1"/>
      <c r="G1785" s="1"/>
      <c r="H1785" s="1"/>
      <c r="I1785" s="1"/>
      <c r="J1785" s="1"/>
      <c r="K1785" s="1"/>
      <c r="L1785" s="1"/>
      <c r="M1785" s="1"/>
      <c r="N1785" s="1"/>
    </row>
    <row r="1786">
      <c r="A1786" s="1"/>
      <c r="B1786" s="25" t="s">
        <v>197</v>
      </c>
      <c r="E1786" s="26" t="s">
        <v>147</v>
      </c>
      <c r="F1786" s="1"/>
      <c r="G1786" s="1"/>
      <c r="H1786" s="1"/>
      <c r="I1786" s="1"/>
      <c r="J1786" s="1"/>
      <c r="K1786" s="1"/>
      <c r="L1786" s="1"/>
      <c r="M1786" s="1"/>
      <c r="N1786" s="1"/>
    </row>
    <row r="1787">
      <c r="A1787" s="1"/>
      <c r="B1787" s="14" t="s">
        <v>4282</v>
      </c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"/>
    </row>
    <row r="1788">
      <c r="A1788" s="1"/>
      <c r="B1788" s="4" t="s">
        <v>4283</v>
      </c>
      <c r="D1788" s="9"/>
      <c r="E1788" s="17" t="s">
        <v>14</v>
      </c>
      <c r="F1788" s="28" t="str">
        <f>HYPERLINK("https://youtu.be/spVnPdp94OU?t=250",'Players&gt;List'!$B10)</f>
        <v>[CAM]</v>
      </c>
      <c r="G1788" s="1"/>
      <c r="H1788" s="1"/>
      <c r="I1788" s="1"/>
      <c r="J1788" s="1"/>
      <c r="K1788" s="1"/>
      <c r="L1788" s="1"/>
      <c r="M1788" s="1"/>
      <c r="N1788" s="1"/>
    </row>
    <row r="1789">
      <c r="A1789" s="1"/>
      <c r="B1789" s="25" t="s">
        <v>157</v>
      </c>
      <c r="E1789" s="26" t="s">
        <v>110</v>
      </c>
      <c r="F1789" s="28" t="str">
        <f>HYPERLINK("https://youtu.be/sy_NXJH5ueg",'Players&gt;List'!$B15)</f>
        <v>[FNY]</v>
      </c>
      <c r="G1789" s="1"/>
      <c r="H1789" s="1"/>
      <c r="I1789" s="1"/>
      <c r="J1789" s="1"/>
      <c r="K1789" s="1"/>
      <c r="L1789" s="1"/>
      <c r="M1789" s="1"/>
      <c r="N1789" s="1"/>
    </row>
    <row r="1790">
      <c r="A1790" s="1"/>
      <c r="B1790" s="14" t="s">
        <v>4286</v>
      </c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"/>
    </row>
    <row r="1791">
      <c r="A1791" s="1"/>
      <c r="B1791" s="4" t="s">
        <v>4287</v>
      </c>
      <c r="D1791" s="9"/>
      <c r="E1791" s="17" t="s">
        <v>14</v>
      </c>
      <c r="F1791" s="28" t="str">
        <f>HYPERLINK("https://youtu.be/spVnPdp94OU?t=368",'Players&gt;List'!$B10)</f>
        <v>[CAM]</v>
      </c>
      <c r="G1791" s="1"/>
      <c r="H1791" s="1"/>
      <c r="I1791" s="1"/>
      <c r="J1791" s="1"/>
      <c r="K1791" s="1"/>
      <c r="L1791" s="1"/>
      <c r="M1791" s="1"/>
      <c r="N1791" s="1"/>
    </row>
    <row r="1792">
      <c r="A1792" s="1"/>
      <c r="B1792" s="25" t="s">
        <v>117</v>
      </c>
      <c r="E1792" s="26" t="s">
        <v>110</v>
      </c>
      <c r="F1792" s="28" t="str">
        <f>HYPERLINK("https://www.youtube.com/watch?v=LKBHGWkHejk",'Players&gt;List'!$B18)</f>
        <v>[HGB]</v>
      </c>
      <c r="G1792" s="28" t="str">
        <f>HYPERLINK("https://www.youtube.com/watch?v=GnHl7s3aCwk",'Players&gt;List'!$B28)</f>
        <v>[SUN]</v>
      </c>
      <c r="H1792" s="1"/>
      <c r="I1792" s="1"/>
      <c r="J1792" s="1"/>
      <c r="K1792" s="1"/>
      <c r="L1792" s="1"/>
      <c r="M1792" s="1"/>
      <c r="N1792" s="1"/>
    </row>
    <row r="1793">
      <c r="A1793" s="1"/>
      <c r="B1793" s="14" t="s">
        <v>4296</v>
      </c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"/>
    </row>
    <row r="1794">
      <c r="A1794" s="1"/>
      <c r="B1794" s="4" t="s">
        <v>4298</v>
      </c>
      <c r="D1794" s="9"/>
      <c r="E1794" s="17" t="s">
        <v>14</v>
      </c>
      <c r="F1794" s="28" t="str">
        <f>HYPERLINK("https://youtu.be/spVnPdp94OU?t=495",'Players&gt;List'!$B10)</f>
        <v>[CAM]</v>
      </c>
      <c r="G1794" s="1"/>
      <c r="H1794" s="1"/>
      <c r="I1794" s="1"/>
      <c r="J1794" s="1"/>
      <c r="K1794" s="1"/>
      <c r="L1794" s="1"/>
      <c r="M1794" s="1"/>
      <c r="N1794" s="1"/>
    </row>
    <row r="1795">
      <c r="A1795" s="1"/>
      <c r="B1795" s="25" t="s">
        <v>88</v>
      </c>
      <c r="E1795" s="26" t="s">
        <v>90</v>
      </c>
      <c r="F1795" s="1"/>
      <c r="G1795" s="1"/>
      <c r="H1795" s="1"/>
      <c r="I1795" s="1"/>
      <c r="J1795" s="1"/>
      <c r="K1795" s="1"/>
      <c r="L1795" s="1"/>
      <c r="M1795" s="1"/>
      <c r="N1795" s="1"/>
    </row>
    <row r="1796">
      <c r="A1796" s="1"/>
      <c r="B1796" s="14" t="s">
        <v>4302</v>
      </c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"/>
    </row>
    <row r="1797">
      <c r="A1797" s="1"/>
      <c r="B1797" s="4" t="s">
        <v>4304</v>
      </c>
      <c r="D1797" s="9"/>
      <c r="E1797" s="17" t="s">
        <v>14</v>
      </c>
      <c r="F1797" s="28" t="str">
        <f>HYPERLINK("https://youtu.be/spVnPdp94OU?t=591",'Players&gt;List'!$B10)</f>
        <v>[CAM]</v>
      </c>
      <c r="G1797" s="28" t="str">
        <f>HYPERLINK("https://www.youtube.com/watch?v=EANABYsiPvA",'Players&gt;List'!$B28)</f>
        <v>[SUN]</v>
      </c>
      <c r="H1797" s="1"/>
      <c r="I1797" s="1"/>
      <c r="J1797" s="1"/>
      <c r="K1797" s="1"/>
      <c r="L1797" s="1"/>
      <c r="M1797" s="1"/>
      <c r="N1797" s="1"/>
    </row>
    <row r="1798">
      <c r="A1798" s="1"/>
      <c r="B1798" s="25" t="s">
        <v>149</v>
      </c>
      <c r="E1798" s="26" t="s">
        <v>90</v>
      </c>
      <c r="F1798" s="28" t="str">
        <f>HYPERLINK("https://www.youtube.com/watch?v=EANABYsiPvA",'Players&gt;List'!$B28)</f>
        <v>[SUN]</v>
      </c>
      <c r="G1798" s="28" t="str">
        <f>HYPERLINK("https://youtu.be/KaahaC2MeB4",'Players&gt;List'!$B15)</f>
        <v>[FNY]</v>
      </c>
      <c r="H1798" s="1"/>
      <c r="I1798" s="1"/>
      <c r="J1798" s="1"/>
      <c r="K1798" s="1"/>
      <c r="L1798" s="1"/>
      <c r="M1798" s="1"/>
      <c r="N1798" s="1"/>
    </row>
    <row r="1799">
      <c r="A1799" s="1"/>
      <c r="B1799" s="14" t="s">
        <v>4310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"/>
    </row>
    <row r="1800">
      <c r="A1800" s="1"/>
      <c r="B1800" s="4" t="s">
        <v>4311</v>
      </c>
      <c r="D1800" s="9"/>
      <c r="E1800" s="17" t="s">
        <v>14</v>
      </c>
      <c r="F1800" s="28" t="str">
        <f>HYPERLINK("https://youtu.be/spVnPdp94OU?t=781",'Players&gt;List'!$B10)</f>
        <v>[CAM]</v>
      </c>
      <c r="G1800" s="1"/>
      <c r="H1800" s="1"/>
      <c r="I1800" s="1"/>
      <c r="J1800" s="1"/>
      <c r="K1800" s="1"/>
      <c r="L1800" s="1"/>
      <c r="M1800" s="1"/>
      <c r="N1800" s="1"/>
    </row>
    <row r="1801">
      <c r="A1801" s="1"/>
      <c r="B1801" s="25" t="s">
        <v>88</v>
      </c>
      <c r="E1801" s="26" t="s">
        <v>90</v>
      </c>
      <c r="F1801" s="1"/>
      <c r="G1801" s="1"/>
      <c r="H1801" s="1"/>
      <c r="I1801" s="1"/>
      <c r="J1801" s="1"/>
      <c r="K1801" s="1"/>
      <c r="L1801" s="1"/>
      <c r="M1801" s="1"/>
      <c r="N1801" s="1"/>
    </row>
    <row r="1802">
      <c r="A1802" s="1"/>
      <c r="B1802" s="25" t="s">
        <v>649</v>
      </c>
      <c r="E1802" s="26" t="s">
        <v>147</v>
      </c>
      <c r="F1802" s="28" t="str">
        <f>HYPERLINK("https://www.youtube.com/watch?v=4DSwDAwzaXE&amp;t=0s&amp;list=PLbU6uWaIKemqNvTeRxK-Ay6PRg9iwCKVi&amp;index=69",'Players&gt;List'!$B19)</f>
        <v>[HIT]</v>
      </c>
      <c r="G1802" s="28" t="str">
        <f>HYPERLINK("https://www.youtube.com/watch?v=aSwoTEwtOj0",'Players&gt;List'!$B8)</f>
        <v>[ABA]</v>
      </c>
      <c r="H1802" s="28" t="str">
        <f>HYPERLINK("https://youtu.be/V4JH6Rf1e6Y",'Players&gt;List'!$B15)</f>
        <v>[FNY]</v>
      </c>
      <c r="I1802" s="1"/>
      <c r="J1802" s="1"/>
      <c r="K1802" s="1"/>
      <c r="L1802" s="1"/>
      <c r="M1802" s="1"/>
      <c r="N1802" s="1"/>
    </row>
    <row r="1803">
      <c r="A1803" s="1"/>
      <c r="B1803" s="14" t="s">
        <v>4319</v>
      </c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"/>
    </row>
    <row r="1804">
      <c r="A1804" s="1"/>
      <c r="B1804" s="4" t="s">
        <v>4321</v>
      </c>
      <c r="D1804" s="9"/>
      <c r="E1804" s="17" t="s">
        <v>14</v>
      </c>
      <c r="F1804" s="28" t="str">
        <f>HYPERLINK("https://youtu.be/P4tV1b109jM?t=47",'Players&gt;List'!$B10)</f>
        <v>[CAM]</v>
      </c>
      <c r="G1804" s="1"/>
      <c r="H1804" s="1"/>
      <c r="I1804" s="1"/>
      <c r="J1804" s="1"/>
      <c r="K1804" s="1"/>
      <c r="L1804" s="1"/>
      <c r="M1804" s="1"/>
      <c r="N1804" s="1"/>
    </row>
    <row r="1805">
      <c r="A1805" s="1"/>
      <c r="B1805" s="25" t="s">
        <v>117</v>
      </c>
      <c r="E1805" s="26" t="s">
        <v>110</v>
      </c>
      <c r="F1805" s="28" t="str">
        <f>HYPERLINK("https://youtu.be/FTMxOItt55A",'Players&gt;List'!$B15)</f>
        <v>[FNY]</v>
      </c>
      <c r="G1805" s="1"/>
      <c r="H1805" s="1"/>
      <c r="I1805" s="1"/>
      <c r="J1805" s="1"/>
      <c r="K1805" s="1"/>
      <c r="L1805" s="1"/>
      <c r="M1805" s="1"/>
      <c r="N1805" s="1"/>
    </row>
    <row r="1806">
      <c r="A1806" s="1"/>
      <c r="B1806" s="14" t="s">
        <v>4322</v>
      </c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"/>
    </row>
    <row r="1807">
      <c r="A1807" s="1"/>
      <c r="B1807" s="4" t="s">
        <v>4323</v>
      </c>
      <c r="D1807" s="9"/>
      <c r="E1807" s="17" t="s">
        <v>14</v>
      </c>
      <c r="F1807" s="28" t="str">
        <f>HYPERLINK("https://youtu.be/P4tV1b109jM?t=95",'Players&gt;List'!$B10)</f>
        <v>[CAM]</v>
      </c>
      <c r="G1807" s="1"/>
      <c r="H1807" s="1"/>
      <c r="I1807" s="1"/>
      <c r="J1807" s="1"/>
      <c r="K1807" s="1"/>
      <c r="L1807" s="1"/>
      <c r="M1807" s="1"/>
      <c r="N1807" s="1"/>
    </row>
    <row r="1808">
      <c r="A1808" s="1"/>
      <c r="B1808" s="25" t="s">
        <v>149</v>
      </c>
      <c r="E1808" s="26" t="s">
        <v>90</v>
      </c>
      <c r="F1808" s="1"/>
      <c r="G1808" s="1"/>
      <c r="H1808" s="1"/>
      <c r="I1808" s="1"/>
      <c r="J1808" s="1"/>
      <c r="K1808" s="1"/>
      <c r="L1808" s="1"/>
      <c r="M1808" s="1"/>
      <c r="N1808" s="1"/>
    </row>
    <row r="1809">
      <c r="A1809" s="1"/>
      <c r="B1809" s="25" t="s">
        <v>117</v>
      </c>
      <c r="E1809" s="26" t="s">
        <v>132</v>
      </c>
      <c r="F1809" s="28" t="str">
        <f>HYPERLINK("https://www.youtube.com/watch?v=Z9T-eDFeVZo&amp;index=211&amp;t=0s&amp;list=PLbU6uWaIKemqNvTeRxK-Ay6PRg9iwCKVi",'Players&gt;List'!$B19)</f>
        <v>[HIT]</v>
      </c>
      <c r="G1809" s="28" t="str">
        <f>HYPERLINK("https://youtu.be/X8YpaWf84X4",'Players&gt;List'!$B15)</f>
        <v>[FNY]</v>
      </c>
      <c r="H1809" s="1"/>
      <c r="I1809" s="1"/>
      <c r="J1809" s="1"/>
      <c r="K1809" s="1"/>
      <c r="L1809" s="1"/>
      <c r="M1809" s="1"/>
      <c r="N1809" s="1"/>
    </row>
    <row r="1810">
      <c r="A1810" s="1"/>
      <c r="B1810" s="14" t="s">
        <v>4328</v>
      </c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"/>
    </row>
    <row r="1811">
      <c r="A1811" s="1"/>
      <c r="B1811" s="4" t="s">
        <v>4331</v>
      </c>
      <c r="D1811" s="9"/>
      <c r="E1811" s="17" t="s">
        <v>14</v>
      </c>
      <c r="F1811" s="28" t="str">
        <f>HYPERLINK("https://youtu.be/P4tV1b109jM?t=431",'Players&gt;List'!$B10)</f>
        <v>[CAM]</v>
      </c>
      <c r="G1811" s="1"/>
      <c r="H1811" s="1"/>
      <c r="I1811" s="1"/>
      <c r="J1811" s="1"/>
      <c r="K1811" s="1"/>
      <c r="L1811" s="1"/>
      <c r="M1811" s="1"/>
      <c r="N1811" s="1"/>
    </row>
    <row r="1812">
      <c r="A1812" s="1"/>
      <c r="B1812" s="25" t="s">
        <v>675</v>
      </c>
      <c r="E1812" s="26" t="s">
        <v>234</v>
      </c>
      <c r="F1812" s="1"/>
      <c r="G1812" s="1"/>
      <c r="H1812" s="1"/>
      <c r="I1812" s="1"/>
      <c r="J1812" s="1"/>
      <c r="K1812" s="1"/>
      <c r="L1812" s="1"/>
      <c r="M1812" s="1"/>
      <c r="N1812" s="1"/>
    </row>
    <row r="1813">
      <c r="A1813" s="1"/>
      <c r="B1813" s="14" t="s">
        <v>4335</v>
      </c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"/>
    </row>
    <row r="1814">
      <c r="A1814" s="1"/>
      <c r="B1814" s="4" t="s">
        <v>4336</v>
      </c>
      <c r="D1814" s="9"/>
      <c r="E1814" s="17" t="s">
        <v>14</v>
      </c>
      <c r="F1814" s="28" t="str">
        <f>HYPERLINK("https://youtu.be/P4tV1b109jM?t=826",'Players&gt;List'!$B10)</f>
        <v>[CAM]</v>
      </c>
      <c r="G1814" s="1"/>
      <c r="H1814" s="1"/>
      <c r="I1814" s="1"/>
      <c r="J1814" s="1"/>
      <c r="K1814" s="1"/>
      <c r="L1814" s="1"/>
      <c r="M1814" s="1"/>
      <c r="N1814" s="1"/>
    </row>
    <row r="1815">
      <c r="A1815" s="1"/>
      <c r="B1815" s="25" t="s">
        <v>131</v>
      </c>
      <c r="E1815" s="26" t="s">
        <v>110</v>
      </c>
      <c r="F1815" s="1"/>
      <c r="G1815" s="1"/>
      <c r="H1815" s="1"/>
      <c r="I1815" s="1"/>
      <c r="J1815" s="1"/>
      <c r="K1815" s="1"/>
      <c r="L1815" s="1"/>
      <c r="M1815" s="1"/>
      <c r="N1815" s="1"/>
    </row>
    <row r="1816">
      <c r="A1816" s="1"/>
      <c r="B1816" s="14" t="s">
        <v>4339</v>
      </c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"/>
    </row>
    <row r="1817">
      <c r="A1817" s="1"/>
      <c r="B1817" s="4" t="s">
        <v>4340</v>
      </c>
      <c r="D1817" s="9"/>
      <c r="E1817" s="17" t="s">
        <v>14</v>
      </c>
      <c r="F1817" s="28" t="str">
        <f>HYPERLINK("https://youtu.be/P4tV1b109jM?t=1117",'Players&gt;List'!$B10)</f>
        <v>[CAM]</v>
      </c>
      <c r="G1817" s="1"/>
      <c r="H1817" s="1"/>
      <c r="I1817" s="1"/>
      <c r="J1817" s="1"/>
      <c r="K1817" s="1"/>
      <c r="L1817" s="1"/>
      <c r="M1817" s="1"/>
      <c r="N1817" s="1"/>
    </row>
    <row r="1818">
      <c r="A1818" s="1"/>
      <c r="B1818" s="25" t="s">
        <v>88</v>
      </c>
      <c r="E1818" s="26" t="s">
        <v>90</v>
      </c>
      <c r="F1818" s="1"/>
      <c r="G1818" s="1"/>
      <c r="H1818" s="1"/>
      <c r="I1818" s="1"/>
      <c r="J1818" s="1"/>
      <c r="K1818" s="1"/>
      <c r="L1818" s="1"/>
      <c r="M1818" s="1"/>
      <c r="N1818" s="1"/>
    </row>
    <row r="1819">
      <c r="A1819" s="1"/>
      <c r="B1819" s="14" t="s">
        <v>4342</v>
      </c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"/>
    </row>
    <row r="1820">
      <c r="A1820" s="1"/>
      <c r="B1820" s="4" t="s">
        <v>4344</v>
      </c>
      <c r="D1820" s="9"/>
      <c r="E1820" s="17" t="s">
        <v>14</v>
      </c>
      <c r="F1820" s="28" t="str">
        <f>HYPERLINK("https://youtu.be/QxDtUNjN0Sw?t=196",'Players&gt;List'!$B10)</f>
        <v>[CAM]</v>
      </c>
      <c r="G1820" s="1"/>
      <c r="H1820" s="1"/>
      <c r="I1820" s="1"/>
      <c r="J1820" s="1"/>
      <c r="K1820" s="1"/>
      <c r="L1820" s="1"/>
      <c r="M1820" s="1"/>
      <c r="N1820" s="1"/>
    </row>
    <row r="1821">
      <c r="A1821" s="1"/>
      <c r="B1821" s="25" t="s">
        <v>149</v>
      </c>
      <c r="E1821" s="26" t="s">
        <v>90</v>
      </c>
      <c r="F1821" s="1"/>
      <c r="G1821" s="1"/>
      <c r="H1821" s="1"/>
      <c r="I1821" s="1"/>
      <c r="J1821" s="1"/>
      <c r="K1821" s="1"/>
      <c r="L1821" s="1"/>
      <c r="M1821" s="1"/>
      <c r="N1821" s="1"/>
    </row>
    <row r="1822">
      <c r="A1822" s="1"/>
      <c r="B1822" s="14" t="s">
        <v>4345</v>
      </c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"/>
    </row>
    <row r="1823">
      <c r="A1823" s="1"/>
      <c r="B1823" s="4" t="s">
        <v>4347</v>
      </c>
      <c r="D1823" s="9"/>
      <c r="E1823" s="17" t="s">
        <v>14</v>
      </c>
      <c r="F1823" s="28" t="str">
        <f>HYPERLINK("https://youtu.be/QxDtUNjN0Sw?t=251",'Players&gt;List'!$B10)</f>
        <v>[CAM]</v>
      </c>
      <c r="G1823" s="1"/>
      <c r="H1823" s="1"/>
      <c r="I1823" s="1"/>
      <c r="J1823" s="1"/>
      <c r="K1823" s="1"/>
      <c r="L1823" s="1"/>
      <c r="M1823" s="1"/>
      <c r="N1823" s="1"/>
    </row>
    <row r="1824">
      <c r="A1824" s="1"/>
      <c r="B1824" s="25" t="s">
        <v>649</v>
      </c>
      <c r="E1824" s="26" t="s">
        <v>90</v>
      </c>
      <c r="F1824" s="1"/>
      <c r="G1824" s="1"/>
      <c r="H1824" s="1"/>
      <c r="I1824" s="1"/>
      <c r="J1824" s="1"/>
      <c r="K1824" s="1"/>
      <c r="L1824" s="1"/>
      <c r="M1824" s="1"/>
      <c r="N1824" s="1"/>
    </row>
    <row r="1825">
      <c r="A1825" s="1"/>
      <c r="B1825" s="14" t="s">
        <v>4349</v>
      </c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"/>
    </row>
    <row r="1826">
      <c r="A1826" s="1"/>
      <c r="B1826" s="4" t="s">
        <v>4350</v>
      </c>
      <c r="D1826" s="9"/>
      <c r="E1826" s="17" t="s">
        <v>14</v>
      </c>
      <c r="F1826" s="28" t="str">
        <f>HYPERLINK("https://youtu.be/QxDtUNjN0Sw?t=346",'Players&gt;List'!$B10)</f>
        <v>[CAM]</v>
      </c>
      <c r="G1826" s="1"/>
      <c r="H1826" s="1"/>
      <c r="I1826" s="1"/>
      <c r="J1826" s="1"/>
      <c r="K1826" s="1"/>
      <c r="L1826" s="1"/>
      <c r="M1826" s="1"/>
      <c r="N1826" s="1"/>
    </row>
    <row r="1827">
      <c r="A1827" s="1"/>
      <c r="B1827" s="25" t="s">
        <v>108</v>
      </c>
      <c r="E1827" s="26" t="s">
        <v>110</v>
      </c>
      <c r="F1827" s="1"/>
      <c r="G1827" s="1"/>
      <c r="H1827" s="1"/>
      <c r="I1827" s="1"/>
      <c r="J1827" s="1"/>
      <c r="K1827" s="1"/>
      <c r="L1827" s="1"/>
      <c r="M1827" s="1"/>
      <c r="N1827" s="1"/>
    </row>
    <row r="1828">
      <c r="A1828" s="1"/>
      <c r="B1828" s="14" t="s">
        <v>4354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"/>
    </row>
    <row r="1829">
      <c r="A1829" s="1"/>
      <c r="B1829" s="4" t="s">
        <v>4356</v>
      </c>
      <c r="D1829" s="9"/>
      <c r="E1829" s="17" t="s">
        <v>14</v>
      </c>
      <c r="F1829" s="28" t="str">
        <f>HYPERLINK("https://youtu.be/QxDtUNjN0Sw?t=415",'Players&gt;List'!$B10)</f>
        <v>[CAM]</v>
      </c>
      <c r="G1829" s="1"/>
      <c r="H1829" s="1"/>
      <c r="I1829" s="1"/>
      <c r="J1829" s="1"/>
      <c r="K1829" s="1"/>
      <c r="L1829" s="1"/>
      <c r="M1829" s="1"/>
      <c r="N1829" s="1"/>
    </row>
    <row r="1830">
      <c r="A1830" s="1"/>
      <c r="B1830" s="25" t="s">
        <v>88</v>
      </c>
      <c r="E1830" s="26" t="s">
        <v>90</v>
      </c>
      <c r="F1830" s="1"/>
      <c r="G1830" s="1"/>
      <c r="H1830" s="1"/>
      <c r="I1830" s="1"/>
      <c r="J1830" s="1"/>
      <c r="K1830" s="1"/>
      <c r="L1830" s="1"/>
      <c r="M1830" s="1"/>
      <c r="N1830" s="1"/>
    </row>
    <row r="1831">
      <c r="A1831" s="1"/>
      <c r="B1831" s="14" t="s">
        <v>4357</v>
      </c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"/>
    </row>
    <row r="1832">
      <c r="A1832" s="1"/>
      <c r="B1832" s="4" t="s">
        <v>4358</v>
      </c>
      <c r="D1832" s="9"/>
      <c r="E1832" s="17" t="s">
        <v>14</v>
      </c>
      <c r="F1832" s="28" t="str">
        <f>HYPERLINK("https://www.youtube.com/watch?v=A53w86lMP8M&amp;t=0s&amp;list=PLbU6uWaIKemqNvTeRxK-Ay6PRg9iwCKVi&amp;index=70",'Players&gt;List'!$B19)</f>
        <v>[HIT]</v>
      </c>
      <c r="G1832" s="28" t="str">
        <f>HYPERLINK("https://youtu.be/QxDtUNjN0Sw?t=1294",'Players&gt;List'!$B10)</f>
        <v>[CAM]</v>
      </c>
      <c r="H1832" s="28" t="str">
        <f>HYPERLINK("https://www.youtube.com/watch?v=Vd6dhw593U0",'Players&gt;List'!$B18)</f>
        <v>[HGB]</v>
      </c>
      <c r="I1832" s="1"/>
      <c r="J1832" s="1"/>
      <c r="K1832" s="1"/>
      <c r="L1832" s="1"/>
      <c r="M1832" s="1"/>
      <c r="N1832" s="1"/>
    </row>
    <row r="1833">
      <c r="A1833" s="1"/>
      <c r="B1833" s="25" t="s">
        <v>387</v>
      </c>
      <c r="E1833" s="26" t="s">
        <v>110</v>
      </c>
      <c r="F1833" s="28" t="str">
        <f>HYPERLINK("https://www.youtube.com/watch?v=aiMwvQW4g98&amp;t=0s&amp;list=PLbU6uWaIKemqNvTeRxK-Ay6PRg9iwCKVi&amp;index=71",'Players&gt;List'!$B19)</f>
        <v>[HIT]</v>
      </c>
      <c r="G1833" s="1"/>
      <c r="H1833" s="1"/>
      <c r="I1833" s="1"/>
      <c r="J1833" s="1"/>
      <c r="K1833" s="1"/>
      <c r="L1833" s="1"/>
      <c r="M1833" s="1"/>
      <c r="N1833" s="1"/>
    </row>
    <row r="1834">
      <c r="A1834" s="1"/>
      <c r="B1834" s="14" t="s">
        <v>4363</v>
      </c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"/>
    </row>
    <row r="1835">
      <c r="A1835" s="1"/>
      <c r="B1835" s="4" t="s">
        <v>4364</v>
      </c>
      <c r="D1835" s="9"/>
      <c r="E1835" s="17" t="s">
        <v>14</v>
      </c>
      <c r="F1835" s="28" t="str">
        <f>HYPERLINK("https://youtu.be/VwTTmie7eO8?t=357",'Players&gt;List'!$B10)</f>
        <v>[CAM]</v>
      </c>
      <c r="G1835" s="1"/>
      <c r="H1835" s="1"/>
      <c r="I1835" s="1"/>
      <c r="J1835" s="1"/>
      <c r="K1835" s="1"/>
      <c r="L1835" s="1"/>
      <c r="M1835" s="1"/>
      <c r="N1835" s="1"/>
    </row>
    <row r="1836">
      <c r="A1836" s="1"/>
      <c r="B1836" s="25" t="s">
        <v>149</v>
      </c>
      <c r="E1836" s="26" t="s">
        <v>90</v>
      </c>
      <c r="F1836" s="1"/>
      <c r="G1836" s="1"/>
      <c r="H1836" s="1"/>
      <c r="I1836" s="1"/>
      <c r="J1836" s="1"/>
      <c r="K1836" s="1"/>
      <c r="L1836" s="1"/>
      <c r="M1836" s="1"/>
      <c r="N1836" s="1"/>
    </row>
    <row r="1837">
      <c r="A1837" s="1"/>
      <c r="B1837" s="25" t="s">
        <v>117</v>
      </c>
      <c r="E1837" s="26" t="s">
        <v>132</v>
      </c>
      <c r="F1837" s="1"/>
      <c r="G1837" s="1"/>
      <c r="H1837" s="1"/>
      <c r="I1837" s="1"/>
      <c r="J1837" s="1"/>
      <c r="K1837" s="1"/>
      <c r="L1837" s="1"/>
      <c r="M1837" s="1"/>
      <c r="N1837" s="1"/>
    </row>
    <row r="1838">
      <c r="A1838" s="1"/>
      <c r="B1838" s="14" t="s">
        <v>4367</v>
      </c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"/>
    </row>
    <row r="1839">
      <c r="A1839" s="1"/>
      <c r="B1839" s="4" t="s">
        <v>4368</v>
      </c>
      <c r="D1839" s="9"/>
      <c r="E1839" s="17" t="s">
        <v>14</v>
      </c>
      <c r="F1839" s="28" t="str">
        <f>HYPERLINK("https://youtu.be/VwTTmie7eO8?t=571",'Players&gt;List'!$B10)</f>
        <v>[CAM]</v>
      </c>
      <c r="G1839" s="1"/>
      <c r="H1839" s="1"/>
      <c r="I1839" s="1"/>
      <c r="J1839" s="1"/>
      <c r="K1839" s="1"/>
      <c r="L1839" s="1"/>
      <c r="M1839" s="1"/>
      <c r="N1839" s="1"/>
    </row>
    <row r="1840">
      <c r="A1840" s="1"/>
      <c r="B1840" s="25" t="s">
        <v>108</v>
      </c>
      <c r="E1840" s="26" t="s">
        <v>110</v>
      </c>
      <c r="F1840" s="28" t="str">
        <f>HYPERLINK("https://www.youtube.com/watch?v=rjJ3r37bnzM",'Players&gt;List'!$B8)</f>
        <v>[ABA]</v>
      </c>
      <c r="G1840" s="1"/>
      <c r="H1840" s="1"/>
      <c r="I1840" s="1"/>
      <c r="J1840" s="1"/>
      <c r="K1840" s="1"/>
      <c r="L1840" s="1"/>
      <c r="M1840" s="1"/>
      <c r="N1840" s="1"/>
    </row>
    <row r="1841">
      <c r="A1841" s="1"/>
      <c r="B1841" s="14" t="s">
        <v>4369</v>
      </c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"/>
    </row>
    <row r="1842">
      <c r="A1842" s="1"/>
      <c r="B1842" s="4" t="s">
        <v>4370</v>
      </c>
      <c r="D1842" s="9"/>
      <c r="E1842" s="17" t="s">
        <v>14</v>
      </c>
      <c r="F1842" s="28" t="str">
        <f>HYPERLINK("https://youtu.be/VwTTmie7eO8?t=665",'Players&gt;List'!$B10)</f>
        <v>[CAM]</v>
      </c>
      <c r="G1842" s="1"/>
      <c r="H1842" s="1"/>
      <c r="I1842" s="1"/>
      <c r="J1842" s="1"/>
      <c r="K1842" s="1"/>
      <c r="L1842" s="1"/>
      <c r="M1842" s="1"/>
      <c r="N1842" s="1"/>
    </row>
    <row r="1843">
      <c r="A1843" s="1"/>
      <c r="B1843" s="25" t="s">
        <v>88</v>
      </c>
      <c r="E1843" s="26" t="s">
        <v>90</v>
      </c>
      <c r="F1843" s="1"/>
      <c r="G1843" s="1"/>
      <c r="H1843" s="1"/>
      <c r="I1843" s="1"/>
      <c r="J1843" s="1"/>
      <c r="K1843" s="1"/>
      <c r="L1843" s="1"/>
      <c r="M1843" s="1"/>
      <c r="N1843" s="1"/>
    </row>
    <row r="1844">
      <c r="A1844" s="1"/>
      <c r="B1844" s="14" t="s">
        <v>4371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"/>
    </row>
    <row r="1845">
      <c r="A1845" s="1"/>
      <c r="B1845" s="4" t="s">
        <v>4372</v>
      </c>
      <c r="D1845" s="9"/>
      <c r="E1845" s="17" t="s">
        <v>14</v>
      </c>
      <c r="F1845" s="28" t="str">
        <f>HYPERLINK("https://youtu.be/VwTTmie7eO8?t=785",'Players&gt;List'!$B10)</f>
        <v>[CAM]</v>
      </c>
      <c r="G1845" s="1"/>
      <c r="H1845" s="1"/>
      <c r="I1845" s="1"/>
      <c r="J1845" s="1"/>
      <c r="K1845" s="1"/>
      <c r="L1845" s="1"/>
      <c r="M1845" s="1"/>
      <c r="N1845" s="1"/>
    </row>
    <row r="1846">
      <c r="A1846" s="1"/>
      <c r="B1846" s="25" t="s">
        <v>88</v>
      </c>
      <c r="E1846" s="26" t="s">
        <v>90</v>
      </c>
      <c r="F1846" s="1"/>
      <c r="G1846" s="1"/>
      <c r="H1846" s="1"/>
      <c r="I1846" s="1"/>
      <c r="J1846" s="1"/>
      <c r="K1846" s="1"/>
      <c r="L1846" s="1"/>
      <c r="M1846" s="1"/>
      <c r="N1846" s="1"/>
    </row>
    <row r="1847">
      <c r="A1847" s="1"/>
      <c r="B1847" s="14" t="s">
        <v>4373</v>
      </c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"/>
    </row>
    <row r="1848">
      <c r="A1848" s="1"/>
      <c r="B1848" s="4" t="s">
        <v>4374</v>
      </c>
      <c r="D1848" s="9"/>
      <c r="E1848" s="17" t="s">
        <v>14</v>
      </c>
      <c r="F1848" s="28" t="str">
        <f>HYPERLINK("https://youtu.be/VwTTmie7eO8?t=1617",'Players&gt;List'!$B10)</f>
        <v>[CAM]</v>
      </c>
      <c r="G1848" s="1"/>
      <c r="H1848" s="1"/>
      <c r="I1848" s="1"/>
      <c r="J1848" s="1"/>
      <c r="K1848" s="1"/>
      <c r="L1848" s="1"/>
      <c r="M1848" s="1"/>
      <c r="N1848" s="1"/>
    </row>
    <row r="1849">
      <c r="A1849" s="1"/>
      <c r="B1849" s="25" t="s">
        <v>88</v>
      </c>
      <c r="E1849" s="26" t="s">
        <v>90</v>
      </c>
      <c r="F1849" s="1"/>
      <c r="G1849" s="1"/>
      <c r="H1849" s="1"/>
      <c r="I1849" s="1"/>
      <c r="J1849" s="1"/>
      <c r="K1849" s="1"/>
      <c r="L1849" s="1"/>
      <c r="M1849" s="1"/>
      <c r="N1849" s="1"/>
    </row>
    <row r="1850">
      <c r="A1850" s="1"/>
      <c r="B1850" s="14" t="s">
        <v>4375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"/>
    </row>
    <row r="1851">
      <c r="A1851" s="1"/>
      <c r="B1851" s="4" t="s">
        <v>4376</v>
      </c>
      <c r="D1851" s="9"/>
      <c r="E1851" s="17" t="s">
        <v>14</v>
      </c>
      <c r="F1851" s="28" t="str">
        <f>HYPERLINK("https://youtu.be/0JV3hTKCero?t=60",'Players&gt;List'!$B10)</f>
        <v>[CAM]</v>
      </c>
      <c r="G1851" s="1"/>
      <c r="H1851" s="1"/>
      <c r="I1851" s="1"/>
      <c r="J1851" s="1"/>
      <c r="K1851" s="1"/>
      <c r="L1851" s="1"/>
      <c r="M1851" s="1"/>
      <c r="N1851" s="1"/>
    </row>
    <row r="1852">
      <c r="A1852" s="1"/>
      <c r="B1852" s="25" t="s">
        <v>117</v>
      </c>
      <c r="E1852" s="26" t="s">
        <v>110</v>
      </c>
      <c r="F1852" s="1"/>
      <c r="G1852" s="1"/>
      <c r="H1852" s="1"/>
      <c r="I1852" s="1"/>
      <c r="J1852" s="1"/>
      <c r="K1852" s="1"/>
      <c r="L1852" s="1"/>
      <c r="M1852" s="1"/>
      <c r="N1852" s="1"/>
    </row>
    <row r="1853">
      <c r="A1853" s="1"/>
      <c r="B1853" s="14" t="s">
        <v>4377</v>
      </c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"/>
    </row>
    <row r="1854">
      <c r="A1854" s="1"/>
      <c r="B1854" s="4" t="s">
        <v>4378</v>
      </c>
      <c r="D1854" s="9"/>
      <c r="E1854" s="17" t="s">
        <v>14</v>
      </c>
      <c r="F1854" s="28" t="str">
        <f>HYPERLINK("https://youtu.be/0JV3hTKCero?t=112",'Players&gt;List'!$B10)</f>
        <v>[CAM]</v>
      </c>
      <c r="G1854" s="1"/>
      <c r="H1854" s="1"/>
      <c r="I1854" s="1"/>
      <c r="J1854" s="1"/>
      <c r="K1854" s="1"/>
      <c r="L1854" s="1"/>
      <c r="M1854" s="1"/>
      <c r="N1854" s="1"/>
    </row>
    <row r="1855">
      <c r="A1855" s="1"/>
      <c r="B1855" s="25" t="s">
        <v>88</v>
      </c>
      <c r="E1855" s="26" t="s">
        <v>90</v>
      </c>
      <c r="F1855" s="1"/>
      <c r="G1855" s="1"/>
      <c r="H1855" s="1"/>
      <c r="I1855" s="1"/>
      <c r="J1855" s="1"/>
      <c r="K1855" s="1"/>
      <c r="L1855" s="1"/>
      <c r="M1855" s="1"/>
      <c r="N1855" s="1"/>
    </row>
    <row r="1856">
      <c r="A1856" s="1"/>
      <c r="B1856" s="14" t="s">
        <v>4379</v>
      </c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"/>
    </row>
    <row r="1857">
      <c r="A1857" s="1"/>
      <c r="B1857" s="4" t="s">
        <v>4380</v>
      </c>
      <c r="D1857" s="9"/>
      <c r="E1857" s="17" t="s">
        <v>14</v>
      </c>
      <c r="F1857" s="28" t="str">
        <f>HYPERLINK("https://youtu.be/0JV3hTKCero?t=300",'Players&gt;List'!$B10)</f>
        <v>[CAM]</v>
      </c>
      <c r="G1857" s="1"/>
      <c r="H1857" s="1"/>
      <c r="I1857" s="1"/>
      <c r="J1857" s="1"/>
      <c r="K1857" s="1"/>
      <c r="L1857" s="1"/>
      <c r="M1857" s="1"/>
      <c r="N1857" s="1"/>
    </row>
    <row r="1858">
      <c r="A1858" s="1"/>
      <c r="B1858" s="25" t="s">
        <v>117</v>
      </c>
      <c r="E1858" s="26" t="s">
        <v>110</v>
      </c>
      <c r="F1858" s="28" t="str">
        <f>HYPERLINK("https://www.youtube.com/watch?v=BobU-Prn3-E",'Players&gt;List'!$B18)</f>
        <v>[HGB]</v>
      </c>
      <c r="G1858" s="28" t="str">
        <f>HYPERLINK("https://www.youtube.com/watch?v=MFe7wwzsl9U",'Players&gt;List'!$B8)</f>
        <v>[ABA]</v>
      </c>
      <c r="H1858" s="1"/>
      <c r="I1858" s="1"/>
      <c r="J1858" s="1"/>
      <c r="K1858" s="1"/>
      <c r="L1858" s="1"/>
      <c r="M1858" s="1"/>
      <c r="N1858" s="1"/>
    </row>
    <row r="1859">
      <c r="A1859" s="1"/>
      <c r="B1859" s="14" t="s">
        <v>4381</v>
      </c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"/>
    </row>
    <row r="1860">
      <c r="A1860" s="1"/>
      <c r="B1860" s="4" t="s">
        <v>4382</v>
      </c>
      <c r="D1860" s="9"/>
      <c r="E1860" s="17" t="s">
        <v>14</v>
      </c>
      <c r="F1860" s="28" t="str">
        <f>HYPERLINK("https://youtu.be/0JV3hTKCero?t=333",'Players&gt;List'!$B10)</f>
        <v>[CAM]</v>
      </c>
      <c r="G1860" s="1"/>
      <c r="H1860" s="1"/>
      <c r="I1860" s="1"/>
      <c r="J1860" s="1"/>
      <c r="K1860" s="1"/>
      <c r="L1860" s="1"/>
      <c r="M1860" s="1"/>
      <c r="N1860" s="1"/>
    </row>
    <row r="1861">
      <c r="A1861" s="1"/>
      <c r="B1861" s="25" t="s">
        <v>457</v>
      </c>
      <c r="E1861" s="26" t="s">
        <v>110</v>
      </c>
      <c r="F1861" s="1"/>
      <c r="G1861" s="1"/>
      <c r="H1861" s="1"/>
      <c r="I1861" s="1"/>
      <c r="J1861" s="1"/>
      <c r="K1861" s="1"/>
      <c r="L1861" s="1"/>
      <c r="M1861" s="1"/>
      <c r="N1861" s="1"/>
    </row>
    <row r="1862">
      <c r="A1862" s="1"/>
      <c r="B1862" s="14" t="s">
        <v>4384</v>
      </c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"/>
    </row>
    <row r="1863">
      <c r="A1863" s="1"/>
      <c r="B1863" s="4" t="s">
        <v>4385</v>
      </c>
      <c r="D1863" s="9"/>
      <c r="E1863" s="17" t="s">
        <v>14</v>
      </c>
      <c r="F1863" s="28" t="str">
        <f>HYPERLINK("https://youtu.be/0JV3hTKCero?t=1712",'Players&gt;List'!$B10)</f>
        <v>[CAM]</v>
      </c>
      <c r="G1863" s="28" t="str">
        <f>HYPERLINK("https://www.youtube.com/watch?v=LfdNfFtHIjo",'Players&gt;List'!$B28)</f>
        <v>[SUN]</v>
      </c>
      <c r="H1863" s="1"/>
      <c r="I1863" s="1"/>
      <c r="J1863" s="1"/>
      <c r="K1863" s="1"/>
      <c r="L1863" s="1"/>
      <c r="M1863" s="1"/>
      <c r="N1863" s="1"/>
    </row>
    <row r="1864">
      <c r="A1864" s="1"/>
      <c r="B1864" s="25" t="s">
        <v>88</v>
      </c>
      <c r="E1864" s="26" t="s">
        <v>90</v>
      </c>
      <c r="F1864" s="28" t="str">
        <f>HYPERLINK("https://www.youtube.com/watch?v=QEReAakonnA",'Players&gt;List'!$B8)</f>
        <v>[ABA]</v>
      </c>
      <c r="G1864" s="28" t="str">
        <f>HYPERLINK("https://www.youtube.com/watch?v=XEPOCpqgpo8",'Players&gt;List'!$B18)</f>
        <v>[HGB]</v>
      </c>
      <c r="H1864" s="1"/>
      <c r="I1864" s="1"/>
      <c r="J1864" s="1"/>
      <c r="K1864" s="1"/>
      <c r="L1864" s="1"/>
      <c r="M1864" s="1"/>
      <c r="N1864" s="1"/>
    </row>
    <row r="1865">
      <c r="A1865" s="1"/>
      <c r="B1865" s="14" t="s">
        <v>4392</v>
      </c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"/>
    </row>
    <row r="1866">
      <c r="A1866" s="1"/>
      <c r="B1866" s="4" t="s">
        <v>4396</v>
      </c>
      <c r="D1866" s="9"/>
      <c r="E1866" s="17" t="s">
        <v>14</v>
      </c>
      <c r="F1866" s="28" t="str">
        <f>HYPERLINK("https://youtu.be/IKgTy-HUeec?t=34",'Players&gt;List'!$B10)</f>
        <v>[CAM]</v>
      </c>
      <c r="G1866" s="1"/>
      <c r="H1866" s="1"/>
      <c r="I1866" s="1"/>
      <c r="J1866" s="1"/>
      <c r="K1866" s="1"/>
      <c r="L1866" s="1"/>
      <c r="M1866" s="1"/>
      <c r="N1866" s="1"/>
    </row>
    <row r="1867">
      <c r="A1867" s="1"/>
      <c r="B1867" s="25" t="s">
        <v>335</v>
      </c>
      <c r="E1867" s="26" t="s">
        <v>90</v>
      </c>
      <c r="F1867" s="1"/>
      <c r="G1867" s="1"/>
      <c r="H1867" s="1"/>
      <c r="I1867" s="1"/>
      <c r="J1867" s="1"/>
      <c r="K1867" s="1"/>
      <c r="L1867" s="1"/>
      <c r="M1867" s="1"/>
      <c r="N1867" s="1"/>
    </row>
    <row r="1868">
      <c r="A1868" s="1"/>
      <c r="B1868" s="14" t="s">
        <v>4403</v>
      </c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"/>
    </row>
    <row r="1869">
      <c r="A1869" s="1"/>
      <c r="B1869" s="4" t="s">
        <v>4407</v>
      </c>
      <c r="D1869" s="9"/>
      <c r="E1869" s="17" t="s">
        <v>14</v>
      </c>
      <c r="F1869" s="28" t="str">
        <f>HYPERLINK("https://youtu.be/IKgTy-HUeec?t=132",'Players&gt;List'!$B10)</f>
        <v>[CAM]</v>
      </c>
      <c r="G1869" s="1"/>
      <c r="H1869" s="1"/>
      <c r="I1869" s="1"/>
      <c r="J1869" s="1"/>
      <c r="K1869" s="1"/>
      <c r="L1869" s="1"/>
      <c r="M1869" s="1"/>
      <c r="N1869" s="1"/>
    </row>
    <row r="1870">
      <c r="A1870" s="1"/>
      <c r="B1870" s="25" t="s">
        <v>88</v>
      </c>
      <c r="E1870" s="26" t="s">
        <v>90</v>
      </c>
      <c r="F1870" s="1"/>
      <c r="G1870" s="1"/>
      <c r="H1870" s="1"/>
      <c r="I1870" s="1"/>
      <c r="J1870" s="1"/>
      <c r="K1870" s="1"/>
      <c r="L1870" s="1"/>
      <c r="M1870" s="1"/>
      <c r="N1870" s="1"/>
    </row>
    <row r="1871">
      <c r="A1871" s="1"/>
      <c r="B1871" s="14" t="s">
        <v>4413</v>
      </c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"/>
    </row>
    <row r="1872">
      <c r="A1872" s="1"/>
      <c r="B1872" s="4" t="s">
        <v>4417</v>
      </c>
      <c r="D1872" s="9"/>
      <c r="E1872" s="17" t="s">
        <v>14</v>
      </c>
      <c r="F1872" s="28" t="str">
        <f>HYPERLINK("https://youtu.be/IKgTy-HUeec?t=269",'Players&gt;List'!$B10)</f>
        <v>[CAM]</v>
      </c>
      <c r="G1872" s="1"/>
      <c r="H1872" s="1"/>
      <c r="I1872" s="1"/>
      <c r="J1872" s="1"/>
      <c r="K1872" s="1"/>
      <c r="L1872" s="1"/>
      <c r="M1872" s="1"/>
      <c r="N1872" s="1"/>
    </row>
    <row r="1873">
      <c r="A1873" s="1"/>
      <c r="B1873" s="25" t="s">
        <v>335</v>
      </c>
      <c r="E1873" s="26" t="s">
        <v>90</v>
      </c>
      <c r="F1873" s="1"/>
      <c r="G1873" s="1"/>
      <c r="H1873" s="1"/>
      <c r="I1873" s="1"/>
      <c r="J1873" s="1"/>
      <c r="K1873" s="1"/>
      <c r="L1873" s="1"/>
      <c r="M1873" s="1"/>
      <c r="N1873" s="1"/>
    </row>
    <row r="1874">
      <c r="A1874" s="1"/>
      <c r="B1874" s="14" t="s">
        <v>4423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"/>
    </row>
    <row r="1875">
      <c r="A1875" s="1"/>
      <c r="B1875" s="4" t="s">
        <v>4427</v>
      </c>
      <c r="D1875" s="9"/>
      <c r="E1875" s="17" t="s">
        <v>14</v>
      </c>
      <c r="F1875" s="28" t="str">
        <f>HYPERLINK("https://youtu.be/IKgTy-HUeec?t=306",'Players&gt;List'!$B10)</f>
        <v>[CAM]</v>
      </c>
      <c r="G1875" s="1"/>
      <c r="H1875" s="1"/>
      <c r="I1875" s="1"/>
      <c r="J1875" s="1"/>
      <c r="K1875" s="1"/>
      <c r="L1875" s="1"/>
      <c r="M1875" s="1"/>
      <c r="N1875" s="1"/>
    </row>
    <row r="1876">
      <c r="A1876" s="1"/>
      <c r="B1876" s="25" t="s">
        <v>149</v>
      </c>
      <c r="E1876" s="26" t="s">
        <v>90</v>
      </c>
      <c r="F1876" s="1"/>
      <c r="G1876" s="1"/>
      <c r="H1876" s="1"/>
      <c r="I1876" s="1"/>
      <c r="J1876" s="1"/>
      <c r="K1876" s="1"/>
      <c r="L1876" s="1"/>
      <c r="M1876" s="1"/>
      <c r="N1876" s="1"/>
    </row>
    <row r="1877">
      <c r="A1877" s="1"/>
      <c r="B1877" s="25" t="s">
        <v>157</v>
      </c>
      <c r="E1877" s="26" t="s">
        <v>132</v>
      </c>
      <c r="F1877" s="1"/>
      <c r="G1877" s="1"/>
      <c r="H1877" s="1"/>
      <c r="I1877" s="1"/>
      <c r="J1877" s="1"/>
      <c r="K1877" s="1"/>
      <c r="L1877" s="1"/>
      <c r="M1877" s="1"/>
      <c r="N1877" s="1"/>
    </row>
    <row r="1878">
      <c r="A1878" s="1"/>
      <c r="B1878" s="14" t="s">
        <v>4436</v>
      </c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"/>
    </row>
    <row r="1879">
      <c r="A1879" s="1"/>
      <c r="B1879" s="4" t="s">
        <v>4438</v>
      </c>
      <c r="D1879" s="9"/>
      <c r="E1879" s="17" t="s">
        <v>14</v>
      </c>
      <c r="F1879" s="28" t="str">
        <f>HYPERLINK("https://www.youtube.com/watch?v=AuyNl7qUtz0&amp;t=0s&amp;list=PLbU6uWaIKemqNvTeRxK-Ay6PRg9iwCKVi&amp;index=72",'Players&gt;List'!$B19)</f>
        <v>[HIT]</v>
      </c>
      <c r="G1879" s="28" t="str">
        <f>HYPERLINK("https://youtu.be/IKgTy-HUeec?t=1009",'Players&gt;List'!$B10)</f>
        <v>[CAM]</v>
      </c>
      <c r="H1879" s="1"/>
      <c r="I1879" s="1"/>
      <c r="J1879" s="1"/>
      <c r="K1879" s="1"/>
      <c r="L1879" s="1"/>
      <c r="M1879" s="1"/>
      <c r="N1879" s="1"/>
    </row>
    <row r="1880">
      <c r="A1880" s="1"/>
      <c r="B1880" s="25" t="s">
        <v>88</v>
      </c>
      <c r="E1880" s="26" t="s">
        <v>90</v>
      </c>
      <c r="F1880" s="1"/>
      <c r="G1880" s="1"/>
      <c r="H1880" s="1"/>
      <c r="I1880" s="1"/>
      <c r="J1880" s="1"/>
      <c r="K1880" s="1"/>
      <c r="L1880" s="1"/>
      <c r="M1880" s="1"/>
      <c r="N1880" s="1"/>
    </row>
    <row r="1881">
      <c r="A1881" s="1"/>
      <c r="B1881" s="14" t="s">
        <v>4449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"/>
    </row>
    <row r="1882">
      <c r="A1882" s="1"/>
      <c r="B1882" s="4" t="s">
        <v>4453</v>
      </c>
      <c r="D1882" s="9"/>
      <c r="E1882" s="17" t="s">
        <v>14</v>
      </c>
      <c r="F1882" s="28" t="str">
        <f>HYPERLINK("https://youtu.be/2VrMkYhCO7k?t=19",'Players&gt;List'!$B10)</f>
        <v>[CAM]</v>
      </c>
      <c r="G1882" s="1"/>
      <c r="H1882" s="1"/>
      <c r="I1882" s="1"/>
      <c r="J1882" s="1"/>
      <c r="K1882" s="1"/>
      <c r="L1882" s="1"/>
      <c r="M1882" s="1"/>
      <c r="N1882" s="1"/>
    </row>
    <row r="1883">
      <c r="A1883" s="1"/>
      <c r="B1883" s="25" t="s">
        <v>117</v>
      </c>
      <c r="E1883" s="26" t="s">
        <v>110</v>
      </c>
      <c r="F1883" s="1"/>
      <c r="G1883" s="1"/>
      <c r="H1883" s="1"/>
      <c r="I1883" s="1"/>
      <c r="J1883" s="1"/>
      <c r="K1883" s="1"/>
      <c r="L1883" s="1"/>
      <c r="M1883" s="1"/>
      <c r="N1883" s="1"/>
    </row>
    <row r="1884">
      <c r="A1884" s="1"/>
      <c r="B1884" s="14" t="s">
        <v>4458</v>
      </c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"/>
    </row>
    <row r="1885">
      <c r="A1885" s="1"/>
      <c r="B1885" s="4" t="s">
        <v>4462</v>
      </c>
      <c r="D1885" s="9"/>
      <c r="E1885" s="17" t="s">
        <v>14</v>
      </c>
      <c r="F1885" s="28" t="str">
        <f>HYPERLINK("https://youtu.be/2VrMkYhCO7k?t=97",'Players&gt;List'!$B10)</f>
        <v>[CAM]</v>
      </c>
      <c r="G1885" s="1"/>
      <c r="H1885" s="1"/>
      <c r="I1885" s="1"/>
      <c r="J1885" s="1"/>
      <c r="K1885" s="1"/>
      <c r="L1885" s="1"/>
      <c r="M1885" s="1"/>
      <c r="N1885" s="1"/>
    </row>
    <row r="1886">
      <c r="A1886" s="1"/>
      <c r="B1886" s="25" t="s">
        <v>457</v>
      </c>
      <c r="E1886" s="26" t="s">
        <v>110</v>
      </c>
      <c r="F1886" s="1"/>
      <c r="G1886" s="1"/>
      <c r="H1886" s="1"/>
      <c r="I1886" s="1"/>
      <c r="J1886" s="1"/>
      <c r="K1886" s="1"/>
      <c r="L1886" s="1"/>
      <c r="M1886" s="1"/>
      <c r="N1886" s="1"/>
    </row>
    <row r="1887">
      <c r="A1887" s="1"/>
      <c r="B1887" s="14" t="s">
        <v>4467</v>
      </c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"/>
    </row>
    <row r="1888">
      <c r="A1888" s="1"/>
      <c r="B1888" s="4" t="s">
        <v>4470</v>
      </c>
      <c r="D1888" s="9"/>
      <c r="E1888" s="17" t="s">
        <v>14</v>
      </c>
      <c r="F1888" s="28" t="str">
        <f>HYPERLINK("https://youtu.be/2VrMkYhCO7k?t=203",'Players&gt;List'!$B10)</f>
        <v>[CAM]</v>
      </c>
      <c r="G1888" s="1"/>
      <c r="H1888" s="1"/>
      <c r="I1888" s="1"/>
      <c r="J1888" s="1"/>
      <c r="K1888" s="1"/>
      <c r="L1888" s="1"/>
      <c r="M1888" s="1"/>
      <c r="N1888" s="1"/>
    </row>
    <row r="1889">
      <c r="A1889" s="1"/>
      <c r="B1889" s="25" t="s">
        <v>149</v>
      </c>
      <c r="E1889" s="26" t="s">
        <v>90</v>
      </c>
      <c r="F1889" s="1"/>
      <c r="G1889" s="1"/>
      <c r="H1889" s="1"/>
      <c r="I1889" s="1"/>
      <c r="J1889" s="1"/>
      <c r="K1889" s="1"/>
      <c r="L1889" s="1"/>
      <c r="M1889" s="1"/>
      <c r="N1889" s="1"/>
    </row>
    <row r="1890">
      <c r="A1890" s="1"/>
      <c r="B1890" s="14" t="s">
        <v>4477</v>
      </c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"/>
    </row>
    <row r="1891">
      <c r="A1891" s="1"/>
      <c r="B1891" s="4" t="s">
        <v>4481</v>
      </c>
      <c r="D1891" s="9"/>
      <c r="E1891" s="17" t="s">
        <v>14</v>
      </c>
      <c r="F1891" s="28" t="str">
        <f>HYPERLINK("https://youtu.be/2VrMkYhCO7k?t=263",'Players&gt;List'!$B10)</f>
        <v>[CAM]</v>
      </c>
      <c r="G1891" s="1"/>
      <c r="H1891" s="1"/>
      <c r="I1891" s="1"/>
      <c r="J1891" s="1"/>
      <c r="K1891" s="1"/>
      <c r="L1891" s="1"/>
      <c r="M1891" s="1"/>
      <c r="N1891" s="1"/>
    </row>
    <row r="1892">
      <c r="A1892" s="1"/>
      <c r="B1892" s="25" t="s">
        <v>117</v>
      </c>
      <c r="E1892" s="26" t="s">
        <v>110</v>
      </c>
      <c r="F1892" s="1"/>
      <c r="G1892" s="1"/>
      <c r="H1892" s="1"/>
      <c r="I1892" s="1"/>
      <c r="J1892" s="1"/>
      <c r="K1892" s="1"/>
      <c r="L1892" s="1"/>
      <c r="M1892" s="1"/>
      <c r="N1892" s="1"/>
    </row>
    <row r="1893">
      <c r="A1893" s="1"/>
      <c r="B1893" s="14" t="s">
        <v>4490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"/>
    </row>
    <row r="1894">
      <c r="A1894" s="1"/>
      <c r="B1894" s="4" t="s">
        <v>4494</v>
      </c>
      <c r="D1894" s="9"/>
      <c r="E1894" s="17" t="s">
        <v>14</v>
      </c>
      <c r="F1894" s="28" t="str">
        <f>HYPERLINK("https://youtu.be/2VrMkYhCO7k?t=999",'Players&gt;List'!$B10)</f>
        <v>[CAM]</v>
      </c>
      <c r="G1894" s="1"/>
      <c r="H1894" s="1"/>
      <c r="I1894" s="1"/>
      <c r="J1894" s="1"/>
      <c r="K1894" s="1"/>
      <c r="L1894" s="1"/>
      <c r="M1894" s="1"/>
      <c r="N1894" s="1"/>
    </row>
    <row r="1895">
      <c r="A1895" s="1"/>
      <c r="B1895" s="25" t="s">
        <v>157</v>
      </c>
      <c r="E1895" s="26" t="s">
        <v>110</v>
      </c>
      <c r="F1895" s="1"/>
      <c r="G1895" s="1"/>
      <c r="H1895" s="1"/>
      <c r="I1895" s="1"/>
      <c r="J1895" s="1"/>
      <c r="K1895" s="1"/>
      <c r="L1895" s="1"/>
      <c r="M1895" s="1"/>
      <c r="N1895" s="1"/>
    </row>
    <row r="1896">
      <c r="A1896" s="1"/>
      <c r="B1896" s="14" t="s">
        <v>4503</v>
      </c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"/>
    </row>
    <row r="1897">
      <c r="A1897" s="1"/>
      <c r="B1897" s="4" t="s">
        <v>4510</v>
      </c>
      <c r="D1897" s="9"/>
      <c r="E1897" s="17" t="s">
        <v>14</v>
      </c>
      <c r="F1897" s="28" t="str">
        <f>HYPERLINK("https://www.youtube.com/watch?v=LF-I19QMw1I",'Players&gt;List'!$B10)</f>
        <v>[CAM]</v>
      </c>
      <c r="G1897" s="1"/>
      <c r="H1897" s="1"/>
      <c r="I1897" s="1"/>
      <c r="J1897" s="1"/>
      <c r="K1897" s="1"/>
      <c r="L1897" s="1"/>
      <c r="M1897" s="1"/>
      <c r="N1897" s="1"/>
    </row>
    <row r="1898">
      <c r="A1898" s="1"/>
      <c r="B1898" s="25" t="s">
        <v>88</v>
      </c>
      <c r="E1898" s="26" t="s">
        <v>90</v>
      </c>
      <c r="F1898" s="1"/>
      <c r="G1898" s="1"/>
      <c r="H1898" s="1"/>
      <c r="I1898" s="1"/>
      <c r="J1898" s="1"/>
      <c r="K1898" s="1"/>
      <c r="L1898" s="1"/>
      <c r="M1898" s="1"/>
      <c r="N1898" s="1"/>
    </row>
    <row r="1899">
      <c r="A1899" s="1"/>
      <c r="B1899" s="25" t="s">
        <v>149</v>
      </c>
      <c r="E1899" s="26" t="s">
        <v>147</v>
      </c>
      <c r="F1899" s="1"/>
      <c r="G1899" s="1"/>
      <c r="H1899" s="1"/>
      <c r="I1899" s="1"/>
      <c r="J1899" s="1"/>
      <c r="K1899" s="1"/>
      <c r="L1899" s="1"/>
      <c r="M1899" s="1"/>
      <c r="N1899" s="1"/>
    </row>
    <row r="1900">
      <c r="A1900" s="1"/>
      <c r="B1900" s="25" t="s">
        <v>117</v>
      </c>
      <c r="E1900" s="26" t="s">
        <v>132</v>
      </c>
      <c r="F1900" s="1"/>
      <c r="G1900" s="1"/>
      <c r="H1900" s="1"/>
      <c r="I1900" s="1"/>
      <c r="J1900" s="1"/>
      <c r="K1900" s="1"/>
      <c r="L1900" s="1"/>
      <c r="M1900" s="1"/>
      <c r="N1900" s="1"/>
    </row>
    <row r="1901">
      <c r="A1901" s="1"/>
      <c r="B1901" s="14" t="s">
        <v>4519</v>
      </c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"/>
    </row>
    <row r="1902">
      <c r="A1902" s="1"/>
      <c r="B1902" s="4" t="s">
        <v>4523</v>
      </c>
      <c r="D1902" s="9"/>
      <c r="E1902" s="17" t="s">
        <v>14</v>
      </c>
      <c r="F1902" s="28" t="str">
        <f>HYPERLINK("https://youtu.be/LF-I19QMw1I?t=86",'Players&gt;List'!$B10)</f>
        <v>[CAM]</v>
      </c>
      <c r="G1902" s="1"/>
      <c r="H1902" s="1"/>
      <c r="I1902" s="1"/>
      <c r="J1902" s="1"/>
      <c r="K1902" s="1"/>
      <c r="L1902" s="1"/>
      <c r="M1902" s="1"/>
      <c r="N1902" s="1"/>
    </row>
    <row r="1903">
      <c r="A1903" s="1"/>
      <c r="B1903" s="25" t="s">
        <v>149</v>
      </c>
      <c r="E1903" s="26" t="s">
        <v>90</v>
      </c>
      <c r="F1903" s="1"/>
      <c r="G1903" s="1"/>
      <c r="H1903" s="1"/>
      <c r="I1903" s="1"/>
      <c r="J1903" s="1"/>
      <c r="K1903" s="1"/>
      <c r="L1903" s="1"/>
      <c r="M1903" s="1"/>
      <c r="N1903" s="1"/>
    </row>
    <row r="1904">
      <c r="A1904" s="1"/>
      <c r="B1904" s="14" t="s">
        <v>4529</v>
      </c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"/>
    </row>
    <row r="1905">
      <c r="A1905" s="1"/>
      <c r="B1905" s="4" t="s">
        <v>4533</v>
      </c>
      <c r="D1905" s="9"/>
      <c r="E1905" s="17" t="s">
        <v>14</v>
      </c>
      <c r="F1905" s="28" t="str">
        <f>HYPERLINK("https://youtu.be/LF-I19QMw1I?t=111",'Players&gt;List'!$B10)</f>
        <v>[CAM]</v>
      </c>
      <c r="G1905" s="1"/>
      <c r="H1905" s="1"/>
      <c r="I1905" s="1"/>
      <c r="J1905" s="1"/>
      <c r="K1905" s="1"/>
      <c r="L1905" s="1"/>
      <c r="M1905" s="1"/>
      <c r="N1905" s="1"/>
    </row>
    <row r="1906">
      <c r="A1906" s="1"/>
      <c r="B1906" s="25" t="s">
        <v>131</v>
      </c>
      <c r="E1906" s="26" t="s">
        <v>110</v>
      </c>
      <c r="F1906" s="1"/>
      <c r="G1906" s="1"/>
      <c r="H1906" s="1"/>
      <c r="I1906" s="1"/>
      <c r="J1906" s="1"/>
      <c r="K1906" s="1"/>
      <c r="L1906" s="1"/>
      <c r="M1906" s="1"/>
      <c r="N1906" s="1"/>
    </row>
    <row r="1907">
      <c r="A1907" s="1"/>
      <c r="B1907" s="25" t="s">
        <v>108</v>
      </c>
      <c r="E1907" s="26" t="s">
        <v>132</v>
      </c>
      <c r="F1907" s="1"/>
      <c r="G1907" s="1"/>
      <c r="H1907" s="1"/>
      <c r="I1907" s="1"/>
      <c r="J1907" s="1"/>
      <c r="K1907" s="1"/>
      <c r="L1907" s="1"/>
      <c r="M1907" s="1"/>
      <c r="N1907" s="1"/>
    </row>
    <row r="1908">
      <c r="A1908" s="1"/>
      <c r="B1908" s="14" t="s">
        <v>4540</v>
      </c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"/>
    </row>
    <row r="1909">
      <c r="A1909" s="1"/>
      <c r="B1909" s="4" t="s">
        <v>4545</v>
      </c>
      <c r="D1909" s="9"/>
      <c r="E1909" s="17" t="s">
        <v>14</v>
      </c>
      <c r="F1909" s="28" t="str">
        <f>HYPERLINK("https://youtu.be/LF-I19QMw1I?t=244",'Players&gt;List'!$B10)</f>
        <v>[CAM]</v>
      </c>
      <c r="G1909" s="1"/>
      <c r="H1909" s="1"/>
      <c r="I1909" s="1"/>
      <c r="J1909" s="1"/>
      <c r="K1909" s="1"/>
      <c r="L1909" s="1"/>
      <c r="M1909" s="1"/>
      <c r="N1909" s="1"/>
    </row>
    <row r="1910">
      <c r="A1910" s="1"/>
      <c r="B1910" s="25" t="s">
        <v>149</v>
      </c>
      <c r="E1910" s="26" t="s">
        <v>90</v>
      </c>
      <c r="F1910" s="1"/>
      <c r="G1910" s="1"/>
      <c r="H1910" s="1"/>
      <c r="I1910" s="1"/>
      <c r="J1910" s="1"/>
      <c r="K1910" s="1"/>
      <c r="L1910" s="1"/>
      <c r="M1910" s="1"/>
      <c r="N1910" s="1"/>
    </row>
    <row r="1911">
      <c r="A1911" s="1"/>
      <c r="B1911" s="14" t="s">
        <v>4549</v>
      </c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"/>
    </row>
    <row r="1912">
      <c r="A1912" s="1"/>
      <c r="B1912" s="4" t="s">
        <v>4553</v>
      </c>
      <c r="D1912" s="9"/>
      <c r="E1912" s="17" t="s">
        <v>14</v>
      </c>
      <c r="F1912" s="28" t="str">
        <f>HYPERLINK("https://youtu.be/LF-I19QMw1I?t=1941",'Players&gt;List'!$B10)</f>
        <v>[CAM]</v>
      </c>
      <c r="G1912" s="28" t="str">
        <f>HYPERLINK("https://www.youtube.com/watch?v=SnbkJcO9wUU",'Players&gt;List'!$B18)</f>
        <v>[HGB]</v>
      </c>
      <c r="H1912" s="1"/>
      <c r="I1912" s="1"/>
      <c r="J1912" s="1"/>
      <c r="K1912" s="1"/>
      <c r="L1912" s="1"/>
      <c r="M1912" s="1"/>
      <c r="N1912" s="1"/>
    </row>
    <row r="1913">
      <c r="A1913" s="1"/>
      <c r="B1913" s="25" t="s">
        <v>88</v>
      </c>
      <c r="E1913" s="26" t="s">
        <v>90</v>
      </c>
      <c r="F1913" s="1"/>
      <c r="G1913" s="1"/>
      <c r="H1913" s="1"/>
      <c r="I1913" s="1"/>
      <c r="J1913" s="1"/>
      <c r="K1913" s="1"/>
      <c r="L1913" s="1"/>
      <c r="M1913" s="1"/>
      <c r="N1913" s="1"/>
    </row>
    <row r="1914">
      <c r="A1914" s="1"/>
      <c r="B1914" s="14" t="s">
        <v>4560</v>
      </c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"/>
    </row>
    <row r="1915">
      <c r="A1915" s="1"/>
      <c r="B1915" s="4" t="s">
        <v>4563</v>
      </c>
      <c r="D1915" s="9"/>
      <c r="E1915" s="17" t="s">
        <v>14</v>
      </c>
      <c r="F1915" s="18" t="str">
        <f>HYPERLINK("https://youtu.be/NKVcMiTO8LQ?t=76",'Players&gt;List'!$B10)</f>
        <v>[CAM]</v>
      </c>
      <c r="G1915" s="1"/>
      <c r="H1915" s="1"/>
      <c r="I1915" s="1"/>
      <c r="J1915" s="1"/>
      <c r="K1915" s="1"/>
      <c r="L1915" s="1"/>
      <c r="M1915" s="1"/>
      <c r="N1915" s="1"/>
    </row>
    <row r="1916">
      <c r="A1916" s="1"/>
      <c r="B1916" s="25" t="s">
        <v>149</v>
      </c>
      <c r="E1916" s="26" t="s">
        <v>90</v>
      </c>
      <c r="F1916" s="1"/>
      <c r="G1916" s="1"/>
      <c r="H1916" s="1"/>
      <c r="I1916" s="1"/>
      <c r="J1916" s="1"/>
      <c r="K1916" s="1"/>
      <c r="L1916" s="1"/>
      <c r="M1916" s="1"/>
      <c r="N1916" s="1"/>
    </row>
    <row r="1917">
      <c r="A1917" s="1"/>
      <c r="B1917" s="14" t="s">
        <v>4569</v>
      </c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"/>
    </row>
    <row r="1918">
      <c r="A1918" s="1"/>
      <c r="B1918" s="4" t="s">
        <v>4573</v>
      </c>
      <c r="D1918" s="9"/>
      <c r="E1918" s="17" t="s">
        <v>14</v>
      </c>
      <c r="F1918" s="18" t="str">
        <f>HYPERLINK("https://youtu.be/NKVcMiTO8LQ?t=151",'Players&gt;List'!$B10)</f>
        <v>[CAM]</v>
      </c>
      <c r="G1918" s="1"/>
      <c r="H1918" s="1"/>
      <c r="I1918" s="1"/>
      <c r="J1918" s="1"/>
      <c r="K1918" s="1"/>
      <c r="L1918" s="1"/>
      <c r="M1918" s="1"/>
      <c r="N1918" s="1"/>
    </row>
    <row r="1919">
      <c r="A1919" s="1"/>
      <c r="B1919" s="25" t="s">
        <v>117</v>
      </c>
      <c r="E1919" s="26" t="s">
        <v>110</v>
      </c>
      <c r="F1919" s="18" t="str">
        <f>HYPERLINK("https://www.youtube.com/watch?v=huV45w-H6Cw",'Players&gt;List'!$B11)</f>
        <v>[CHB]</v>
      </c>
      <c r="G1919" s="1"/>
      <c r="H1919" s="1"/>
      <c r="I1919" s="1"/>
      <c r="J1919" s="1"/>
      <c r="K1919" s="1"/>
      <c r="L1919" s="1"/>
      <c r="M1919" s="1"/>
      <c r="N1919" s="1"/>
    </row>
    <row r="1920">
      <c r="A1920" s="1"/>
      <c r="B1920" s="25" t="s">
        <v>88</v>
      </c>
      <c r="E1920" s="26" t="s">
        <v>147</v>
      </c>
      <c r="F1920" s="1"/>
      <c r="G1920" s="1"/>
      <c r="H1920" s="1"/>
      <c r="I1920" s="1"/>
      <c r="J1920" s="1"/>
      <c r="K1920" s="1"/>
      <c r="L1920" s="1"/>
      <c r="M1920" s="1"/>
      <c r="N1920" s="1"/>
    </row>
    <row r="1921">
      <c r="A1921" s="1"/>
      <c r="B1921" s="25" t="s">
        <v>149</v>
      </c>
      <c r="E1921" s="26" t="s">
        <v>147</v>
      </c>
      <c r="F1921" s="1"/>
      <c r="G1921" s="1"/>
      <c r="H1921" s="1"/>
      <c r="I1921" s="1"/>
      <c r="J1921" s="1"/>
      <c r="K1921" s="1"/>
      <c r="L1921" s="1"/>
      <c r="M1921" s="1"/>
      <c r="N1921" s="1"/>
    </row>
    <row r="1922">
      <c r="A1922" s="1"/>
      <c r="B1922" s="14" t="s">
        <v>4582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"/>
    </row>
    <row r="1923">
      <c r="A1923" s="1"/>
      <c r="B1923" s="4" t="s">
        <v>4586</v>
      </c>
      <c r="D1923" s="9"/>
      <c r="E1923" s="17" t="s">
        <v>14</v>
      </c>
      <c r="F1923" s="18" t="str">
        <f>HYPERLINK("https://youtu.be/NKVcMiTO8LQ?t=598",'Players&gt;List'!$B10)</f>
        <v>[CAM]</v>
      </c>
      <c r="G1923" s="1"/>
      <c r="H1923" s="1"/>
      <c r="I1923" s="1"/>
      <c r="J1923" s="1"/>
      <c r="K1923" s="1"/>
      <c r="L1923" s="1"/>
      <c r="M1923" s="1"/>
      <c r="N1923" s="1"/>
    </row>
    <row r="1924">
      <c r="A1924" s="1"/>
      <c r="B1924" s="25" t="s">
        <v>88</v>
      </c>
      <c r="E1924" s="26" t="s">
        <v>90</v>
      </c>
      <c r="F1924" s="1"/>
      <c r="G1924" s="1"/>
      <c r="H1924" s="1"/>
      <c r="I1924" s="1"/>
      <c r="J1924" s="1"/>
      <c r="K1924" s="1"/>
      <c r="L1924" s="1"/>
      <c r="M1924" s="1"/>
      <c r="N1924" s="1"/>
    </row>
    <row r="1925">
      <c r="A1925" s="1"/>
      <c r="B1925" s="14" t="s">
        <v>4594</v>
      </c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"/>
    </row>
    <row r="1926">
      <c r="A1926" s="1"/>
      <c r="B1926" s="4" t="s">
        <v>4598</v>
      </c>
      <c r="D1926" s="9"/>
      <c r="E1926" s="17" t="s">
        <v>14</v>
      </c>
      <c r="F1926" s="18" t="str">
        <f>HYPERLINK("https://youtu.be/NKVcMiTO8LQ?t=665",'Players&gt;List'!$B10)</f>
        <v>[CAM]</v>
      </c>
      <c r="G1926" s="1"/>
      <c r="H1926" s="1"/>
      <c r="I1926" s="1"/>
      <c r="J1926" s="1"/>
      <c r="K1926" s="1"/>
      <c r="L1926" s="1"/>
      <c r="M1926" s="1"/>
      <c r="N1926" s="1"/>
    </row>
    <row r="1927">
      <c r="A1927" s="1"/>
      <c r="B1927" s="25" t="s">
        <v>88</v>
      </c>
      <c r="E1927" s="26" t="s">
        <v>90</v>
      </c>
      <c r="F1927" s="1"/>
      <c r="G1927" s="1"/>
      <c r="H1927" s="1"/>
      <c r="I1927" s="1"/>
      <c r="J1927" s="1"/>
      <c r="K1927" s="1"/>
      <c r="L1927" s="1"/>
      <c r="M1927" s="1"/>
      <c r="N1927" s="1"/>
    </row>
    <row r="1928">
      <c r="A1928" s="1"/>
      <c r="B1928" s="14" t="s">
        <v>4603</v>
      </c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"/>
    </row>
    <row r="1929">
      <c r="A1929" s="1"/>
      <c r="B1929" s="4" t="s">
        <v>4606</v>
      </c>
      <c r="D1929" s="9"/>
      <c r="E1929" s="17" t="s">
        <v>14</v>
      </c>
      <c r="F1929" s="18" t="str">
        <f>HYPERLINK("https://youtu.be/NKVcMiTO8LQ?t=794",'Players&gt;List'!$B10)</f>
        <v>[CAM]</v>
      </c>
      <c r="G1929" s="1"/>
      <c r="H1929" s="1"/>
      <c r="I1929" s="1"/>
      <c r="J1929" s="1"/>
      <c r="K1929" s="1"/>
      <c r="L1929" s="1"/>
      <c r="M1929" s="1"/>
      <c r="N1929" s="1"/>
    </row>
    <row r="1930">
      <c r="A1930" s="1"/>
      <c r="B1930" s="25" t="s">
        <v>149</v>
      </c>
      <c r="E1930" s="26" t="s">
        <v>90</v>
      </c>
      <c r="F1930" s="1"/>
      <c r="G1930" s="1"/>
      <c r="H1930" s="1"/>
      <c r="I1930" s="1"/>
      <c r="J1930" s="1"/>
      <c r="K1930" s="1"/>
      <c r="L1930" s="1"/>
      <c r="M1930" s="1"/>
      <c r="N1930" s="1"/>
    </row>
    <row r="1931">
      <c r="A1931" s="1"/>
      <c r="B1931" s="25" t="s">
        <v>88</v>
      </c>
      <c r="E1931" s="26" t="s">
        <v>147</v>
      </c>
      <c r="F1931" s="1"/>
      <c r="G1931" s="1"/>
      <c r="H1931" s="1"/>
      <c r="I1931" s="1"/>
      <c r="J1931" s="1"/>
      <c r="K1931" s="1"/>
      <c r="L1931" s="1"/>
      <c r="M1931" s="1"/>
      <c r="N1931" s="1"/>
    </row>
    <row r="1932">
      <c r="A1932" s="1"/>
      <c r="B1932" s="25" t="s">
        <v>117</v>
      </c>
      <c r="E1932" s="26" t="s">
        <v>132</v>
      </c>
      <c r="F1932" s="1"/>
      <c r="G1932" s="1"/>
      <c r="H1932" s="1"/>
      <c r="I1932" s="1"/>
      <c r="J1932" s="1"/>
      <c r="K1932" s="1"/>
      <c r="L1932" s="1"/>
      <c r="M1932" s="1"/>
      <c r="N1932" s="1"/>
    </row>
    <row r="1933">
      <c r="A1933" s="1"/>
      <c r="B1933" s="14" t="s">
        <v>4616</v>
      </c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"/>
    </row>
    <row r="1934">
      <c r="A1934" s="1"/>
      <c r="B1934" s="4" t="s">
        <v>4620</v>
      </c>
      <c r="D1934" s="9"/>
      <c r="E1934" s="17" t="s">
        <v>14</v>
      </c>
      <c r="F1934" s="18" t="str">
        <f>HYPERLINK("https://youtu.be/KYpmgwLZa68?t=48",'Players&gt;List'!$B10)</f>
        <v>[CAM]</v>
      </c>
      <c r="G1934" s="1"/>
      <c r="H1934" s="1"/>
      <c r="I1934" s="1"/>
      <c r="J1934" s="1"/>
      <c r="K1934" s="1"/>
      <c r="L1934" s="1"/>
      <c r="M1934" s="1"/>
      <c r="N1934" s="1"/>
    </row>
    <row r="1935">
      <c r="A1935" s="1"/>
      <c r="B1935" s="25" t="s">
        <v>131</v>
      </c>
      <c r="E1935" s="26" t="s">
        <v>110</v>
      </c>
      <c r="F1935" s="1"/>
      <c r="G1935" s="1"/>
      <c r="H1935" s="1"/>
      <c r="I1935" s="1"/>
      <c r="J1935" s="1"/>
      <c r="K1935" s="1"/>
      <c r="L1935" s="1"/>
      <c r="M1935" s="1"/>
      <c r="N1935" s="1"/>
    </row>
    <row r="1936">
      <c r="A1936" s="1"/>
      <c r="B1936" s="14" t="s">
        <v>4626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"/>
    </row>
    <row r="1937">
      <c r="A1937" s="1"/>
      <c r="B1937" s="4" t="s">
        <v>4629</v>
      </c>
      <c r="D1937" s="9"/>
      <c r="E1937" s="17" t="s">
        <v>14</v>
      </c>
      <c r="F1937" s="18" t="str">
        <f>HYPERLINK("https://youtu.be/KYpmgwLZa68?t=102",'Players&gt;List'!$B10)</f>
        <v>[CAM]</v>
      </c>
      <c r="G1937" s="1"/>
      <c r="H1937" s="1"/>
      <c r="I1937" s="1"/>
      <c r="J1937" s="1"/>
      <c r="K1937" s="1"/>
      <c r="L1937" s="1"/>
      <c r="M1937" s="1"/>
      <c r="N1937" s="1"/>
    </row>
    <row r="1938">
      <c r="A1938" s="1"/>
      <c r="B1938" s="25" t="s">
        <v>117</v>
      </c>
      <c r="E1938" s="26" t="s">
        <v>110</v>
      </c>
      <c r="F1938" s="1"/>
      <c r="G1938" s="1"/>
      <c r="H1938" s="1"/>
      <c r="I1938" s="1"/>
      <c r="J1938" s="1"/>
      <c r="K1938" s="1"/>
      <c r="L1938" s="1"/>
      <c r="M1938" s="1"/>
      <c r="N1938" s="1"/>
    </row>
    <row r="1939">
      <c r="A1939" s="1"/>
      <c r="B1939" s="14" t="s">
        <v>4636</v>
      </c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"/>
    </row>
    <row r="1940">
      <c r="A1940" s="1"/>
      <c r="B1940" s="4" t="s">
        <v>4638</v>
      </c>
      <c r="D1940" s="9"/>
      <c r="E1940" s="17" t="s">
        <v>14</v>
      </c>
      <c r="F1940" s="18" t="str">
        <f>HYPERLINK("https://youtu.be/KYpmgwLZa68?t=142",'Players&gt;List'!$B10)</f>
        <v>[CAM]</v>
      </c>
      <c r="G1940" s="1"/>
      <c r="H1940" s="1"/>
      <c r="I1940" s="1"/>
      <c r="J1940" s="1"/>
      <c r="K1940" s="1"/>
      <c r="L1940" s="1"/>
      <c r="M1940" s="1"/>
      <c r="N1940" s="1"/>
    </row>
    <row r="1941">
      <c r="A1941" s="1"/>
      <c r="B1941" s="25" t="s">
        <v>88</v>
      </c>
      <c r="E1941" s="26" t="s">
        <v>90</v>
      </c>
      <c r="F1941" s="1"/>
      <c r="G1941" s="1"/>
      <c r="H1941" s="1"/>
      <c r="I1941" s="1"/>
      <c r="J1941" s="1"/>
      <c r="K1941" s="1"/>
      <c r="L1941" s="1"/>
      <c r="M1941" s="1"/>
      <c r="N1941" s="1"/>
    </row>
    <row r="1942">
      <c r="A1942" s="1"/>
      <c r="B1942" s="25" t="s">
        <v>149</v>
      </c>
      <c r="E1942" s="26" t="s">
        <v>147</v>
      </c>
      <c r="F1942" s="1"/>
      <c r="G1942" s="1"/>
      <c r="H1942" s="1"/>
      <c r="I1942" s="1"/>
      <c r="J1942" s="1"/>
      <c r="K1942" s="1"/>
      <c r="L1942" s="1"/>
      <c r="M1942" s="1"/>
      <c r="N1942" s="1"/>
    </row>
    <row r="1943">
      <c r="A1943" s="1"/>
      <c r="B1943" s="14" t="s">
        <v>4646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"/>
    </row>
    <row r="1944">
      <c r="A1944" s="1"/>
      <c r="B1944" s="4" t="s">
        <v>4650</v>
      </c>
      <c r="D1944" s="9"/>
      <c r="E1944" s="17" t="s">
        <v>14</v>
      </c>
      <c r="F1944" s="18" t="str">
        <f>HYPERLINK("https://youtu.be/KYpmgwLZa68?t=197",'Players&gt;List'!$B10)</f>
        <v>[CAM]</v>
      </c>
      <c r="G1944" s="1"/>
      <c r="H1944" s="1"/>
      <c r="I1944" s="1"/>
      <c r="J1944" s="1"/>
      <c r="K1944" s="1"/>
      <c r="L1944" s="1"/>
      <c r="M1944" s="1"/>
      <c r="N1944" s="1"/>
    </row>
    <row r="1945">
      <c r="A1945" s="1"/>
      <c r="B1945" s="25" t="s">
        <v>166</v>
      </c>
      <c r="E1945" s="26" t="s">
        <v>110</v>
      </c>
      <c r="F1945" s="1"/>
      <c r="G1945" s="1"/>
      <c r="H1945" s="1"/>
      <c r="I1945" s="1"/>
      <c r="J1945" s="1"/>
      <c r="K1945" s="1"/>
      <c r="L1945" s="1"/>
      <c r="M1945" s="1"/>
      <c r="N1945" s="1"/>
    </row>
    <row r="1946">
      <c r="A1946" s="1"/>
      <c r="B1946" s="14" t="s">
        <v>4658</v>
      </c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"/>
    </row>
    <row r="1947">
      <c r="A1947" s="1"/>
      <c r="B1947" s="4" t="s">
        <v>4661</v>
      </c>
      <c r="D1947" s="9"/>
      <c r="E1947" s="17" t="s">
        <v>14</v>
      </c>
      <c r="F1947" s="18" t="str">
        <f>HYPERLINK("https://youtu.be/KYpmgwLZa68?t=1077",'Players&gt;List'!$B10)</f>
        <v>[CAM]</v>
      </c>
      <c r="G1947" s="1"/>
      <c r="H1947" s="1"/>
      <c r="I1947" s="1"/>
      <c r="J1947" s="1"/>
      <c r="K1947" s="1"/>
      <c r="L1947" s="1"/>
      <c r="M1947" s="1"/>
      <c r="N1947" s="1"/>
    </row>
    <row r="1948">
      <c r="A1948" s="1"/>
      <c r="B1948" s="25" t="s">
        <v>88</v>
      </c>
      <c r="E1948" s="26" t="s">
        <v>90</v>
      </c>
      <c r="F1948" s="28" t="str">
        <f>HYPERLINK("https://www.youtube.com/watch?v=2-TePc3Ovrw",'Players&gt;List'!$B8)</f>
        <v>[ABA]</v>
      </c>
      <c r="G1948" s="1"/>
      <c r="H1948" s="1"/>
      <c r="I1948" s="1"/>
      <c r="J1948" s="1"/>
      <c r="K1948" s="1"/>
      <c r="L1948" s="1"/>
      <c r="M1948" s="1"/>
      <c r="N1948" s="1"/>
    </row>
    <row r="1949">
      <c r="A1949" s="1"/>
      <c r="B1949" s="14" t="s">
        <v>4671</v>
      </c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"/>
    </row>
    <row r="1950">
      <c r="A1950" s="1"/>
      <c r="B1950" s="4" t="s">
        <v>4675</v>
      </c>
      <c r="D1950" s="9"/>
      <c r="E1950" s="17" t="s">
        <v>14</v>
      </c>
      <c r="F1950" s="28" t="str">
        <f>HYPERLINK("https://youtu.be/w4_KPw0lcrI?t=58",'Players&gt;List'!$B10)</f>
        <v>[CAM]</v>
      </c>
      <c r="G1950" s="1"/>
      <c r="H1950" s="1"/>
      <c r="I1950" s="1"/>
      <c r="J1950" s="1"/>
      <c r="K1950" s="1"/>
      <c r="L1950" s="1"/>
      <c r="M1950" s="1"/>
      <c r="N1950" s="1"/>
    </row>
    <row r="1951">
      <c r="A1951" s="1"/>
      <c r="B1951" s="25" t="s">
        <v>166</v>
      </c>
      <c r="E1951" s="26" t="s">
        <v>110</v>
      </c>
      <c r="F1951" s="1"/>
      <c r="G1951" s="1"/>
      <c r="H1951" s="1"/>
      <c r="I1951" s="1"/>
      <c r="J1951" s="1"/>
      <c r="K1951" s="1"/>
      <c r="L1951" s="1"/>
      <c r="M1951" s="1"/>
      <c r="N1951" s="1"/>
    </row>
    <row r="1952">
      <c r="A1952" s="1"/>
      <c r="B1952" s="14" t="s">
        <v>4685</v>
      </c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"/>
    </row>
    <row r="1953">
      <c r="A1953" s="1"/>
      <c r="B1953" s="4" t="s">
        <v>4689</v>
      </c>
      <c r="D1953" s="9"/>
      <c r="E1953" s="17" t="s">
        <v>14</v>
      </c>
      <c r="F1953" s="28" t="str">
        <f>HYPERLINK("https://youtu.be/w4_KPw0lcrI?t=399",'Players&gt;List'!$B10)</f>
        <v>[CAM]</v>
      </c>
      <c r="G1953" s="1"/>
      <c r="H1953" s="1"/>
      <c r="I1953" s="1"/>
      <c r="J1953" s="1"/>
      <c r="K1953" s="1"/>
      <c r="L1953" s="1"/>
      <c r="M1953" s="1"/>
      <c r="N1953" s="1"/>
    </row>
    <row r="1954">
      <c r="A1954" s="1"/>
      <c r="B1954" s="25" t="s">
        <v>88</v>
      </c>
      <c r="E1954" s="26" t="s">
        <v>90</v>
      </c>
      <c r="F1954" s="1"/>
      <c r="G1954" s="1"/>
      <c r="H1954" s="1"/>
      <c r="I1954" s="1"/>
      <c r="J1954" s="1"/>
      <c r="K1954" s="1"/>
      <c r="L1954" s="1"/>
      <c r="M1954" s="1"/>
      <c r="N1954" s="1"/>
    </row>
    <row r="1955">
      <c r="A1955" s="1"/>
      <c r="B1955" s="14" t="s">
        <v>4696</v>
      </c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"/>
    </row>
    <row r="1956">
      <c r="A1956" s="1"/>
      <c r="B1956" s="4" t="s">
        <v>4700</v>
      </c>
      <c r="D1956" s="9"/>
      <c r="E1956" s="17" t="s">
        <v>14</v>
      </c>
      <c r="F1956" s="28" t="str">
        <f>HYPERLINK("https://youtu.be/w4_KPw0lcrI?t=633",'Players&gt;List'!$B10)</f>
        <v>[CAM]</v>
      </c>
      <c r="G1956" s="1"/>
      <c r="H1956" s="1"/>
      <c r="I1956" s="1"/>
      <c r="J1956" s="1"/>
      <c r="K1956" s="1"/>
      <c r="L1956" s="1"/>
      <c r="M1956" s="1"/>
      <c r="N1956" s="1"/>
    </row>
    <row r="1957">
      <c r="A1957" s="1"/>
      <c r="B1957" s="25" t="s">
        <v>149</v>
      </c>
      <c r="E1957" s="26" t="s">
        <v>90</v>
      </c>
      <c r="F1957" s="1"/>
      <c r="G1957" s="1"/>
      <c r="H1957" s="1"/>
      <c r="I1957" s="1"/>
      <c r="J1957" s="1"/>
      <c r="K1957" s="1"/>
      <c r="L1957" s="1"/>
      <c r="M1957" s="1"/>
      <c r="N1957" s="1"/>
    </row>
    <row r="1958">
      <c r="A1958" s="1"/>
      <c r="B1958" s="25" t="s">
        <v>88</v>
      </c>
      <c r="E1958" s="26" t="s">
        <v>147</v>
      </c>
      <c r="F1958" s="1"/>
      <c r="G1958" s="1"/>
      <c r="H1958" s="1"/>
      <c r="I1958" s="1"/>
      <c r="J1958" s="1"/>
      <c r="K1958" s="1"/>
      <c r="L1958" s="1"/>
      <c r="M1958" s="1"/>
      <c r="N1958" s="1"/>
    </row>
    <row r="1959">
      <c r="A1959" s="1"/>
      <c r="B1959" s="14" t="s">
        <v>4708</v>
      </c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"/>
    </row>
    <row r="1960">
      <c r="A1960" s="1"/>
      <c r="B1960" s="4" t="s">
        <v>4712</v>
      </c>
      <c r="D1960" s="9"/>
      <c r="E1960" s="17" t="s">
        <v>14</v>
      </c>
      <c r="F1960" s="28" t="str">
        <f>HYPERLINK("https://youtu.be/w4_KPw0lcrI?t=935",'Players&gt;List'!$B10)</f>
        <v>[CAM]</v>
      </c>
      <c r="G1960" s="1"/>
      <c r="H1960" s="1"/>
      <c r="I1960" s="1"/>
      <c r="J1960" s="1"/>
      <c r="K1960" s="1"/>
      <c r="L1960" s="1"/>
      <c r="M1960" s="1"/>
      <c r="N1960" s="1"/>
    </row>
    <row r="1961">
      <c r="A1961" s="1"/>
      <c r="B1961" s="25" t="s">
        <v>400</v>
      </c>
      <c r="E1961" s="26" t="s">
        <v>234</v>
      </c>
      <c r="F1961" s="1"/>
      <c r="G1961" s="1"/>
      <c r="H1961" s="1"/>
      <c r="I1961" s="1"/>
      <c r="J1961" s="1"/>
      <c r="K1961" s="1"/>
      <c r="L1961" s="1"/>
      <c r="M1961" s="1"/>
      <c r="N1961" s="1"/>
    </row>
    <row r="1962">
      <c r="A1962" s="1"/>
      <c r="B1962" s="14" t="s">
        <v>4719</v>
      </c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"/>
    </row>
    <row r="1963">
      <c r="A1963" s="1"/>
      <c r="B1963" s="4" t="s">
        <v>4723</v>
      </c>
      <c r="D1963" s="9"/>
      <c r="E1963" s="17" t="s">
        <v>14</v>
      </c>
      <c r="F1963" s="28" t="str">
        <f>HYPERLINK("https://youtu.be/w4_KPw0lcrI?t=1159",'Players&gt;List'!$B10)</f>
        <v>[CAM]</v>
      </c>
      <c r="G1963" s="1"/>
      <c r="H1963" s="1"/>
      <c r="I1963" s="1"/>
      <c r="J1963" s="1"/>
      <c r="K1963" s="1"/>
      <c r="L1963" s="1"/>
      <c r="M1963" s="1"/>
      <c r="N1963" s="1"/>
    </row>
    <row r="1964">
      <c r="A1964" s="1"/>
      <c r="B1964" s="25" t="s">
        <v>88</v>
      </c>
      <c r="E1964" s="26" t="s">
        <v>90</v>
      </c>
      <c r="F1964" s="1"/>
      <c r="G1964" s="1"/>
      <c r="H1964" s="1"/>
      <c r="I1964" s="1"/>
      <c r="J1964" s="1"/>
      <c r="K1964" s="1"/>
      <c r="L1964" s="1"/>
      <c r="M1964" s="1"/>
      <c r="N1964" s="1"/>
    </row>
    <row r="1965">
      <c r="A1965" s="1"/>
      <c r="B1965" s="14" t="s">
        <v>4731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"/>
    </row>
    <row r="1966">
      <c r="A1966" s="1"/>
      <c r="B1966" s="4" t="s">
        <v>4736</v>
      </c>
      <c r="D1966" s="9"/>
      <c r="E1966" s="17" t="s">
        <v>14</v>
      </c>
      <c r="F1966" s="18" t="str">
        <f>HYPERLINK("https://youtu.be/BPf2QMVt1gM?t=27",'Players&gt;List'!$B10)</f>
        <v>[CAM]</v>
      </c>
      <c r="G1966" s="1"/>
      <c r="H1966" s="1"/>
      <c r="I1966" s="1"/>
      <c r="J1966" s="1"/>
      <c r="K1966" s="1"/>
      <c r="L1966" s="1"/>
      <c r="M1966" s="1"/>
      <c r="N1966" s="1"/>
    </row>
    <row r="1967">
      <c r="A1967" s="1"/>
      <c r="B1967" s="25" t="s">
        <v>88</v>
      </c>
      <c r="E1967" s="26" t="s">
        <v>90</v>
      </c>
      <c r="F1967" s="18" t="str">
        <f>HYPERLINK("https://www.youtube.com/watch?v=hWvVo0AzRfA",'Players&gt;List'!$B28)</f>
        <v>[SUN]</v>
      </c>
      <c r="G1967" s="1"/>
      <c r="H1967" s="1"/>
      <c r="I1967" s="1"/>
      <c r="J1967" s="1"/>
      <c r="K1967" s="1"/>
      <c r="L1967" s="1"/>
      <c r="M1967" s="1"/>
      <c r="N1967" s="1"/>
    </row>
    <row r="1968">
      <c r="A1968" s="1"/>
      <c r="B1968" s="14" t="s">
        <v>4747</v>
      </c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"/>
    </row>
    <row r="1969">
      <c r="A1969" s="1"/>
      <c r="B1969" s="4" t="s">
        <v>4751</v>
      </c>
      <c r="D1969" s="9"/>
      <c r="E1969" s="17" t="s">
        <v>14</v>
      </c>
      <c r="F1969" s="18" t="str">
        <f>HYPERLINK("https://youtu.be/BPf2QMVt1gM?t=93",'Players&gt;List'!$B10)</f>
        <v>[CAM]</v>
      </c>
      <c r="G1969" s="1"/>
      <c r="H1969" s="1"/>
      <c r="I1969" s="1"/>
      <c r="J1969" s="1"/>
      <c r="K1969" s="1"/>
      <c r="L1969" s="1"/>
      <c r="M1969" s="1"/>
      <c r="N1969" s="1"/>
    </row>
    <row r="1970">
      <c r="A1970" s="1"/>
      <c r="B1970" s="25" t="s">
        <v>117</v>
      </c>
      <c r="E1970" s="26" t="s">
        <v>110</v>
      </c>
      <c r="F1970" s="18" t="str">
        <f>HYPERLINK("https://www.youtube.com/watch?v=Yoo-_FR1Ldo",'Players&gt;List'!$B32)</f>
        <v>[XEL]</v>
      </c>
      <c r="G1970" s="1"/>
      <c r="H1970" s="1"/>
      <c r="I1970" s="1"/>
      <c r="J1970" s="1"/>
      <c r="K1970" s="1"/>
      <c r="L1970" s="1"/>
      <c r="M1970" s="1"/>
      <c r="N1970" s="1"/>
    </row>
    <row r="1971">
      <c r="A1971" s="1"/>
      <c r="B1971" s="25" t="s">
        <v>88</v>
      </c>
      <c r="E1971" s="26" t="s">
        <v>147</v>
      </c>
      <c r="F1971" s="1"/>
      <c r="G1971" s="1"/>
      <c r="H1971" s="1"/>
      <c r="I1971" s="1"/>
      <c r="J1971" s="1"/>
      <c r="K1971" s="1"/>
      <c r="L1971" s="1"/>
      <c r="M1971" s="1"/>
      <c r="N1971" s="1"/>
    </row>
    <row r="1972">
      <c r="A1972" s="1"/>
      <c r="B1972" s="25" t="s">
        <v>149</v>
      </c>
      <c r="E1972" s="26" t="s">
        <v>147</v>
      </c>
      <c r="F1972" s="1"/>
      <c r="G1972" s="1"/>
      <c r="H1972" s="1"/>
      <c r="I1972" s="1"/>
      <c r="J1972" s="1"/>
      <c r="K1972" s="1"/>
      <c r="L1972" s="1"/>
      <c r="M1972" s="1"/>
      <c r="N1972" s="1"/>
    </row>
    <row r="1973">
      <c r="A1973" s="1"/>
      <c r="B1973" s="14" t="s">
        <v>4768</v>
      </c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"/>
    </row>
    <row r="1974">
      <c r="A1974" s="1"/>
      <c r="B1974" s="4" t="s">
        <v>4772</v>
      </c>
      <c r="D1974" s="9"/>
      <c r="E1974" s="17" t="s">
        <v>14</v>
      </c>
      <c r="F1974" s="18" t="str">
        <f>HYPERLINK("https://youtu.be/BPf2QMVt1gM?t=129",'Players&gt;List'!$B10)</f>
        <v>[CAM]</v>
      </c>
      <c r="G1974" s="1"/>
      <c r="H1974" s="1"/>
      <c r="I1974" s="1"/>
      <c r="J1974" s="1"/>
      <c r="K1974" s="1"/>
      <c r="L1974" s="1"/>
      <c r="M1974" s="1"/>
      <c r="N1974" s="1"/>
    </row>
    <row r="1975">
      <c r="A1975" s="1"/>
      <c r="B1975" s="25" t="s">
        <v>131</v>
      </c>
      <c r="E1975" s="26" t="s">
        <v>110</v>
      </c>
      <c r="F1975" s="28" t="str">
        <f>HYPERLINK("https://www.twitch.tv/videos/283887216",'Players&gt;List'!$B24)</f>
        <v>[NIM]</v>
      </c>
      <c r="G1975" s="1"/>
      <c r="H1975" s="1"/>
      <c r="I1975" s="1"/>
      <c r="J1975" s="1"/>
      <c r="K1975" s="1"/>
      <c r="L1975" s="1"/>
      <c r="M1975" s="1"/>
      <c r="N1975" s="1"/>
    </row>
    <row r="1976">
      <c r="A1976" s="1"/>
      <c r="B1976" s="14" t="s">
        <v>4787</v>
      </c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"/>
    </row>
    <row r="1977">
      <c r="A1977" s="1"/>
      <c r="B1977" s="4" t="s">
        <v>4793</v>
      </c>
      <c r="D1977" s="9"/>
      <c r="E1977" s="17" t="s">
        <v>14</v>
      </c>
      <c r="F1977" s="18" t="str">
        <f>HYPERLINK("https://youtu.be/BPf2QMVt1gM?t=423",'Players&gt;List'!$B10)</f>
        <v>[CAM]</v>
      </c>
      <c r="G1977" s="1"/>
      <c r="H1977" s="1"/>
      <c r="I1977" s="1"/>
      <c r="J1977" s="1"/>
      <c r="K1977" s="1"/>
      <c r="L1977" s="1"/>
      <c r="M1977" s="1"/>
      <c r="N1977" s="1"/>
    </row>
    <row r="1978">
      <c r="A1978" s="1"/>
      <c r="B1978" s="25" t="s">
        <v>197</v>
      </c>
      <c r="E1978" s="26" t="s">
        <v>90</v>
      </c>
      <c r="F1978" s="1"/>
      <c r="G1978" s="1"/>
      <c r="H1978" s="1"/>
      <c r="I1978" s="1"/>
      <c r="J1978" s="1"/>
      <c r="K1978" s="1"/>
      <c r="L1978" s="1"/>
      <c r="M1978" s="1"/>
      <c r="N1978" s="1"/>
    </row>
    <row r="1979">
      <c r="A1979" s="1"/>
      <c r="B1979" s="25" t="s">
        <v>88</v>
      </c>
      <c r="E1979" s="26" t="s">
        <v>147</v>
      </c>
      <c r="F1979" s="1"/>
      <c r="G1979" s="1"/>
      <c r="H1979" s="1"/>
      <c r="I1979" s="1"/>
      <c r="J1979" s="1"/>
      <c r="K1979" s="1"/>
      <c r="L1979" s="1"/>
      <c r="M1979" s="1"/>
      <c r="N1979" s="1"/>
    </row>
    <row r="1980">
      <c r="A1980" s="1"/>
      <c r="B1980" s="14" t="s">
        <v>4802</v>
      </c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"/>
    </row>
    <row r="1981">
      <c r="A1981" s="1"/>
      <c r="B1981" s="4" t="s">
        <v>4808</v>
      </c>
      <c r="D1981" s="9"/>
      <c r="E1981" s="17" t="s">
        <v>14</v>
      </c>
      <c r="F1981" s="18" t="str">
        <f>HYPERLINK("https://youtu.be/BPf2QMVt1gM?t=659",'Players&gt;List'!$B10)</f>
        <v>[CAM]</v>
      </c>
      <c r="G1981" s="1"/>
      <c r="H1981" s="1"/>
      <c r="I1981" s="1"/>
      <c r="J1981" s="1"/>
      <c r="K1981" s="1"/>
      <c r="L1981" s="1"/>
      <c r="M1981" s="1"/>
      <c r="N1981" s="1"/>
    </row>
    <row r="1982">
      <c r="A1982" s="1"/>
      <c r="B1982" s="25" t="s">
        <v>457</v>
      </c>
      <c r="E1982" s="26" t="s">
        <v>110</v>
      </c>
      <c r="F1982" s="28" t="str">
        <f>HYPERLINK("https://www.youtube.com/watch?v=RTBoABbnFV8&amp;index=266&amp;list=PLbU6uWaIKemqNvTeRxK-Ay6PRg9iwCKVi&amp;t=0s",'Players&gt;List'!$B19)</f>
        <v>[HIT]</v>
      </c>
      <c r="G1982" s="1"/>
      <c r="H1982" s="1"/>
      <c r="I1982" s="1"/>
      <c r="J1982" s="1"/>
      <c r="K1982" s="1"/>
      <c r="L1982" s="1"/>
      <c r="M1982" s="1"/>
      <c r="N1982" s="1"/>
    </row>
    <row r="1983">
      <c r="A1983" s="1"/>
      <c r="B1983" s="25" t="s">
        <v>335</v>
      </c>
      <c r="E1983" s="26" t="s">
        <v>147</v>
      </c>
      <c r="F1983" s="1"/>
      <c r="G1983" s="1"/>
      <c r="H1983" s="1"/>
      <c r="I1983" s="1"/>
      <c r="J1983" s="1"/>
      <c r="K1983" s="1"/>
      <c r="L1983" s="1"/>
      <c r="M1983" s="1"/>
      <c r="N1983" s="1"/>
    </row>
    <row r="1984">
      <c r="A1984" s="1"/>
      <c r="B1984" s="25" t="s">
        <v>88</v>
      </c>
      <c r="E1984" s="26" t="s">
        <v>147</v>
      </c>
      <c r="F1984" s="1"/>
      <c r="G1984" s="1"/>
      <c r="H1984" s="1"/>
      <c r="I1984" s="1"/>
      <c r="J1984" s="1"/>
      <c r="K1984" s="1"/>
      <c r="L1984" s="1"/>
      <c r="M1984" s="1"/>
      <c r="N1984" s="1"/>
    </row>
    <row r="1985">
      <c r="A1985" s="1"/>
      <c r="B1985" s="14" t="s">
        <v>4821</v>
      </c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"/>
    </row>
    <row r="1986">
      <c r="A1986" s="1"/>
      <c r="B1986" s="4" t="s">
        <v>4824</v>
      </c>
      <c r="D1986" s="9"/>
      <c r="E1986" s="17" t="s">
        <v>14</v>
      </c>
      <c r="F1986" s="28" t="str">
        <f>HYPERLINK("https://youtu.be/CUlgAGXXqhQ?t=56",'Players&gt;List'!$B10)</f>
        <v>[CAM]</v>
      </c>
      <c r="G1986" s="1"/>
      <c r="H1986" s="1"/>
      <c r="I1986" s="1"/>
      <c r="J1986" s="1"/>
      <c r="K1986" s="1"/>
      <c r="L1986" s="1"/>
      <c r="M1986" s="1"/>
      <c r="N1986" s="1"/>
    </row>
    <row r="1987">
      <c r="A1987" s="1"/>
      <c r="B1987" s="25" t="s">
        <v>117</v>
      </c>
      <c r="E1987" s="26" t="s">
        <v>110</v>
      </c>
      <c r="F1987" s="1"/>
      <c r="G1987" s="1"/>
      <c r="H1987" s="1"/>
      <c r="I1987" s="1"/>
      <c r="J1987" s="1"/>
      <c r="K1987" s="1"/>
      <c r="L1987" s="1"/>
      <c r="M1987" s="1"/>
      <c r="N1987" s="1"/>
    </row>
    <row r="1988">
      <c r="A1988" s="1"/>
      <c r="B1988" s="25" t="s">
        <v>88</v>
      </c>
      <c r="E1988" s="26" t="s">
        <v>147</v>
      </c>
      <c r="F1988" s="1"/>
      <c r="G1988" s="1"/>
      <c r="H1988" s="1"/>
      <c r="I1988" s="1"/>
      <c r="J1988" s="1"/>
      <c r="K1988" s="1"/>
      <c r="L1988" s="1"/>
      <c r="M1988" s="1"/>
      <c r="N1988" s="1"/>
    </row>
    <row r="1989">
      <c r="A1989" s="1"/>
      <c r="B1989" s="14" t="s">
        <v>4830</v>
      </c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"/>
    </row>
    <row r="1990">
      <c r="A1990" s="1"/>
      <c r="B1990" s="4" t="s">
        <v>4832</v>
      </c>
      <c r="D1990" s="9"/>
      <c r="E1990" s="17" t="s">
        <v>14</v>
      </c>
      <c r="F1990" s="28" t="str">
        <f>HYPERLINK("https://youtu.be/CUlgAGXXqhQ?t=265",'Players&gt;List'!$B10)</f>
        <v>[CAM]</v>
      </c>
      <c r="G1990" s="1"/>
      <c r="H1990" s="1"/>
      <c r="I1990" s="1"/>
      <c r="J1990" s="1"/>
      <c r="K1990" s="1"/>
      <c r="L1990" s="1"/>
      <c r="M1990" s="1"/>
      <c r="N1990" s="1"/>
    </row>
    <row r="1991">
      <c r="A1991" s="1"/>
      <c r="B1991" s="25" t="s">
        <v>117</v>
      </c>
      <c r="E1991" s="26" t="s">
        <v>110</v>
      </c>
      <c r="F1991" s="1"/>
      <c r="G1991" s="1"/>
      <c r="H1991" s="1"/>
      <c r="I1991" s="1"/>
      <c r="J1991" s="1"/>
      <c r="K1991" s="1"/>
      <c r="L1991" s="1"/>
      <c r="M1991" s="1"/>
      <c r="N1991" s="1"/>
    </row>
    <row r="1992">
      <c r="A1992" s="1"/>
      <c r="B1992" s="25" t="s">
        <v>157</v>
      </c>
      <c r="E1992" s="26" t="s">
        <v>132</v>
      </c>
      <c r="F1992" s="1"/>
      <c r="G1992" s="1"/>
      <c r="H1992" s="1"/>
      <c r="I1992" s="1"/>
      <c r="J1992" s="1"/>
      <c r="K1992" s="1"/>
      <c r="L1992" s="1"/>
      <c r="M1992" s="1"/>
      <c r="N1992" s="1"/>
    </row>
    <row r="1993">
      <c r="A1993" s="1"/>
      <c r="B1993" s="14" t="s">
        <v>4841</v>
      </c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"/>
    </row>
    <row r="1994">
      <c r="A1994" s="1"/>
      <c r="B1994" s="4" t="s">
        <v>4847</v>
      </c>
      <c r="D1994" s="9"/>
      <c r="E1994" s="17" t="s">
        <v>14</v>
      </c>
      <c r="F1994" s="28" t="str">
        <f>HYPERLINK("https://youtu.be/CUlgAGXXqhQ?t=396",'Players&gt;List'!$B10)</f>
        <v>[CAM]</v>
      </c>
      <c r="G1994" s="1"/>
      <c r="H1994" s="1"/>
      <c r="I1994" s="1"/>
      <c r="J1994" s="1"/>
      <c r="K1994" s="1"/>
      <c r="L1994" s="1"/>
      <c r="M1994" s="1"/>
      <c r="N1994" s="1"/>
    </row>
    <row r="1995">
      <c r="A1995" s="1"/>
      <c r="B1995" s="25" t="s">
        <v>131</v>
      </c>
      <c r="E1995" s="26" t="s">
        <v>110</v>
      </c>
      <c r="F1995" s="1"/>
      <c r="G1995" s="1"/>
      <c r="H1995" s="1"/>
      <c r="I1995" s="1"/>
      <c r="J1995" s="1"/>
      <c r="K1995" s="1"/>
      <c r="L1995" s="1"/>
      <c r="M1995" s="1"/>
      <c r="N1995" s="1"/>
    </row>
    <row r="1996">
      <c r="A1996" s="1"/>
      <c r="B1996" s="14" t="s">
        <v>4854</v>
      </c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"/>
    </row>
    <row r="1997">
      <c r="A1997" s="1"/>
      <c r="B1997" s="4" t="s">
        <v>4857</v>
      </c>
      <c r="D1997" s="9"/>
      <c r="E1997" s="17" t="s">
        <v>14</v>
      </c>
      <c r="F1997" s="28" t="str">
        <f>HYPERLINK("https://youtu.be/CUlgAGXXqhQ?t=441",'Players&gt;List'!$B10)</f>
        <v>[CAM]</v>
      </c>
      <c r="G1997" s="1"/>
      <c r="H1997" s="1"/>
      <c r="I1997" s="1"/>
      <c r="J1997" s="1"/>
      <c r="K1997" s="1"/>
      <c r="L1997" s="1"/>
      <c r="M1997" s="1"/>
      <c r="N1997" s="1"/>
    </row>
    <row r="1998">
      <c r="A1998" s="1"/>
      <c r="B1998" s="25" t="s">
        <v>88</v>
      </c>
      <c r="E1998" s="26" t="s">
        <v>90</v>
      </c>
      <c r="F1998" s="1"/>
      <c r="G1998" s="1"/>
      <c r="H1998" s="1"/>
      <c r="I1998" s="1"/>
      <c r="J1998" s="1"/>
      <c r="K1998" s="1"/>
      <c r="L1998" s="1"/>
      <c r="M1998" s="1"/>
      <c r="N1998" s="1"/>
    </row>
    <row r="1999">
      <c r="A1999" s="1"/>
      <c r="B1999" s="14" t="s">
        <v>4863</v>
      </c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"/>
    </row>
    <row r="2000">
      <c r="A2000" s="1"/>
      <c r="B2000" s="4" t="s">
        <v>4865</v>
      </c>
      <c r="D2000" s="9"/>
      <c r="E2000" s="17" t="s">
        <v>14</v>
      </c>
      <c r="F2000" s="28" t="str">
        <f>HYPERLINK("https://youtu.be/CUlgAGXXqhQ?t=510",'Players&gt;List'!$B10)</f>
        <v>[CAM]</v>
      </c>
      <c r="G2000" s="1"/>
      <c r="H2000" s="1"/>
      <c r="I2000" s="1"/>
      <c r="J2000" s="1"/>
      <c r="K2000" s="1"/>
      <c r="L2000" s="1"/>
      <c r="M2000" s="1"/>
      <c r="N2000" s="1"/>
    </row>
    <row r="2001">
      <c r="A2001" s="1"/>
      <c r="B2001" s="25" t="s">
        <v>88</v>
      </c>
      <c r="E2001" s="26" t="s">
        <v>90</v>
      </c>
      <c r="F2001" s="1"/>
      <c r="G2001" s="1"/>
      <c r="H2001" s="1"/>
      <c r="I2001" s="1"/>
      <c r="J2001" s="1"/>
      <c r="K2001" s="1"/>
      <c r="L2001" s="1"/>
      <c r="M2001" s="1"/>
      <c r="N2001" s="1"/>
    </row>
    <row r="2002">
      <c r="A2002" s="1"/>
      <c r="B2002" s="25" t="s">
        <v>149</v>
      </c>
      <c r="E2002" s="26" t="s">
        <v>147</v>
      </c>
      <c r="F2002" s="1"/>
      <c r="G2002" s="1"/>
      <c r="H2002" s="1"/>
      <c r="I2002" s="1"/>
      <c r="J2002" s="1"/>
      <c r="K2002" s="1"/>
      <c r="L2002" s="1"/>
      <c r="M2002" s="1"/>
      <c r="N2002" s="1"/>
    </row>
    <row r="2003">
      <c r="A2003" s="1"/>
      <c r="B2003" s="25" t="s">
        <v>117</v>
      </c>
      <c r="E2003" s="26" t="s">
        <v>132</v>
      </c>
      <c r="F2003" s="1"/>
      <c r="G2003" s="1"/>
      <c r="H2003" s="1"/>
      <c r="I2003" s="1"/>
      <c r="J2003" s="1"/>
      <c r="K2003" s="1"/>
      <c r="L2003" s="1"/>
      <c r="M2003" s="1"/>
      <c r="N2003" s="1"/>
    </row>
    <row r="2004">
      <c r="A2004" s="1"/>
      <c r="B2004" s="14" t="s">
        <v>4873</v>
      </c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"/>
    </row>
    <row r="2005">
      <c r="A2005" s="1"/>
      <c r="B2005" s="4" t="s">
        <v>4877</v>
      </c>
      <c r="D2005" s="9"/>
      <c r="E2005" s="17" t="s">
        <v>14</v>
      </c>
      <c r="F2005" s="18" t="str">
        <f>HYPERLINK("https://youtu.be/UtK4q9TQNjQ?t=14",'Players&gt;List'!$B10)</f>
        <v>[CAM]</v>
      </c>
      <c r="G2005" s="1"/>
      <c r="H2005" s="1"/>
      <c r="I2005" s="1"/>
      <c r="J2005" s="1"/>
      <c r="K2005" s="1"/>
      <c r="L2005" s="1"/>
      <c r="M2005" s="1"/>
      <c r="N2005" s="1"/>
    </row>
    <row r="2006">
      <c r="A2006" s="1"/>
      <c r="B2006" s="25" t="s">
        <v>649</v>
      </c>
      <c r="E2006" s="26" t="s">
        <v>90</v>
      </c>
      <c r="F2006" s="1"/>
      <c r="G2006" s="1"/>
      <c r="H2006" s="1"/>
      <c r="I2006" s="1"/>
      <c r="J2006" s="1"/>
      <c r="K2006" s="1"/>
      <c r="L2006" s="1"/>
      <c r="M2006" s="1"/>
      <c r="N2006" s="1"/>
    </row>
    <row r="2007">
      <c r="A2007" s="1"/>
      <c r="B2007" s="14" t="s">
        <v>4885</v>
      </c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"/>
    </row>
    <row r="2008">
      <c r="A2008" s="1"/>
      <c r="B2008" s="4" t="s">
        <v>4890</v>
      </c>
      <c r="D2008" s="9"/>
      <c r="E2008" s="17" t="s">
        <v>14</v>
      </c>
      <c r="F2008" s="18" t="str">
        <f>HYPERLINK("https://youtu.be/UtK4q9TQNjQ?t=77",'Players&gt;List'!$B10)</f>
        <v>[CAM]</v>
      </c>
      <c r="G2008" s="1"/>
      <c r="H2008" s="1"/>
      <c r="I2008" s="1"/>
      <c r="J2008" s="1"/>
      <c r="K2008" s="1"/>
      <c r="L2008" s="1"/>
      <c r="M2008" s="1"/>
      <c r="N2008" s="1"/>
    </row>
    <row r="2009">
      <c r="A2009" s="1"/>
      <c r="B2009" s="25" t="s">
        <v>108</v>
      </c>
      <c r="E2009" s="26" t="s">
        <v>110</v>
      </c>
      <c r="F2009" s="1"/>
      <c r="G2009" s="1"/>
      <c r="H2009" s="1"/>
      <c r="I2009" s="1"/>
      <c r="J2009" s="1"/>
      <c r="K2009" s="1"/>
      <c r="L2009" s="1"/>
      <c r="M2009" s="1"/>
      <c r="N2009" s="1"/>
    </row>
    <row r="2010">
      <c r="A2010" s="1"/>
      <c r="B2010" s="14" t="s">
        <v>4900</v>
      </c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"/>
    </row>
    <row r="2011">
      <c r="A2011" s="1"/>
      <c r="B2011" s="4" t="s">
        <v>4904</v>
      </c>
      <c r="D2011" s="9"/>
      <c r="E2011" s="17" t="s">
        <v>14</v>
      </c>
      <c r="F2011" s="18" t="str">
        <f>HYPERLINK("https://youtu.be/UtK4q9TQNjQ?t=189",'Players&gt;List'!$B10)</f>
        <v>[CAM]</v>
      </c>
      <c r="G2011" s="1"/>
      <c r="H2011" s="1"/>
      <c r="I2011" s="1"/>
      <c r="J2011" s="1"/>
      <c r="K2011" s="1"/>
      <c r="L2011" s="1"/>
      <c r="M2011" s="1"/>
      <c r="N2011" s="1"/>
    </row>
    <row r="2012">
      <c r="A2012" s="1"/>
      <c r="B2012" s="25" t="s">
        <v>88</v>
      </c>
      <c r="E2012" s="26" t="s">
        <v>90</v>
      </c>
      <c r="F2012" s="1"/>
      <c r="G2012" s="1"/>
      <c r="H2012" s="1"/>
      <c r="I2012" s="1"/>
      <c r="J2012" s="1"/>
      <c r="K2012" s="1"/>
      <c r="L2012" s="1"/>
      <c r="M2012" s="1"/>
      <c r="N2012" s="1"/>
    </row>
    <row r="2013">
      <c r="A2013" s="1"/>
      <c r="B2013" s="14" t="s">
        <v>4910</v>
      </c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"/>
    </row>
    <row r="2014">
      <c r="A2014" s="1"/>
      <c r="B2014" s="4" t="s">
        <v>4913</v>
      </c>
      <c r="D2014" s="9"/>
      <c r="E2014" s="17" t="s">
        <v>14</v>
      </c>
      <c r="F2014" s="18" t="str">
        <f>HYPERLINK("https://youtu.be/UtK4q9TQNjQ?t=339",'Players&gt;List'!$B10)</f>
        <v>[CAM]</v>
      </c>
      <c r="G2014" s="1"/>
      <c r="H2014" s="1"/>
      <c r="I2014" s="1"/>
      <c r="J2014" s="1"/>
      <c r="K2014" s="1"/>
      <c r="L2014" s="1"/>
      <c r="M2014" s="1"/>
      <c r="N2014" s="1"/>
    </row>
    <row r="2015">
      <c r="A2015" s="1"/>
      <c r="B2015" s="25" t="s">
        <v>108</v>
      </c>
      <c r="E2015" s="26" t="s">
        <v>110</v>
      </c>
      <c r="F2015" s="1"/>
      <c r="G2015" s="1"/>
      <c r="H2015" s="1"/>
      <c r="I2015" s="1"/>
      <c r="J2015" s="1"/>
      <c r="K2015" s="1"/>
      <c r="L2015" s="1"/>
      <c r="M2015" s="1"/>
      <c r="N2015" s="1"/>
    </row>
    <row r="2016">
      <c r="A2016" s="1"/>
      <c r="B2016" s="14" t="s">
        <v>4917</v>
      </c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"/>
    </row>
    <row r="2017">
      <c r="A2017" s="1"/>
      <c r="B2017" s="4" t="s">
        <v>4920</v>
      </c>
      <c r="D2017" s="9"/>
      <c r="E2017" s="17" t="s">
        <v>14</v>
      </c>
      <c r="F2017" s="18" t="str">
        <f>HYPERLINK("https://youtu.be/UtK4q9TQNjQ?t=509",'Players&gt;List'!$B10)</f>
        <v>[CAM]</v>
      </c>
      <c r="G2017" s="1"/>
      <c r="H2017" s="1"/>
      <c r="I2017" s="1"/>
      <c r="J2017" s="1"/>
      <c r="K2017" s="1"/>
      <c r="L2017" s="1"/>
      <c r="M2017" s="1"/>
      <c r="N2017" s="1"/>
    </row>
    <row r="2018">
      <c r="A2018" s="1"/>
      <c r="B2018" s="25" t="s">
        <v>117</v>
      </c>
      <c r="E2018" s="26" t="s">
        <v>110</v>
      </c>
      <c r="F2018" s="1"/>
      <c r="G2018" s="1"/>
      <c r="H2018" s="1"/>
      <c r="I2018" s="1"/>
      <c r="J2018" s="1"/>
      <c r="K2018" s="1"/>
      <c r="L2018" s="1"/>
      <c r="M2018" s="1"/>
      <c r="N2018" s="1"/>
    </row>
    <row r="2019">
      <c r="A2019" s="1"/>
      <c r="B2019" s="14" t="s">
        <v>4924</v>
      </c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"/>
    </row>
    <row r="2020">
      <c r="A2020" s="1"/>
      <c r="B2020" s="4" t="s">
        <v>4926</v>
      </c>
      <c r="D2020" s="9"/>
      <c r="E2020" s="17" t="s">
        <v>14</v>
      </c>
      <c r="F2020" s="18" t="str">
        <f>HYPERLINK("https://youtu.be/fMPACTZaw2s?t=17",'Players&gt;List'!$B10)</f>
        <v>[CAM]</v>
      </c>
      <c r="G2020" s="1"/>
      <c r="H2020" s="1"/>
      <c r="I2020" s="1"/>
      <c r="J2020" s="1"/>
      <c r="K2020" s="1"/>
      <c r="L2020" s="1"/>
      <c r="M2020" s="1"/>
      <c r="N2020" s="1"/>
    </row>
    <row r="2021">
      <c r="A2021" s="1"/>
      <c r="B2021" s="25" t="s">
        <v>88</v>
      </c>
      <c r="E2021" s="26" t="s">
        <v>90</v>
      </c>
      <c r="F2021" s="1"/>
      <c r="G2021" s="1"/>
      <c r="H2021" s="1"/>
      <c r="I2021" s="1"/>
      <c r="J2021" s="1"/>
      <c r="K2021" s="1"/>
      <c r="L2021" s="1"/>
      <c r="M2021" s="1"/>
      <c r="N2021" s="1"/>
    </row>
    <row r="2022">
      <c r="A2022" s="1"/>
      <c r="B2022" s="14" t="s">
        <v>4930</v>
      </c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"/>
    </row>
    <row r="2023">
      <c r="A2023" s="1"/>
      <c r="B2023" s="4" t="s">
        <v>4933</v>
      </c>
      <c r="D2023" s="9"/>
      <c r="E2023" s="17" t="s">
        <v>14</v>
      </c>
      <c r="F2023" s="18" t="str">
        <f>HYPERLINK("https://youtu.be/fMPACTZaw2s?t=483",'Players&gt;List'!$B10)</f>
        <v>[CAM]</v>
      </c>
      <c r="G2023" s="1"/>
      <c r="H2023" s="1"/>
      <c r="I2023" s="1"/>
      <c r="J2023" s="1"/>
      <c r="K2023" s="1"/>
      <c r="L2023" s="1"/>
      <c r="M2023" s="1"/>
      <c r="N2023" s="1"/>
    </row>
    <row r="2024">
      <c r="A2024" s="1"/>
      <c r="B2024" s="25" t="s">
        <v>149</v>
      </c>
      <c r="E2024" s="26" t="s">
        <v>90</v>
      </c>
      <c r="F2024" s="28" t="str">
        <f>HYPERLINK("https://www.youtube.com/watch?v=HgU-AZnJFpA&amp;index=223&amp;t=0s&amp;list=PLbU6uWaIKemqNvTeRxK-Ay6PRg9iwCKVi",'Players&gt;List'!$B19)</f>
        <v>[HIT]</v>
      </c>
      <c r="G2024" s="1"/>
      <c r="H2024" s="1"/>
      <c r="I2024" s="1"/>
      <c r="J2024" s="1"/>
      <c r="K2024" s="1"/>
      <c r="L2024" s="1"/>
      <c r="M2024" s="1"/>
      <c r="N2024" s="1"/>
    </row>
    <row r="2025">
      <c r="A2025" s="1"/>
      <c r="B2025" s="14" t="s">
        <v>4936</v>
      </c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"/>
    </row>
    <row r="2026">
      <c r="A2026" s="1"/>
      <c r="B2026" s="4" t="s">
        <v>4939</v>
      </c>
      <c r="D2026" s="9"/>
      <c r="E2026" s="17" t="s">
        <v>14</v>
      </c>
      <c r="F2026" s="18" t="str">
        <f>HYPERLINK("https://youtu.be/fMPACTZaw2s?t=594",'Players&gt;List'!$B10)</f>
        <v>[CAM]</v>
      </c>
      <c r="G2026" s="1"/>
      <c r="H2026" s="1"/>
      <c r="I2026" s="1"/>
      <c r="J2026" s="1"/>
      <c r="K2026" s="1"/>
      <c r="L2026" s="1"/>
      <c r="M2026" s="1"/>
      <c r="N2026" s="1"/>
    </row>
    <row r="2027">
      <c r="A2027" s="1"/>
      <c r="B2027" s="25" t="s">
        <v>88</v>
      </c>
      <c r="E2027" s="26" t="s">
        <v>90</v>
      </c>
      <c r="F2027" s="28" t="str">
        <f>HYPERLINK("https://www.youtube.com/watch?v=dRXo_mG6Wks",'Players&gt;List'!$B18)</f>
        <v>[HGB]</v>
      </c>
      <c r="G2027" s="1"/>
      <c r="H2027" s="1"/>
      <c r="I2027" s="1"/>
      <c r="J2027" s="1"/>
      <c r="K2027" s="1"/>
      <c r="L2027" s="1"/>
      <c r="M2027" s="1"/>
      <c r="N2027" s="1"/>
    </row>
    <row r="2028">
      <c r="A2028" s="1"/>
      <c r="B2028" s="14" t="s">
        <v>4945</v>
      </c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"/>
    </row>
    <row r="2029">
      <c r="A2029" s="1"/>
      <c r="B2029" s="4" t="s">
        <v>4948</v>
      </c>
      <c r="D2029" s="9"/>
      <c r="E2029" s="17" t="s">
        <v>14</v>
      </c>
      <c r="F2029" s="18" t="str">
        <f>HYPERLINK("https://youtu.be/fMPACTZaw2s?t=718",'Players&gt;List'!$B10)</f>
        <v>[CAM]</v>
      </c>
      <c r="G2029" s="1"/>
      <c r="H2029" s="1"/>
      <c r="I2029" s="1"/>
      <c r="J2029" s="1"/>
      <c r="K2029" s="1"/>
      <c r="L2029" s="1"/>
      <c r="M2029" s="1"/>
      <c r="N2029" s="1"/>
    </row>
    <row r="2030">
      <c r="A2030" s="1"/>
      <c r="B2030" s="25" t="s">
        <v>88</v>
      </c>
      <c r="E2030" s="26" t="s">
        <v>90</v>
      </c>
      <c r="F2030" s="1"/>
      <c r="G2030" s="1"/>
      <c r="H2030" s="1"/>
      <c r="I2030" s="1"/>
      <c r="J2030" s="1"/>
      <c r="K2030" s="1"/>
      <c r="L2030" s="1"/>
      <c r="M2030" s="1"/>
      <c r="N2030" s="1"/>
    </row>
    <row r="2031">
      <c r="A2031" s="1"/>
      <c r="B2031" s="14" t="s">
        <v>4951</v>
      </c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"/>
    </row>
    <row r="2032">
      <c r="A2032" s="1"/>
      <c r="B2032" s="4" t="s">
        <v>4953</v>
      </c>
      <c r="D2032" s="9"/>
      <c r="E2032" s="17" t="s">
        <v>14</v>
      </c>
      <c r="F2032" s="18" t="str">
        <f>HYPERLINK("https://youtu.be/fMPACTZaw2s?t=985",'Players&gt;List'!$B10)</f>
        <v>[CAM]</v>
      </c>
      <c r="G2032" s="1"/>
      <c r="H2032" s="1"/>
      <c r="I2032" s="1"/>
      <c r="J2032" s="1"/>
      <c r="K2032" s="1"/>
      <c r="L2032" s="1"/>
      <c r="M2032" s="1"/>
      <c r="N2032" s="1"/>
    </row>
    <row r="2033">
      <c r="A2033" s="1"/>
      <c r="B2033" s="25" t="s">
        <v>88</v>
      </c>
      <c r="E2033" s="26" t="s">
        <v>90</v>
      </c>
      <c r="F2033" s="1"/>
      <c r="G2033" s="1"/>
      <c r="H2033" s="1"/>
      <c r="I2033" s="1"/>
      <c r="J2033" s="1"/>
      <c r="K2033" s="1"/>
      <c r="L2033" s="1"/>
      <c r="M2033" s="1"/>
      <c r="N2033" s="1"/>
    </row>
    <row r="2034">
      <c r="A2034" s="1"/>
      <c r="B2034" s="14" t="s">
        <v>4958</v>
      </c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"/>
    </row>
    <row r="2035">
      <c r="A2035" s="1"/>
      <c r="B2035" s="4" t="s">
        <v>4961</v>
      </c>
      <c r="D2035" s="9"/>
      <c r="E2035" s="17" t="s">
        <v>14</v>
      </c>
      <c r="F2035" s="18" t="str">
        <f>HYPERLINK("https://youtu.be/owbKMxFVtyU?list=PLf8rtzNQgkdDNyWJRPQUfB7PZ3nBUcI4_&amp;t=566",'Players&gt;List'!$B10)</f>
        <v>[CAM]</v>
      </c>
      <c r="G2035" s="1"/>
      <c r="H2035" s="1"/>
      <c r="I2035" s="1"/>
      <c r="J2035" s="1"/>
      <c r="K2035" s="1"/>
      <c r="L2035" s="1"/>
      <c r="M2035" s="1"/>
      <c r="N2035" s="1"/>
    </row>
    <row r="2036">
      <c r="A2036" s="1"/>
      <c r="B2036" s="25" t="s">
        <v>502</v>
      </c>
      <c r="E2036" s="26" t="s">
        <v>234</v>
      </c>
      <c r="F2036" s="28" t="str">
        <f>HYPERLINK("https://youtu.be/14bNgHVKxlM",'Players&gt;List'!$B15)</f>
        <v>[FNY]</v>
      </c>
      <c r="G2036" s="1"/>
      <c r="H2036" s="1"/>
      <c r="I2036" s="1"/>
      <c r="J2036" s="1"/>
      <c r="K2036" s="1"/>
      <c r="L2036" s="1"/>
      <c r="M2036" s="1"/>
      <c r="N2036" s="1"/>
    </row>
    <row r="2037">
      <c r="A2037" s="1"/>
      <c r="B2037" s="25" t="s">
        <v>88</v>
      </c>
      <c r="E2037" s="26" t="s">
        <v>147</v>
      </c>
      <c r="F2037" s="1"/>
      <c r="G2037" s="1"/>
      <c r="H2037" s="1"/>
      <c r="I2037" s="1"/>
      <c r="J2037" s="1"/>
      <c r="K2037" s="1"/>
      <c r="L2037" s="1"/>
      <c r="M2037" s="1"/>
      <c r="N2037" s="1"/>
    </row>
    <row r="2038">
      <c r="A2038" s="1"/>
      <c r="B2038" s="25" t="s">
        <v>117</v>
      </c>
      <c r="E2038" s="26" t="s">
        <v>132</v>
      </c>
      <c r="F2038" s="1"/>
      <c r="G2038" s="1"/>
      <c r="H2038" s="1"/>
      <c r="I2038" s="1"/>
      <c r="J2038" s="1"/>
      <c r="K2038" s="1"/>
      <c r="L2038" s="1"/>
      <c r="M2038" s="1"/>
      <c r="N2038" s="1"/>
    </row>
    <row r="2039">
      <c r="A2039" s="1"/>
      <c r="B2039" s="25" t="s">
        <v>649</v>
      </c>
      <c r="E2039" s="26" t="s">
        <v>147</v>
      </c>
      <c r="F2039" s="1"/>
      <c r="G2039" s="1"/>
      <c r="H2039" s="1"/>
      <c r="I2039" s="1"/>
      <c r="J2039" s="1"/>
      <c r="K2039" s="1"/>
      <c r="L2039" s="1"/>
      <c r="M2039" s="1"/>
      <c r="N2039" s="1"/>
    </row>
    <row r="2040">
      <c r="A2040" s="1"/>
      <c r="B2040" s="25" t="s">
        <v>2557</v>
      </c>
      <c r="E2040" s="26" t="s">
        <v>2185</v>
      </c>
      <c r="F2040" s="28" t="str">
        <f>HYPERLINK("https://www.youtube.com/watch?v=gBwgjUcjKPE&amp;t=0s&amp;list=PLbU6uWaIKemqNvTeRxK-Ay6PRg9iwCKVi&amp;index=74",'Players&gt;List'!$B19)</f>
        <v>[HIT]</v>
      </c>
      <c r="G2040" s="1"/>
      <c r="H2040" s="1"/>
      <c r="I2040" s="1"/>
      <c r="J2040" s="1"/>
      <c r="K2040" s="1"/>
      <c r="L2040" s="1"/>
      <c r="M2040" s="1"/>
      <c r="N2040" s="1"/>
    </row>
    <row r="2041">
      <c r="A2041" s="1"/>
      <c r="B2041" s="25" t="s">
        <v>2171</v>
      </c>
      <c r="E2041" s="26" t="s">
        <v>1418</v>
      </c>
      <c r="F2041" s="1"/>
      <c r="G2041" s="1"/>
      <c r="H2041" s="1"/>
      <c r="I2041" s="1"/>
      <c r="J2041" s="1"/>
      <c r="K2041" s="1"/>
      <c r="L2041" s="1"/>
      <c r="M2041" s="1"/>
      <c r="N2041" s="1"/>
    </row>
    <row r="2042">
      <c r="A2042" s="1"/>
      <c r="B2042" s="14" t="s">
        <v>4974</v>
      </c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"/>
    </row>
    <row r="2043">
      <c r="A2043" s="1"/>
      <c r="B2043" s="4" t="s">
        <v>4977</v>
      </c>
      <c r="D2043" s="9"/>
      <c r="E2043" s="17" t="s">
        <v>14</v>
      </c>
      <c r="F2043" s="18" t="str">
        <f>HYPERLINK("https://youtu.be/owbKMxFVtyU?list=PLf8rtzNQgkdDNyWJRPQUfB7PZ3nBUcI4_&amp;t=640",'Players&gt;List'!$B10)</f>
        <v>[CAM]</v>
      </c>
      <c r="G2043" s="1"/>
      <c r="H2043" s="1"/>
      <c r="I2043" s="1"/>
      <c r="J2043" s="1"/>
      <c r="K2043" s="1"/>
      <c r="L2043" s="1"/>
      <c r="M2043" s="1"/>
      <c r="N2043" s="1"/>
    </row>
    <row r="2044">
      <c r="A2044" s="1"/>
      <c r="B2044" s="25" t="s">
        <v>117</v>
      </c>
      <c r="E2044" s="26" t="s">
        <v>110</v>
      </c>
      <c r="F2044" s="1"/>
      <c r="G2044" s="1"/>
      <c r="H2044" s="1"/>
      <c r="I2044" s="1"/>
      <c r="J2044" s="1"/>
      <c r="K2044" s="1"/>
      <c r="L2044" s="1"/>
      <c r="M2044" s="1"/>
      <c r="N2044" s="1"/>
    </row>
    <row r="2045">
      <c r="A2045" s="1"/>
      <c r="B2045" s="14" t="s">
        <v>4981</v>
      </c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"/>
    </row>
    <row r="2046">
      <c r="A2046" s="1"/>
      <c r="B2046" s="4" t="s">
        <v>4983</v>
      </c>
      <c r="D2046" s="9"/>
      <c r="E2046" s="17" t="s">
        <v>14</v>
      </c>
      <c r="F2046" s="1"/>
      <c r="G2046" s="1"/>
      <c r="H2046" s="1"/>
      <c r="I2046" s="1"/>
      <c r="J2046" s="1"/>
      <c r="K2046" s="1"/>
      <c r="L2046" s="1"/>
      <c r="M2046" s="1"/>
      <c r="N2046" s="1"/>
    </row>
    <row r="2047">
      <c r="A2047" s="1"/>
      <c r="B2047" s="25" t="s">
        <v>117</v>
      </c>
      <c r="E2047" s="26" t="s">
        <v>110</v>
      </c>
      <c r="F2047" s="28" t="str">
        <f>HYPERLINK("https://youtu.be/kDyFzdZnzzQ",'Players&gt;List'!$B15)</f>
        <v>[FNY]</v>
      </c>
      <c r="G2047" s="1"/>
      <c r="H2047" s="1"/>
      <c r="I2047" s="1"/>
      <c r="J2047" s="1"/>
      <c r="K2047" s="1"/>
      <c r="L2047" s="1"/>
      <c r="M2047" s="1"/>
      <c r="N2047" s="1"/>
    </row>
    <row r="2048">
      <c r="A2048" s="1"/>
      <c r="B2048" s="25" t="s">
        <v>157</v>
      </c>
      <c r="E2048" s="26" t="s">
        <v>132</v>
      </c>
      <c r="F2048" s="18" t="str">
        <f>HYPERLINK("https://youtu.be/owbKMxFVtyU?list=PLf8rtzNQgkdDNyWJRPQUfB7PZ3nBUcI4_&amp;t=769",'Players&gt;List'!$B10)</f>
        <v>[CAM]</v>
      </c>
      <c r="G2048" s="1"/>
      <c r="H2048" s="1"/>
      <c r="I2048" s="1"/>
      <c r="J2048" s="1"/>
      <c r="K2048" s="1"/>
      <c r="L2048" s="1"/>
      <c r="M2048" s="1"/>
      <c r="N2048" s="1"/>
    </row>
    <row r="2049">
      <c r="A2049" s="1"/>
      <c r="B2049" s="14" t="s">
        <v>4984</v>
      </c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"/>
    </row>
    <row r="2050">
      <c r="A2050" s="1"/>
      <c r="B2050" s="4" t="s">
        <v>4985</v>
      </c>
      <c r="D2050" s="9"/>
      <c r="E2050" s="17" t="s">
        <v>14</v>
      </c>
      <c r="F2050" s="28" t="str">
        <f>HYPERLINK("https://www.youtube.com/watch?v=Pp0sIyN90bE&amp;t=0s&amp;list=PLbU6uWaIKemqNvTeRxK-Ay6PRg9iwCKVi&amp;index=75",'Players&gt;List'!$B19)</f>
        <v>[HIT]</v>
      </c>
      <c r="G2050" s="18" t="str">
        <f>HYPERLINK("https://youtu.be/owbKMxFVtyU?list=PLf8rtzNQgkdDNyWJRPQUfB7PZ3nBUcI4_&amp;t=1140",'Players&gt;List'!$B10)</f>
        <v>[CAM]</v>
      </c>
      <c r="H2050" s="18" t="str">
        <f>HYPERLINK("https://www.youtube.com/watch?v=JD46M30cEio",'Players&gt;List'!$B28)</f>
        <v>[SUN]</v>
      </c>
      <c r="I2050" s="1"/>
      <c r="J2050" s="1"/>
      <c r="K2050" s="1"/>
      <c r="L2050" s="1"/>
      <c r="M2050" s="1"/>
      <c r="N2050" s="1"/>
    </row>
    <row r="2051">
      <c r="A2051" s="1"/>
      <c r="B2051" s="25" t="s">
        <v>88</v>
      </c>
      <c r="E2051" s="26" t="s">
        <v>90</v>
      </c>
      <c r="F2051" s="18" t="str">
        <f>HYPERLINK("https://www.youtube.com/watch?v=p9UfLaJDgqs",'Players&gt;List'!$B28)</f>
        <v>[SUN]</v>
      </c>
      <c r="G2051" s="1"/>
      <c r="H2051" s="1"/>
      <c r="I2051" s="1"/>
      <c r="J2051" s="1"/>
      <c r="K2051" s="1"/>
      <c r="L2051" s="1"/>
      <c r="M2051" s="1"/>
      <c r="N2051" s="1"/>
    </row>
    <row r="2052">
      <c r="A2052" s="1"/>
      <c r="B2052" s="14" t="s">
        <v>4986</v>
      </c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"/>
    </row>
    <row r="2053">
      <c r="A2053" s="1"/>
      <c r="B2053" s="4" t="s">
        <v>4987</v>
      </c>
      <c r="D2053" s="9"/>
      <c r="E2053" s="17" t="s">
        <v>14</v>
      </c>
      <c r="F2053" s="28" t="str">
        <f>HYPERLINK("https://www.twitch.tv/videos/141232351",'Players&gt;List'!$B17)</f>
        <v>[GOL]</v>
      </c>
      <c r="G2053" s="18" t="str">
        <f>HYPERLINK("https://www.youtube.com/watch?v=YGKE5X7_h9Q",'Players&gt;List'!$B32)</f>
        <v>[XEL]</v>
      </c>
      <c r="H2053" s="18" t="str">
        <f>HYPERLINK("https://youtu.be/owbKMxFVtyU?list=PLf8rtzNQgkdDNyWJRPQUfB7PZ3nBUcI4_&amp;t=2711",'Players&gt;List'!$B10)</f>
        <v>[CAM]</v>
      </c>
      <c r="I2053" s="1"/>
      <c r="J2053" s="1"/>
      <c r="K2053" s="1"/>
      <c r="L2053" s="1"/>
      <c r="M2053" s="1"/>
      <c r="N2053" s="1"/>
    </row>
    <row r="2054">
      <c r="A2054" s="1"/>
      <c r="B2054" s="25" t="s">
        <v>149</v>
      </c>
      <c r="E2054" s="26" t="s">
        <v>90</v>
      </c>
      <c r="F2054" s="1"/>
      <c r="G2054" s="1"/>
      <c r="H2054" s="1"/>
      <c r="I2054" s="1"/>
      <c r="J2054" s="1"/>
      <c r="K2054" s="1"/>
      <c r="L2054" s="1"/>
      <c r="M2054" s="1"/>
      <c r="N2054" s="1"/>
    </row>
    <row r="2055">
      <c r="A2055" s="1"/>
      <c r="B2055" s="25" t="s">
        <v>335</v>
      </c>
      <c r="E2055" s="26" t="s">
        <v>147</v>
      </c>
      <c r="F2055" s="1"/>
      <c r="G2055" s="1"/>
      <c r="H2055" s="1"/>
      <c r="I2055" s="1"/>
      <c r="J2055" s="1"/>
      <c r="K2055" s="1"/>
      <c r="L2055" s="1"/>
      <c r="M2055" s="1"/>
      <c r="N2055" s="1"/>
    </row>
    <row r="2056">
      <c r="A2056" s="1"/>
      <c r="B2056" s="25" t="s">
        <v>88</v>
      </c>
      <c r="E2056" s="26" t="s">
        <v>147</v>
      </c>
      <c r="F2056" s="1"/>
      <c r="G2056" s="1"/>
      <c r="H2056" s="1"/>
      <c r="I2056" s="1"/>
      <c r="J2056" s="1"/>
      <c r="K2056" s="1"/>
      <c r="L2056" s="1"/>
      <c r="M2056" s="1"/>
      <c r="N2056" s="1"/>
    </row>
    <row r="2057">
      <c r="A2057" s="1"/>
      <c r="B2057" s="25" t="s">
        <v>2213</v>
      </c>
      <c r="E2057" s="26" t="s">
        <v>147</v>
      </c>
      <c r="F2057" s="1"/>
      <c r="G2057" s="1"/>
      <c r="H2057" s="1"/>
      <c r="I2057" s="1"/>
      <c r="J2057" s="1"/>
      <c r="K2057" s="1"/>
      <c r="L2057" s="1"/>
      <c r="M2057" s="1"/>
      <c r="N2057" s="1"/>
    </row>
    <row r="2058">
      <c r="A2058" s="1"/>
      <c r="B2058" s="25" t="s">
        <v>2171</v>
      </c>
      <c r="E2058" s="26" t="s">
        <v>1418</v>
      </c>
      <c r="F2058" s="28" t="str">
        <f>HYPERLINK("https://www.youtube.com/watch?v=pQe72yiCWDc&amp;index=332&amp;list=PLbU6uWaIKemqNvTeRxK-Ay6PRg9iwCKVi&amp;t=0s",'Players&gt;List'!$B19)</f>
        <v>[HIT]</v>
      </c>
      <c r="G2058" s="28" t="str">
        <f>HYPERLINK("https://www.youtube.com/watch?v=bSHxEMt9-r8",'Players&gt;List'!$B15)</f>
        <v>[FNY]</v>
      </c>
      <c r="H2058" s="1"/>
      <c r="I2058" s="1"/>
      <c r="J2058" s="1"/>
      <c r="K2058" s="1"/>
      <c r="L2058" s="1"/>
      <c r="M2058" s="1"/>
      <c r="N2058" s="1"/>
    </row>
    <row r="2059">
      <c r="A2059" s="1"/>
      <c r="B2059" s="25" t="s">
        <v>2183</v>
      </c>
      <c r="E2059" s="26" t="s">
        <v>1418</v>
      </c>
      <c r="F2059" s="18" t="str">
        <f>HYPERLINK("https://www.youtube.com/watch?v=Dgd2juSsw0w",'Players&gt;List'!$B32)</f>
        <v>[XEL]</v>
      </c>
      <c r="G2059" s="18" t="str">
        <f>HYPERLINK("https://www.youtube.com/watch?v=h_kXCGKvj-0",'Players&gt;List'!$B14)</f>
        <v>[ESP]</v>
      </c>
      <c r="H2059" s="28" t="str">
        <f>HYPERLINK("https://www.youtube.com/watch?v=QuOpz8JEsDA&amp;index=333&amp;list=PLbU6uWaIKemqNvTeRxK-Ay6PRg9iwCKVi&amp;t=0s",'Players&gt;List'!$B19)</f>
        <v>[HIT]</v>
      </c>
      <c r="I2059" s="28" t="str">
        <f>HYPERLINK("https://www.youtube.com/watch?v=EIqEmdtG21Q",'Players&gt;List'!$B15)</f>
        <v>[FNY]</v>
      </c>
      <c r="J2059" s="1"/>
      <c r="K2059" s="1"/>
      <c r="L2059" s="1"/>
      <c r="M2059" s="1"/>
      <c r="N2059" s="1"/>
    </row>
    <row r="2060">
      <c r="A2060" s="1"/>
      <c r="B2060" s="23"/>
      <c r="C2060" s="23"/>
      <c r="D2060" s="23"/>
      <c r="E2060" s="9"/>
      <c r="F2060" s="1"/>
      <c r="G2060" s="1"/>
      <c r="H2060" s="1"/>
      <c r="I2060" s="1"/>
      <c r="J2060" s="1"/>
      <c r="K2060" s="1"/>
      <c r="L2060" s="1"/>
      <c r="M2060" s="1"/>
      <c r="N2060" s="1"/>
    </row>
  </sheetData>
  <mergeCells count="2061">
    <mergeCell ref="B1659:C1659"/>
    <mergeCell ref="B1664:C1664"/>
    <mergeCell ref="B1627:M1627"/>
    <mergeCell ref="B1663:M1663"/>
    <mergeCell ref="B1656:D1656"/>
    <mergeCell ref="B1673:M1673"/>
    <mergeCell ref="B1678:D1678"/>
    <mergeCell ref="B1677:C1677"/>
    <mergeCell ref="B1676:M1676"/>
    <mergeCell ref="B1667:M1667"/>
    <mergeCell ref="B1668:C1668"/>
    <mergeCell ref="B1662:D1662"/>
    <mergeCell ref="B1686:C1686"/>
    <mergeCell ref="B1687:D1687"/>
    <mergeCell ref="B1671:C1671"/>
    <mergeCell ref="B1672:D1672"/>
    <mergeCell ref="B1682:M1682"/>
    <mergeCell ref="B1658:M1658"/>
    <mergeCell ref="B1670:M1670"/>
    <mergeCell ref="B1757:D1757"/>
    <mergeCell ref="B1767:M1767"/>
    <mergeCell ref="B1759:C1759"/>
    <mergeCell ref="B1739:M1739"/>
    <mergeCell ref="B1742:M1742"/>
    <mergeCell ref="B1743:C1743"/>
    <mergeCell ref="B1741:D1741"/>
    <mergeCell ref="B1740:C1740"/>
    <mergeCell ref="B1777:M1777"/>
    <mergeCell ref="B1780:M1780"/>
    <mergeCell ref="B1779:D1779"/>
    <mergeCell ref="B1775:C1775"/>
    <mergeCell ref="B1776:D1776"/>
    <mergeCell ref="B1794:C1794"/>
    <mergeCell ref="B1795:D1795"/>
    <mergeCell ref="B1791:C1791"/>
    <mergeCell ref="B1789:D1789"/>
    <mergeCell ref="B1788:C1788"/>
    <mergeCell ref="B1773:D1773"/>
    <mergeCell ref="B1770:D1770"/>
    <mergeCell ref="B1732:D1732"/>
    <mergeCell ref="B1734:C1734"/>
    <mergeCell ref="B1738:D1738"/>
    <mergeCell ref="B1737:C1737"/>
    <mergeCell ref="B1835:C1835"/>
    <mergeCell ref="B1836:D1836"/>
    <mergeCell ref="B1637:D1637"/>
    <mergeCell ref="B1643:D1643"/>
    <mergeCell ref="B1661:D1661"/>
    <mergeCell ref="B1660:D1660"/>
    <mergeCell ref="B1903:D1903"/>
    <mergeCell ref="B1902:C1902"/>
    <mergeCell ref="B1901:M1901"/>
    <mergeCell ref="B1917:M1917"/>
    <mergeCell ref="B1904:M1904"/>
    <mergeCell ref="B1905:C1905"/>
    <mergeCell ref="B1908:M1908"/>
    <mergeCell ref="B1914:M1914"/>
    <mergeCell ref="B1913:D1913"/>
    <mergeCell ref="B1745:M1745"/>
    <mergeCell ref="B1736:M1736"/>
    <mergeCell ref="B1751:M1751"/>
    <mergeCell ref="B1748:M1748"/>
    <mergeCell ref="B1758:M1758"/>
    <mergeCell ref="B1761:M1761"/>
    <mergeCell ref="B1755:M1755"/>
    <mergeCell ref="B1873:D1873"/>
    <mergeCell ref="B1872:C1872"/>
    <mergeCell ref="B1859:M1859"/>
    <mergeCell ref="B1768:C1768"/>
    <mergeCell ref="B1772:C1772"/>
    <mergeCell ref="B1826:C1826"/>
    <mergeCell ref="B1803:M1803"/>
    <mergeCell ref="B1806:M1806"/>
    <mergeCell ref="B1790:M1790"/>
    <mergeCell ref="B1787:M1787"/>
    <mergeCell ref="B1841:M1841"/>
    <mergeCell ref="B1844:M1844"/>
    <mergeCell ref="B1843:D1843"/>
    <mergeCell ref="B1837:D1837"/>
    <mergeCell ref="B1827:D1827"/>
    <mergeCell ref="B1847:M1847"/>
    <mergeCell ref="B1850:M1850"/>
    <mergeCell ref="B1898:D1898"/>
    <mergeCell ref="B1900:D1900"/>
    <mergeCell ref="B1892:D1892"/>
    <mergeCell ref="B1895:D1895"/>
    <mergeCell ref="B1894:C1894"/>
    <mergeCell ref="B1897:C1897"/>
    <mergeCell ref="B1821:D1821"/>
    <mergeCell ref="B1820:C1820"/>
    <mergeCell ref="B1823:C1823"/>
    <mergeCell ref="B1824:D1824"/>
    <mergeCell ref="B1825:M1825"/>
    <mergeCell ref="B1819:M1819"/>
    <mergeCell ref="B1822:M1822"/>
    <mergeCell ref="B1817:C1817"/>
    <mergeCell ref="B1815:D1815"/>
    <mergeCell ref="B1812:D1812"/>
    <mergeCell ref="B1814:C1814"/>
    <mergeCell ref="B1818:D1818"/>
    <mergeCell ref="B1802:D1802"/>
    <mergeCell ref="B1804:C1804"/>
    <mergeCell ref="B1809:D1809"/>
    <mergeCell ref="B1808:D1808"/>
    <mergeCell ref="B1801:D1801"/>
    <mergeCell ref="B1807:C1807"/>
    <mergeCell ref="B1805:D1805"/>
    <mergeCell ref="B1800:C1800"/>
    <mergeCell ref="B1792:D1792"/>
    <mergeCell ref="B1798:D1798"/>
    <mergeCell ref="B1797:C1797"/>
    <mergeCell ref="B1811:C1811"/>
    <mergeCell ref="B1832:C1832"/>
    <mergeCell ref="B1829:C1829"/>
    <mergeCell ref="B1830:D1830"/>
    <mergeCell ref="B1833:D1833"/>
    <mergeCell ref="B1857:C1857"/>
    <mergeCell ref="B1849:D1849"/>
    <mergeCell ref="B1877:D1877"/>
    <mergeCell ref="B1876:D1876"/>
    <mergeCell ref="B1855:D1855"/>
    <mergeCell ref="B1854:C1854"/>
    <mergeCell ref="B1852:D1852"/>
    <mergeCell ref="B1861:D1861"/>
    <mergeCell ref="B1860:C1860"/>
    <mergeCell ref="B1851:C1851"/>
    <mergeCell ref="B1848:C1848"/>
    <mergeCell ref="B1845:C1845"/>
    <mergeCell ref="B1846:D1846"/>
    <mergeCell ref="B1839:C1839"/>
    <mergeCell ref="B1842:C1842"/>
    <mergeCell ref="B1840:D1840"/>
    <mergeCell ref="B1693:D1693"/>
    <mergeCell ref="B1692:C1692"/>
    <mergeCell ref="B1684:D1684"/>
    <mergeCell ref="B1683:C1683"/>
    <mergeCell ref="B1679:D1679"/>
    <mergeCell ref="B1680:D1680"/>
    <mergeCell ref="B1747:D1747"/>
    <mergeCell ref="B1754:D1754"/>
    <mergeCell ref="B1711:C1711"/>
    <mergeCell ref="B1706:D1706"/>
    <mergeCell ref="B1705:D1705"/>
    <mergeCell ref="B1703:D1703"/>
    <mergeCell ref="B1704:D1704"/>
    <mergeCell ref="B1960:C1960"/>
    <mergeCell ref="B1958:D1958"/>
    <mergeCell ref="B1966:C1966"/>
    <mergeCell ref="B1967:D1967"/>
    <mergeCell ref="B1951:D1951"/>
    <mergeCell ref="B1946:M1946"/>
    <mergeCell ref="B1949:M1949"/>
    <mergeCell ref="B1959:M1959"/>
    <mergeCell ref="B1943:M1943"/>
    <mergeCell ref="B1624:M1624"/>
    <mergeCell ref="B1968:M1968"/>
    <mergeCell ref="B1962:M1962"/>
    <mergeCell ref="B1965:M1965"/>
    <mergeCell ref="B1625:C1625"/>
    <mergeCell ref="B1733:M1733"/>
    <mergeCell ref="B1961:D1961"/>
    <mergeCell ref="B1937:C1937"/>
    <mergeCell ref="B1919:D1919"/>
    <mergeCell ref="B1955:M1955"/>
    <mergeCell ref="B1871:M1871"/>
    <mergeCell ref="B1874:M1874"/>
    <mergeCell ref="B1878:M1878"/>
    <mergeCell ref="B1954:D1954"/>
    <mergeCell ref="B1938:D1938"/>
    <mergeCell ref="B1952:M1952"/>
    <mergeCell ref="B1730:M1730"/>
    <mergeCell ref="B1694:M1694"/>
    <mergeCell ref="B1713:M1713"/>
    <mergeCell ref="B1698:M1698"/>
    <mergeCell ref="B1701:M1701"/>
    <mergeCell ref="B1717:M1717"/>
    <mergeCell ref="B1710:M1710"/>
    <mergeCell ref="B1707:M1707"/>
    <mergeCell ref="B1786:D1786"/>
    <mergeCell ref="B1785:D1785"/>
    <mergeCell ref="B1782:D1782"/>
    <mergeCell ref="B1781:C1781"/>
    <mergeCell ref="B1784:C1784"/>
    <mergeCell ref="B1769:D1769"/>
    <mergeCell ref="B1778:C1778"/>
    <mergeCell ref="B1783:M1783"/>
    <mergeCell ref="B1853:M1853"/>
    <mergeCell ref="B1793:M1793"/>
    <mergeCell ref="B1810:M1810"/>
    <mergeCell ref="B1688:M1688"/>
    <mergeCell ref="B1691:M1691"/>
    <mergeCell ref="B1856:M1856"/>
    <mergeCell ref="B1862:M1862"/>
    <mergeCell ref="B1651:M1651"/>
    <mergeCell ref="B1648:M1648"/>
    <mergeCell ref="B1630:M1630"/>
    <mergeCell ref="B1633:M1633"/>
    <mergeCell ref="B1654:M1654"/>
    <mergeCell ref="B1653:D1653"/>
    <mergeCell ref="B1652:C1652"/>
    <mergeCell ref="B1638:M1638"/>
    <mergeCell ref="B1644:M1644"/>
    <mergeCell ref="B1950:C1950"/>
    <mergeCell ref="B1953:C1953"/>
    <mergeCell ref="B1939:M1939"/>
    <mergeCell ref="B1945:D1945"/>
    <mergeCell ref="B1929:C1929"/>
    <mergeCell ref="B1927:D1927"/>
    <mergeCell ref="B1931:D1931"/>
    <mergeCell ref="B1928:M1928"/>
    <mergeCell ref="B1930:D1930"/>
    <mergeCell ref="B1936:M1936"/>
    <mergeCell ref="B1933:M1933"/>
    <mergeCell ref="B1935:D1935"/>
    <mergeCell ref="B1934:C1934"/>
    <mergeCell ref="B1912:C1912"/>
    <mergeCell ref="B1911:M1911"/>
    <mergeCell ref="B1926:C1926"/>
    <mergeCell ref="B1922:M1922"/>
    <mergeCell ref="B1899:D1899"/>
    <mergeCell ref="B1921:D1921"/>
    <mergeCell ref="B1932:D1932"/>
    <mergeCell ref="B1886:D1886"/>
    <mergeCell ref="B1889:D1889"/>
    <mergeCell ref="B1896:M1896"/>
    <mergeCell ref="B1893:M1893"/>
    <mergeCell ref="B1887:M1887"/>
    <mergeCell ref="B1890:M1890"/>
    <mergeCell ref="B1891:C1891"/>
    <mergeCell ref="B1906:D1906"/>
    <mergeCell ref="B1907:D1907"/>
    <mergeCell ref="B1947:C1947"/>
    <mergeCell ref="B1944:C1944"/>
    <mergeCell ref="B1869:C1869"/>
    <mergeCell ref="B1866:C1866"/>
    <mergeCell ref="B1881:M1881"/>
    <mergeCell ref="B1883:D1883"/>
    <mergeCell ref="B1882:C1882"/>
    <mergeCell ref="B1884:M1884"/>
    <mergeCell ref="B1868:M1868"/>
    <mergeCell ref="B1865:M1865"/>
    <mergeCell ref="B1870:D1870"/>
    <mergeCell ref="B1972:D1972"/>
    <mergeCell ref="B1969:C1969"/>
    <mergeCell ref="B1974:C1974"/>
    <mergeCell ref="B1948:D1948"/>
    <mergeCell ref="B1941:D1941"/>
    <mergeCell ref="B1940:C1940"/>
    <mergeCell ref="B1957:D1957"/>
    <mergeCell ref="B1956:C1956"/>
    <mergeCell ref="B1942:D1942"/>
    <mergeCell ref="B1988:D1988"/>
    <mergeCell ref="B1991:D1991"/>
    <mergeCell ref="B1986:C1986"/>
    <mergeCell ref="B1987:D1987"/>
    <mergeCell ref="B2002:D2002"/>
    <mergeCell ref="B1998:D1998"/>
    <mergeCell ref="B1995:D1995"/>
    <mergeCell ref="B1994:C1994"/>
    <mergeCell ref="B1992:D1992"/>
    <mergeCell ref="B1997:C1997"/>
    <mergeCell ref="B2033:D2033"/>
    <mergeCell ref="B2034:M2034"/>
    <mergeCell ref="B2032:C2032"/>
    <mergeCell ref="B2030:D2030"/>
    <mergeCell ref="B2029:C2029"/>
    <mergeCell ref="B2035:C2035"/>
    <mergeCell ref="B2028:M2028"/>
    <mergeCell ref="B2025:M2025"/>
    <mergeCell ref="B2031:M2031"/>
    <mergeCell ref="B2018:D2018"/>
    <mergeCell ref="B2017:C2017"/>
    <mergeCell ref="B2022:M2022"/>
    <mergeCell ref="B2019:M2019"/>
    <mergeCell ref="B2021:D2021"/>
    <mergeCell ref="B2020:C2020"/>
    <mergeCell ref="B2010:M2010"/>
    <mergeCell ref="B2013:M2013"/>
    <mergeCell ref="B2012:D2012"/>
    <mergeCell ref="B2016:M2016"/>
    <mergeCell ref="B1971:D1971"/>
    <mergeCell ref="B1975:D1975"/>
    <mergeCell ref="B1981:C1981"/>
    <mergeCell ref="B1980:M1980"/>
    <mergeCell ref="B1977:C1977"/>
    <mergeCell ref="B1978:D1978"/>
    <mergeCell ref="B1990:C1990"/>
    <mergeCell ref="B1999:M1999"/>
    <mergeCell ref="B1989:M1989"/>
    <mergeCell ref="B1993:M1993"/>
    <mergeCell ref="B1996:M1996"/>
    <mergeCell ref="B1973:M1973"/>
    <mergeCell ref="B1970:D1970"/>
    <mergeCell ref="B1983:D1983"/>
    <mergeCell ref="B1984:D1984"/>
    <mergeCell ref="B1982:D1982"/>
    <mergeCell ref="B1976:M1976"/>
    <mergeCell ref="B1979:D1979"/>
    <mergeCell ref="B1985:M1985"/>
    <mergeCell ref="B2001:D2001"/>
    <mergeCell ref="B2000:C2000"/>
    <mergeCell ref="B2009:D2009"/>
    <mergeCell ref="B2007:M2007"/>
    <mergeCell ref="B2004:M2004"/>
    <mergeCell ref="B1689:C1689"/>
    <mergeCell ref="B1681:D1681"/>
    <mergeCell ref="B1647:D1647"/>
    <mergeCell ref="B1645:C1645"/>
    <mergeCell ref="B1628:C1628"/>
    <mergeCell ref="B1650:D1650"/>
    <mergeCell ref="B1632:D1632"/>
    <mergeCell ref="B1631:C1631"/>
    <mergeCell ref="B1634:C1634"/>
    <mergeCell ref="B1635:D1635"/>
    <mergeCell ref="B1629:D1629"/>
    <mergeCell ref="B1695:C1695"/>
    <mergeCell ref="B1690:D1690"/>
    <mergeCell ref="B1666:D1666"/>
    <mergeCell ref="B1669:D1669"/>
    <mergeCell ref="B1657:D1657"/>
    <mergeCell ref="B1655:C1655"/>
    <mergeCell ref="B1674:C1674"/>
    <mergeCell ref="B1675:D1675"/>
    <mergeCell ref="B1626:D1626"/>
    <mergeCell ref="B1696:D1696"/>
    <mergeCell ref="B1640:D1640"/>
    <mergeCell ref="B1636:D1636"/>
    <mergeCell ref="B1639:C1639"/>
    <mergeCell ref="B1665:D1665"/>
    <mergeCell ref="B1646:D1646"/>
    <mergeCell ref="B1828:M1828"/>
    <mergeCell ref="B1831:M1831"/>
    <mergeCell ref="B1727:M1727"/>
    <mergeCell ref="B1723:M1723"/>
    <mergeCell ref="B1724:C1724"/>
    <mergeCell ref="B1726:D1726"/>
    <mergeCell ref="B1725:D1725"/>
    <mergeCell ref="B1728:C1728"/>
    <mergeCell ref="B1729:D1729"/>
    <mergeCell ref="B1771:M1771"/>
    <mergeCell ref="B1774:M1774"/>
    <mergeCell ref="B1796:M1796"/>
    <mergeCell ref="B1799:M1799"/>
    <mergeCell ref="B1764:M1764"/>
    <mergeCell ref="B1763:D1763"/>
    <mergeCell ref="B1765:C1765"/>
    <mergeCell ref="B1766:D1766"/>
    <mergeCell ref="B1756:C1756"/>
    <mergeCell ref="B1746:C1746"/>
    <mergeCell ref="B1750:D1750"/>
    <mergeCell ref="B1749:C1749"/>
    <mergeCell ref="B1722:D1722"/>
    <mergeCell ref="B1721:D1721"/>
    <mergeCell ref="B1735:D1735"/>
    <mergeCell ref="B1744:D1744"/>
    <mergeCell ref="B1731:C1731"/>
    <mergeCell ref="B1753:D1753"/>
    <mergeCell ref="B1752:C1752"/>
    <mergeCell ref="B1697:D1697"/>
    <mergeCell ref="B1712:D1712"/>
    <mergeCell ref="B1709:D1709"/>
    <mergeCell ref="B1699:C1699"/>
    <mergeCell ref="B1700:D1700"/>
    <mergeCell ref="B1702:C1702"/>
    <mergeCell ref="B1708:C1708"/>
    <mergeCell ref="B1685:M1685"/>
    <mergeCell ref="B1718:C1718"/>
    <mergeCell ref="B1719:D1719"/>
    <mergeCell ref="B1716:D1716"/>
    <mergeCell ref="B1720:D1720"/>
    <mergeCell ref="B1714:C1714"/>
    <mergeCell ref="B1715:D1715"/>
    <mergeCell ref="B1649:C1649"/>
    <mergeCell ref="B1642:C1642"/>
    <mergeCell ref="B1641:M1641"/>
    <mergeCell ref="B1813:M1813"/>
    <mergeCell ref="B1816:M1816"/>
    <mergeCell ref="B1838:M1838"/>
    <mergeCell ref="B1834:M1834"/>
    <mergeCell ref="B1760:D1760"/>
    <mergeCell ref="B1762:C1762"/>
    <mergeCell ref="B1924:D1924"/>
    <mergeCell ref="B1923:C1923"/>
    <mergeCell ref="B1909:C1909"/>
    <mergeCell ref="B1910:D1910"/>
    <mergeCell ref="B1925:M1925"/>
    <mergeCell ref="B1916:D1916"/>
    <mergeCell ref="B1915:C1915"/>
    <mergeCell ref="B1920:D1920"/>
    <mergeCell ref="B1918:C1918"/>
    <mergeCell ref="B1864:D1864"/>
    <mergeCell ref="B1867:D1867"/>
    <mergeCell ref="B1888:C1888"/>
    <mergeCell ref="B1885:C1885"/>
    <mergeCell ref="B1863:C1863"/>
    <mergeCell ref="B1858:D1858"/>
    <mergeCell ref="B1875:C1875"/>
    <mergeCell ref="B1880:D1880"/>
    <mergeCell ref="B1879:C1879"/>
    <mergeCell ref="B2043:C2043"/>
    <mergeCell ref="B2046:C2046"/>
    <mergeCell ref="B2037:D2037"/>
    <mergeCell ref="B2038:D2038"/>
    <mergeCell ref="B2057:D2057"/>
    <mergeCell ref="B2056:D2056"/>
    <mergeCell ref="B2055:D2055"/>
    <mergeCell ref="B2044:D2044"/>
    <mergeCell ref="B2048:D2048"/>
    <mergeCell ref="B2036:D2036"/>
    <mergeCell ref="B2047:D2047"/>
    <mergeCell ref="B2006:D2006"/>
    <mergeCell ref="B2005:C2005"/>
    <mergeCell ref="B2014:C2014"/>
    <mergeCell ref="B2015:D2015"/>
    <mergeCell ref="B2003:D2003"/>
    <mergeCell ref="B2011:C2011"/>
    <mergeCell ref="B2023:C2023"/>
    <mergeCell ref="B2024:D2024"/>
    <mergeCell ref="B2027:D2027"/>
    <mergeCell ref="B2026:C2026"/>
    <mergeCell ref="B2008:C2008"/>
    <mergeCell ref="B2058:D2058"/>
    <mergeCell ref="B2059:D2059"/>
    <mergeCell ref="B2041:D2041"/>
    <mergeCell ref="B2039:D2039"/>
    <mergeCell ref="B2040:D2040"/>
    <mergeCell ref="B2045:M2045"/>
    <mergeCell ref="B2042:M2042"/>
    <mergeCell ref="B2054:D2054"/>
    <mergeCell ref="B2053:C2053"/>
    <mergeCell ref="B2052:M2052"/>
    <mergeCell ref="B2050:C2050"/>
    <mergeCell ref="B2051:D2051"/>
    <mergeCell ref="B2049:M2049"/>
    <mergeCell ref="B610:M610"/>
    <mergeCell ref="B600:M600"/>
    <mergeCell ref="B612:D612"/>
    <mergeCell ref="B613:M613"/>
    <mergeCell ref="B585:M585"/>
    <mergeCell ref="B581:M581"/>
    <mergeCell ref="B575:M575"/>
    <mergeCell ref="B572:M572"/>
    <mergeCell ref="B578:M578"/>
    <mergeCell ref="B663:M663"/>
    <mergeCell ref="B666:M666"/>
    <mergeCell ref="B677:D677"/>
    <mergeCell ref="B678:M678"/>
    <mergeCell ref="B682:C682"/>
    <mergeCell ref="B679:C679"/>
    <mergeCell ref="B680:D680"/>
    <mergeCell ref="B681:M681"/>
    <mergeCell ref="B672:M672"/>
    <mergeCell ref="B669:M669"/>
    <mergeCell ref="B675:M675"/>
    <mergeCell ref="B466:M466"/>
    <mergeCell ref="B469:M469"/>
    <mergeCell ref="B468:D468"/>
    <mergeCell ref="B462:D462"/>
    <mergeCell ref="B465:D465"/>
    <mergeCell ref="B459:D459"/>
    <mergeCell ref="B463:M463"/>
    <mergeCell ref="B460:M460"/>
    <mergeCell ref="B475:M475"/>
    <mergeCell ref="B478:M478"/>
    <mergeCell ref="B456:D456"/>
    <mergeCell ref="B455:C455"/>
    <mergeCell ref="B458:C458"/>
    <mergeCell ref="B472:M472"/>
    <mergeCell ref="B482:M482"/>
    <mergeCell ref="B471:D471"/>
    <mergeCell ref="B457:M457"/>
    <mergeCell ref="B503:C503"/>
    <mergeCell ref="B516:C516"/>
    <mergeCell ref="B512:D512"/>
    <mergeCell ref="B513:D513"/>
    <mergeCell ref="B536:M536"/>
    <mergeCell ref="B532:M532"/>
    <mergeCell ref="B502:M502"/>
    <mergeCell ref="B534:D534"/>
    <mergeCell ref="B538:D538"/>
    <mergeCell ref="B583:D583"/>
    <mergeCell ref="B587:D587"/>
    <mergeCell ref="B490:D490"/>
    <mergeCell ref="B492:C492"/>
    <mergeCell ref="B489:C489"/>
    <mergeCell ref="B488:M488"/>
    <mergeCell ref="B491:M491"/>
    <mergeCell ref="B497:M497"/>
    <mergeCell ref="B494:M494"/>
    <mergeCell ref="B588:M588"/>
    <mergeCell ref="B596:M596"/>
    <mergeCell ref="B660:M660"/>
    <mergeCell ref="B649:M649"/>
    <mergeCell ref="B657:M657"/>
    <mergeCell ref="B654:M654"/>
    <mergeCell ref="B461:C461"/>
    <mergeCell ref="B470:C470"/>
    <mergeCell ref="B133:C133"/>
    <mergeCell ref="B160:C160"/>
    <mergeCell ref="B153:C153"/>
    <mergeCell ref="B147:C147"/>
    <mergeCell ref="B141:C141"/>
    <mergeCell ref="B150:C150"/>
    <mergeCell ref="B136:C136"/>
    <mergeCell ref="B164:D164"/>
    <mergeCell ref="B157:D157"/>
    <mergeCell ref="B158:D158"/>
    <mergeCell ref="B162:M162"/>
    <mergeCell ref="B159:M159"/>
    <mergeCell ref="B148:D148"/>
    <mergeCell ref="B145:D145"/>
    <mergeCell ref="B149:M149"/>
    <mergeCell ref="B146:M146"/>
    <mergeCell ref="B152:M152"/>
    <mergeCell ref="B134:D134"/>
    <mergeCell ref="B142:D142"/>
    <mergeCell ref="B138:D138"/>
    <mergeCell ref="B139:D139"/>
    <mergeCell ref="B140:M140"/>
    <mergeCell ref="B143:M143"/>
    <mergeCell ref="B132:M132"/>
    <mergeCell ref="B135:M135"/>
    <mergeCell ref="B115:M115"/>
    <mergeCell ref="B116:C116"/>
    <mergeCell ref="B109:D109"/>
    <mergeCell ref="B105:D105"/>
    <mergeCell ref="B117:D117"/>
    <mergeCell ref="B112:M112"/>
    <mergeCell ref="B278:M278"/>
    <mergeCell ref="B275:M275"/>
    <mergeCell ref="B269:M269"/>
    <mergeCell ref="B266:M266"/>
    <mergeCell ref="B261:C261"/>
    <mergeCell ref="B282:M282"/>
    <mergeCell ref="B285:M285"/>
    <mergeCell ref="B286:C286"/>
    <mergeCell ref="B284:D284"/>
    <mergeCell ref="B283:C283"/>
    <mergeCell ref="B260:M260"/>
    <mergeCell ref="B287:D287"/>
    <mergeCell ref="B288:M288"/>
    <mergeCell ref="B426:M426"/>
    <mergeCell ref="B429:M429"/>
    <mergeCell ref="B432:M432"/>
    <mergeCell ref="B292:M292"/>
    <mergeCell ref="B295:M295"/>
    <mergeCell ref="B289:C289"/>
    <mergeCell ref="B291:D291"/>
    <mergeCell ref="B290:D290"/>
    <mergeCell ref="B293:C293"/>
    <mergeCell ref="B294:D294"/>
    <mergeCell ref="B124:M124"/>
    <mergeCell ref="B118:M118"/>
    <mergeCell ref="B99:M99"/>
    <mergeCell ref="B98:D98"/>
    <mergeCell ref="B102:M102"/>
    <mergeCell ref="B129:M129"/>
    <mergeCell ref="B151:D151"/>
    <mergeCell ref="B114:D114"/>
    <mergeCell ref="B108:C108"/>
    <mergeCell ref="B187:M187"/>
    <mergeCell ref="B194:C194"/>
    <mergeCell ref="B193:M193"/>
    <mergeCell ref="B192:D192"/>
    <mergeCell ref="B168:D168"/>
    <mergeCell ref="B167:D167"/>
    <mergeCell ref="B104:D104"/>
    <mergeCell ref="B103:C103"/>
    <mergeCell ref="B176:D176"/>
    <mergeCell ref="B177:D177"/>
    <mergeCell ref="B188:C188"/>
    <mergeCell ref="B171:D171"/>
    <mergeCell ref="B174:D174"/>
    <mergeCell ref="B179:C179"/>
    <mergeCell ref="B180:D180"/>
    <mergeCell ref="B181:D181"/>
    <mergeCell ref="B175:D175"/>
    <mergeCell ref="B197:C197"/>
    <mergeCell ref="B198:D198"/>
    <mergeCell ref="B203:C203"/>
    <mergeCell ref="B200:C200"/>
    <mergeCell ref="B225:M225"/>
    <mergeCell ref="B226:C226"/>
    <mergeCell ref="B228:M228"/>
    <mergeCell ref="B433:C433"/>
    <mergeCell ref="B434:D434"/>
    <mergeCell ref="B431:D431"/>
    <mergeCell ref="B300:D300"/>
    <mergeCell ref="B299:C299"/>
    <mergeCell ref="B296:C296"/>
    <mergeCell ref="B424:D424"/>
    <mergeCell ref="B423:C423"/>
    <mergeCell ref="B421:D421"/>
    <mergeCell ref="B420:C420"/>
    <mergeCell ref="B233:D233"/>
    <mergeCell ref="B81:M81"/>
    <mergeCell ref="B76:M76"/>
    <mergeCell ref="B78:D78"/>
    <mergeCell ref="B80:D80"/>
    <mergeCell ref="B79:D79"/>
    <mergeCell ref="B74:D74"/>
    <mergeCell ref="B73:D73"/>
    <mergeCell ref="B69:D69"/>
    <mergeCell ref="B68:C68"/>
    <mergeCell ref="B84:M84"/>
    <mergeCell ref="B67:M67"/>
    <mergeCell ref="B92:M92"/>
    <mergeCell ref="B96:M96"/>
    <mergeCell ref="B93:C93"/>
    <mergeCell ref="B82:C82"/>
    <mergeCell ref="B72:C72"/>
    <mergeCell ref="B71:M71"/>
    <mergeCell ref="B70:D70"/>
    <mergeCell ref="B77:C77"/>
    <mergeCell ref="B75:D75"/>
    <mergeCell ref="B90:D90"/>
    <mergeCell ref="B91:D91"/>
    <mergeCell ref="B94:D94"/>
    <mergeCell ref="B95:D95"/>
    <mergeCell ref="B97:C97"/>
    <mergeCell ref="B85:C85"/>
    <mergeCell ref="B86:D86"/>
    <mergeCell ref="B87:D87"/>
    <mergeCell ref="B83:D83"/>
    <mergeCell ref="B89:C89"/>
    <mergeCell ref="B88:M88"/>
    <mergeCell ref="B364:D364"/>
    <mergeCell ref="B368:M368"/>
    <mergeCell ref="B354:M354"/>
    <mergeCell ref="B356:D356"/>
    <mergeCell ref="B353:D353"/>
    <mergeCell ref="B358:D358"/>
    <mergeCell ref="B357:D357"/>
    <mergeCell ref="B371:M371"/>
    <mergeCell ref="B363:C363"/>
    <mergeCell ref="B366:C366"/>
    <mergeCell ref="B367:D367"/>
    <mergeCell ref="B369:C369"/>
    <mergeCell ref="B370:D370"/>
    <mergeCell ref="B381:C381"/>
    <mergeCell ref="B382:D382"/>
    <mergeCell ref="B378:C378"/>
    <mergeCell ref="B376:D376"/>
    <mergeCell ref="B373:D373"/>
    <mergeCell ref="B372:C372"/>
    <mergeCell ref="B387:C387"/>
    <mergeCell ref="B375:C375"/>
    <mergeCell ref="B393:M393"/>
    <mergeCell ref="B391:D391"/>
    <mergeCell ref="B274:D274"/>
    <mergeCell ref="B272:D272"/>
    <mergeCell ref="B273:D273"/>
    <mergeCell ref="B281:D281"/>
    <mergeCell ref="B280:D280"/>
    <mergeCell ref="B279:C279"/>
    <mergeCell ref="B277:D277"/>
    <mergeCell ref="B337:D337"/>
    <mergeCell ref="B334:D334"/>
    <mergeCell ref="B336:C336"/>
    <mergeCell ref="B333:C333"/>
    <mergeCell ref="B339:C339"/>
    <mergeCell ref="B340:D340"/>
    <mergeCell ref="B342:C342"/>
    <mergeCell ref="B312:D312"/>
    <mergeCell ref="B311:C311"/>
    <mergeCell ref="B328:D328"/>
    <mergeCell ref="B327:C327"/>
    <mergeCell ref="B304:M304"/>
    <mergeCell ref="B313:M313"/>
    <mergeCell ref="B310:M310"/>
    <mergeCell ref="B307:M307"/>
    <mergeCell ref="B298:M298"/>
    <mergeCell ref="B301:M301"/>
    <mergeCell ref="B360:C360"/>
    <mergeCell ref="B361:D361"/>
    <mergeCell ref="B321:D321"/>
    <mergeCell ref="B320:D320"/>
    <mergeCell ref="B343:D343"/>
    <mergeCell ref="B316:D316"/>
    <mergeCell ref="B317:D317"/>
    <mergeCell ref="B190:M190"/>
    <mergeCell ref="B189:D189"/>
    <mergeCell ref="B191:C191"/>
    <mergeCell ref="B155:M155"/>
    <mergeCell ref="B156:C156"/>
    <mergeCell ref="B121:M121"/>
    <mergeCell ref="B119:C119"/>
    <mergeCell ref="B120:D120"/>
    <mergeCell ref="B127:D127"/>
    <mergeCell ref="B122:C122"/>
    <mergeCell ref="B125:C125"/>
    <mergeCell ref="B126:D126"/>
    <mergeCell ref="B123:D123"/>
    <mergeCell ref="B131:D131"/>
    <mergeCell ref="B128:D128"/>
    <mergeCell ref="B130:C130"/>
    <mergeCell ref="B137:D137"/>
    <mergeCell ref="B144:C144"/>
    <mergeCell ref="B186:D186"/>
    <mergeCell ref="B204:D204"/>
    <mergeCell ref="B205:D205"/>
    <mergeCell ref="B161:D161"/>
    <mergeCell ref="B154:D154"/>
    <mergeCell ref="B183:C183"/>
    <mergeCell ref="B170:C170"/>
    <mergeCell ref="B173:C173"/>
    <mergeCell ref="B185:D185"/>
    <mergeCell ref="B184:D184"/>
    <mergeCell ref="B258:D258"/>
    <mergeCell ref="B259:D259"/>
    <mergeCell ref="B256:M256"/>
    <mergeCell ref="B250:M250"/>
    <mergeCell ref="B267:C267"/>
    <mergeCell ref="B268:D268"/>
    <mergeCell ref="B264:C264"/>
    <mergeCell ref="B254:C254"/>
    <mergeCell ref="B255:D255"/>
    <mergeCell ref="B252:D252"/>
    <mergeCell ref="B257:C257"/>
    <mergeCell ref="B232:C232"/>
    <mergeCell ref="B230:D230"/>
    <mergeCell ref="B251:C251"/>
    <mergeCell ref="B245:D245"/>
    <mergeCell ref="B248:D248"/>
    <mergeCell ref="B249:D249"/>
    <mergeCell ref="B247:C247"/>
    <mergeCell ref="B236:D236"/>
    <mergeCell ref="B244:C244"/>
    <mergeCell ref="B630:D630"/>
    <mergeCell ref="B628:M628"/>
    <mergeCell ref="B621:M621"/>
    <mergeCell ref="B617:M617"/>
    <mergeCell ref="B637:M637"/>
    <mergeCell ref="B634:M634"/>
    <mergeCell ref="B645:M645"/>
    <mergeCell ref="B642:M642"/>
    <mergeCell ref="B631:M631"/>
    <mergeCell ref="B624:M624"/>
    <mergeCell ref="B415:D415"/>
    <mergeCell ref="B395:D395"/>
    <mergeCell ref="B398:D398"/>
    <mergeCell ref="B397:C397"/>
    <mergeCell ref="B399:D399"/>
    <mergeCell ref="B401:C401"/>
    <mergeCell ref="B444:M444"/>
    <mergeCell ref="B441:M441"/>
    <mergeCell ref="B443:D443"/>
    <mergeCell ref="B435:M435"/>
    <mergeCell ref="B438:M438"/>
    <mergeCell ref="B451:C451"/>
    <mergeCell ref="B449:D449"/>
    <mergeCell ref="B450:M450"/>
    <mergeCell ref="B447:M447"/>
    <mergeCell ref="B454:M454"/>
    <mergeCell ref="B448:C448"/>
    <mergeCell ref="B445:C445"/>
    <mergeCell ref="B453:D453"/>
    <mergeCell ref="B446:D446"/>
    <mergeCell ref="B442:C442"/>
    <mergeCell ref="B352:D352"/>
    <mergeCell ref="B425:D425"/>
    <mergeCell ref="B428:D428"/>
    <mergeCell ref="B430:C430"/>
    <mergeCell ref="B427:C427"/>
    <mergeCell ref="B452:D452"/>
    <mergeCell ref="B394:C394"/>
    <mergeCell ref="B276:C276"/>
    <mergeCell ref="B271:D271"/>
    <mergeCell ref="B315:D315"/>
    <mergeCell ref="B314:C314"/>
    <mergeCell ref="B351:C351"/>
    <mergeCell ref="B331:D331"/>
    <mergeCell ref="B345:C345"/>
    <mergeCell ref="B349:D349"/>
    <mergeCell ref="B346:D346"/>
    <mergeCell ref="B319:C319"/>
    <mergeCell ref="B325:D325"/>
    <mergeCell ref="B306:D306"/>
    <mergeCell ref="B305:C305"/>
    <mergeCell ref="B302:C302"/>
    <mergeCell ref="B297:D297"/>
    <mergeCell ref="B309:D309"/>
    <mergeCell ref="B308:C308"/>
    <mergeCell ref="B265:D265"/>
    <mergeCell ref="B270:C270"/>
    <mergeCell ref="B330:C330"/>
    <mergeCell ref="B303:D303"/>
    <mergeCell ref="B217:D217"/>
    <mergeCell ref="B543:D543"/>
    <mergeCell ref="B548:M548"/>
    <mergeCell ref="B545:M545"/>
    <mergeCell ref="B542:D542"/>
    <mergeCell ref="B553:M553"/>
    <mergeCell ref="B609:D609"/>
    <mergeCell ref="B607:M607"/>
    <mergeCell ref="B599:D599"/>
    <mergeCell ref="B598:D598"/>
    <mergeCell ref="B605:C605"/>
    <mergeCell ref="B574:D574"/>
    <mergeCell ref="B540:M540"/>
    <mergeCell ref="B565:M565"/>
    <mergeCell ref="B604:M604"/>
    <mergeCell ref="B601:C601"/>
    <mergeCell ref="B589:C589"/>
    <mergeCell ref="B510:M510"/>
    <mergeCell ref="B507:M507"/>
    <mergeCell ref="B560:M560"/>
    <mergeCell ref="B557:M557"/>
    <mergeCell ref="B521:M521"/>
    <mergeCell ref="B515:M515"/>
    <mergeCell ref="B518:M518"/>
    <mergeCell ref="B524:M524"/>
    <mergeCell ref="B527:M527"/>
    <mergeCell ref="B359:M359"/>
    <mergeCell ref="B362:M362"/>
    <mergeCell ref="B365:M365"/>
    <mergeCell ref="B322:M322"/>
    <mergeCell ref="B318:M318"/>
    <mergeCell ref="B419:M419"/>
    <mergeCell ref="B422:M422"/>
    <mergeCell ref="B211:C211"/>
    <mergeCell ref="B206:D206"/>
    <mergeCell ref="B207:M207"/>
    <mergeCell ref="B210:M210"/>
    <mergeCell ref="B208:C208"/>
    <mergeCell ref="B209:D209"/>
    <mergeCell ref="B235:C235"/>
    <mergeCell ref="B229:C229"/>
    <mergeCell ref="B223:C223"/>
    <mergeCell ref="B224:D224"/>
    <mergeCell ref="B220:C220"/>
    <mergeCell ref="B212:D212"/>
    <mergeCell ref="B227:D227"/>
    <mergeCell ref="B409:D409"/>
    <mergeCell ref="B408:C408"/>
    <mergeCell ref="B411:C411"/>
    <mergeCell ref="B414:C414"/>
    <mergeCell ref="B418:D418"/>
    <mergeCell ref="B417:C417"/>
    <mergeCell ref="B412:D412"/>
    <mergeCell ref="B402:D402"/>
    <mergeCell ref="B403:D403"/>
    <mergeCell ref="B406:D406"/>
    <mergeCell ref="B405:C405"/>
    <mergeCell ref="B379:D379"/>
    <mergeCell ref="B377:M377"/>
    <mergeCell ref="B385:D385"/>
    <mergeCell ref="B384:C384"/>
    <mergeCell ref="B380:M380"/>
    <mergeCell ref="B383:M383"/>
    <mergeCell ref="B390:C390"/>
    <mergeCell ref="B392:D392"/>
    <mergeCell ref="B374:M374"/>
    <mergeCell ref="B386:M386"/>
    <mergeCell ref="B335:M335"/>
    <mergeCell ref="B332:M332"/>
    <mergeCell ref="B344:M344"/>
    <mergeCell ref="B341:M341"/>
    <mergeCell ref="B324:D324"/>
    <mergeCell ref="B326:M326"/>
    <mergeCell ref="B323:C323"/>
    <mergeCell ref="B347:M347"/>
    <mergeCell ref="B350:M350"/>
    <mergeCell ref="B348:C348"/>
    <mergeCell ref="B355:C355"/>
    <mergeCell ref="B338:M338"/>
    <mergeCell ref="B329:M329"/>
    <mergeCell ref="B400:M400"/>
    <mergeCell ref="B404:M404"/>
    <mergeCell ref="B388:D388"/>
    <mergeCell ref="B389:M389"/>
    <mergeCell ref="B416:M416"/>
    <mergeCell ref="B396:M396"/>
    <mergeCell ref="B413:M413"/>
    <mergeCell ref="B410:M410"/>
    <mergeCell ref="B407:M407"/>
    <mergeCell ref="B241:C241"/>
    <mergeCell ref="B238:C238"/>
    <mergeCell ref="B242:D242"/>
    <mergeCell ref="B239:D239"/>
    <mergeCell ref="B262:D262"/>
    <mergeCell ref="B263:M263"/>
    <mergeCell ref="B240:M240"/>
    <mergeCell ref="B234:M234"/>
    <mergeCell ref="B237:M237"/>
    <mergeCell ref="B246:M246"/>
    <mergeCell ref="B253:M253"/>
    <mergeCell ref="B243:M243"/>
    <mergeCell ref="B169:M169"/>
    <mergeCell ref="B172:M172"/>
    <mergeCell ref="B201:D201"/>
    <mergeCell ref="B202:M202"/>
    <mergeCell ref="B166:C166"/>
    <mergeCell ref="B163:C163"/>
    <mergeCell ref="B195:D195"/>
    <mergeCell ref="B178:M178"/>
    <mergeCell ref="B182:M182"/>
    <mergeCell ref="B165:M165"/>
    <mergeCell ref="B199:M199"/>
    <mergeCell ref="B196:M196"/>
    <mergeCell ref="B222:M222"/>
    <mergeCell ref="B231:M231"/>
    <mergeCell ref="B213:D213"/>
    <mergeCell ref="B214:D214"/>
    <mergeCell ref="B215:M215"/>
    <mergeCell ref="B219:M219"/>
    <mergeCell ref="B221:D221"/>
    <mergeCell ref="B216:C216"/>
    <mergeCell ref="B218:D218"/>
    <mergeCell ref="B1108:D1108"/>
    <mergeCell ref="B1019:D1019"/>
    <mergeCell ref="B1026:D1026"/>
    <mergeCell ref="B1086:D1086"/>
    <mergeCell ref="B1077:D1077"/>
    <mergeCell ref="B1083:D1083"/>
    <mergeCell ref="B1082:C1082"/>
    <mergeCell ref="B804:C804"/>
    <mergeCell ref="B847:D847"/>
    <mergeCell ref="B966:D966"/>
    <mergeCell ref="B968:C968"/>
    <mergeCell ref="B915:C915"/>
    <mergeCell ref="B913:D913"/>
    <mergeCell ref="B919:D919"/>
    <mergeCell ref="B940:D940"/>
    <mergeCell ref="B965:D965"/>
    <mergeCell ref="B950:D950"/>
    <mergeCell ref="B1151:C1151"/>
    <mergeCell ref="B1146:D1146"/>
    <mergeCell ref="B1145:C1145"/>
    <mergeCell ref="B1132:C1132"/>
    <mergeCell ref="B1015:C1015"/>
    <mergeCell ref="B897:D897"/>
    <mergeCell ref="B872:D872"/>
    <mergeCell ref="B949:D949"/>
    <mergeCell ref="B1080:D1080"/>
    <mergeCell ref="B1079:C1079"/>
    <mergeCell ref="B1128:C1128"/>
    <mergeCell ref="B1085:C1085"/>
    <mergeCell ref="B1094:C1094"/>
    <mergeCell ref="B1096:D1096"/>
    <mergeCell ref="B1098:C1098"/>
    <mergeCell ref="B1100:D1100"/>
    <mergeCell ref="B1099:D1099"/>
    <mergeCell ref="B1067:C1067"/>
    <mergeCell ref="B1064:C1064"/>
    <mergeCell ref="B1095:D1095"/>
    <mergeCell ref="B1065:D1065"/>
    <mergeCell ref="B1053:D1053"/>
    <mergeCell ref="B1052:C1052"/>
    <mergeCell ref="B1036:D1036"/>
    <mergeCell ref="B1035:C1035"/>
    <mergeCell ref="B1088:C1088"/>
    <mergeCell ref="B1089:D1089"/>
    <mergeCell ref="B1058:C1058"/>
    <mergeCell ref="B1059:D1059"/>
    <mergeCell ref="B1071:C1071"/>
    <mergeCell ref="B1076:C1076"/>
    <mergeCell ref="B1072:D1072"/>
    <mergeCell ref="B1074:D1074"/>
    <mergeCell ref="B1073:D1073"/>
    <mergeCell ref="B706:C706"/>
    <mergeCell ref="B710:D710"/>
    <mergeCell ref="B709:C709"/>
    <mergeCell ref="B707:D707"/>
    <mergeCell ref="B748:C748"/>
    <mergeCell ref="B746:D746"/>
    <mergeCell ref="B752:D752"/>
    <mergeCell ref="B751:C751"/>
    <mergeCell ref="B742:C742"/>
    <mergeCell ref="B740:D740"/>
    <mergeCell ref="B743:D743"/>
    <mergeCell ref="B745:C745"/>
    <mergeCell ref="B754:C754"/>
    <mergeCell ref="B693:D693"/>
    <mergeCell ref="B690:D690"/>
    <mergeCell ref="B697:D697"/>
    <mergeCell ref="B719:D719"/>
    <mergeCell ref="B698:D698"/>
    <mergeCell ref="B749:D749"/>
    <mergeCell ref="B701:D701"/>
    <mergeCell ref="B700:C700"/>
    <mergeCell ref="B704:D704"/>
    <mergeCell ref="B703:C703"/>
    <mergeCell ref="B720:D720"/>
    <mergeCell ref="B723:D723"/>
    <mergeCell ref="B722:C722"/>
    <mergeCell ref="B713:D713"/>
    <mergeCell ref="B716:D716"/>
    <mergeCell ref="B715:C715"/>
    <mergeCell ref="B729:D729"/>
    <mergeCell ref="B731:C731"/>
    <mergeCell ref="B738:C738"/>
    <mergeCell ref="B735:C735"/>
    <mergeCell ref="B733:D733"/>
    <mergeCell ref="B736:D736"/>
    <mergeCell ref="B821:D821"/>
    <mergeCell ref="B768:D768"/>
    <mergeCell ref="B762:D762"/>
    <mergeCell ref="B761:C761"/>
    <mergeCell ref="B739:D739"/>
    <mergeCell ref="B790:C790"/>
    <mergeCell ref="B764:C764"/>
    <mergeCell ref="B779:D779"/>
    <mergeCell ref="B798:D798"/>
    <mergeCell ref="B797:D797"/>
    <mergeCell ref="B794:D794"/>
    <mergeCell ref="B791:D791"/>
    <mergeCell ref="B793:C793"/>
    <mergeCell ref="B782:D782"/>
    <mergeCell ref="B799:D799"/>
    <mergeCell ref="B801:C801"/>
    <mergeCell ref="B773:C773"/>
    <mergeCell ref="B776:D776"/>
    <mergeCell ref="B775:D775"/>
    <mergeCell ref="B785:D785"/>
    <mergeCell ref="B788:D788"/>
    <mergeCell ref="B759:D759"/>
    <mergeCell ref="B758:C758"/>
    <mergeCell ref="B767:C767"/>
    <mergeCell ref="B765:D765"/>
    <mergeCell ref="B756:D756"/>
    <mergeCell ref="B755:D755"/>
    <mergeCell ref="B781:D781"/>
    <mergeCell ref="B780:D780"/>
    <mergeCell ref="B994:C994"/>
    <mergeCell ref="B978:D978"/>
    <mergeCell ref="B979:D979"/>
    <mergeCell ref="B987:C987"/>
    <mergeCell ref="B981:C981"/>
    <mergeCell ref="B977:D977"/>
    <mergeCell ref="B974:D974"/>
    <mergeCell ref="B973:D973"/>
    <mergeCell ref="B969:D969"/>
    <mergeCell ref="B970:D970"/>
    <mergeCell ref="B959:C959"/>
    <mergeCell ref="B957:D957"/>
    <mergeCell ref="B922:D922"/>
    <mergeCell ref="B937:D937"/>
    <mergeCell ref="B936:C936"/>
    <mergeCell ref="B896:C896"/>
    <mergeCell ref="B875:D875"/>
    <mergeCell ref="B886:C886"/>
    <mergeCell ref="B893:C893"/>
    <mergeCell ref="B881:D881"/>
    <mergeCell ref="B900:D900"/>
    <mergeCell ref="B918:C918"/>
    <mergeCell ref="B1031:C1031"/>
    <mergeCell ref="B1025:C1025"/>
    <mergeCell ref="B1004:D1004"/>
    <mergeCell ref="B1001:D1001"/>
    <mergeCell ref="B1032:D1032"/>
    <mergeCell ref="B1016:D1016"/>
    <mergeCell ref="B1037:D1037"/>
    <mergeCell ref="B1033:D1033"/>
    <mergeCell ref="B1041:D1041"/>
    <mergeCell ref="B956:D956"/>
    <mergeCell ref="B960:D960"/>
    <mergeCell ref="B972:C972"/>
    <mergeCell ref="B964:D964"/>
    <mergeCell ref="B952:C952"/>
    <mergeCell ref="B955:C955"/>
    <mergeCell ref="B941:D941"/>
    <mergeCell ref="B925:D925"/>
    <mergeCell ref="B953:D953"/>
    <mergeCell ref="B1022:C1022"/>
    <mergeCell ref="B1020:D1020"/>
    <mergeCell ref="B1056:D1056"/>
    <mergeCell ref="B1055:C1055"/>
    <mergeCell ref="B1068:D1068"/>
    <mergeCell ref="B1069:D1069"/>
    <mergeCell ref="B985:D985"/>
    <mergeCell ref="B984:C984"/>
    <mergeCell ref="B982:D982"/>
    <mergeCell ref="B1028:C1028"/>
    <mergeCell ref="B1029:D1029"/>
    <mergeCell ref="B1038:D1038"/>
    <mergeCell ref="B1023:D1023"/>
    <mergeCell ref="B963:D963"/>
    <mergeCell ref="B962:C962"/>
    <mergeCell ref="B931:D931"/>
    <mergeCell ref="B928:D928"/>
    <mergeCell ref="B945:D945"/>
    <mergeCell ref="B944:D944"/>
    <mergeCell ref="B947:C947"/>
    <mergeCell ref="B948:D948"/>
    <mergeCell ref="B1322:C1322"/>
    <mergeCell ref="B1341:D1341"/>
    <mergeCell ref="B1332:D1332"/>
    <mergeCell ref="B1326:D1326"/>
    <mergeCell ref="B1334:D1334"/>
    <mergeCell ref="B1345:D1345"/>
    <mergeCell ref="B1344:D1344"/>
    <mergeCell ref="B1372:C1372"/>
    <mergeCell ref="B1373:D1373"/>
    <mergeCell ref="B1361:D1361"/>
    <mergeCell ref="B1352:D1352"/>
    <mergeCell ref="B1354:C1354"/>
    <mergeCell ref="B1355:D1355"/>
    <mergeCell ref="B1367:C1367"/>
    <mergeCell ref="B1365:D1365"/>
    <mergeCell ref="B1348:D1348"/>
    <mergeCell ref="B1347:C1347"/>
    <mergeCell ref="B1364:D1364"/>
    <mergeCell ref="B1363:C1363"/>
    <mergeCell ref="B1382:D1382"/>
    <mergeCell ref="B1379:D1379"/>
    <mergeCell ref="B1381:C1381"/>
    <mergeCell ref="B1376:D1376"/>
    <mergeCell ref="B1378:C1378"/>
    <mergeCell ref="B1314:C1314"/>
    <mergeCell ref="B1375:C1375"/>
    <mergeCell ref="B1317:C1317"/>
    <mergeCell ref="B1319:D1319"/>
    <mergeCell ref="B1318:D1318"/>
    <mergeCell ref="B1323:D1323"/>
    <mergeCell ref="B1335:D1335"/>
    <mergeCell ref="B1325:C1325"/>
    <mergeCell ref="B1315:D1315"/>
    <mergeCell ref="B1320:D1320"/>
    <mergeCell ref="B1340:C1340"/>
    <mergeCell ref="B1350:C1350"/>
    <mergeCell ref="B1343:C1343"/>
    <mergeCell ref="B1360:C1360"/>
    <mergeCell ref="B1357:C1357"/>
    <mergeCell ref="B1358:D1358"/>
    <mergeCell ref="B1351:D1351"/>
    <mergeCell ref="B1368:D1368"/>
    <mergeCell ref="B1370:D1370"/>
    <mergeCell ref="B1369:D1369"/>
    <mergeCell ref="B1337:C1337"/>
    <mergeCell ref="B1328:C1328"/>
    <mergeCell ref="B1331:C1331"/>
    <mergeCell ref="B1305:C1305"/>
    <mergeCell ref="B1303:D1303"/>
    <mergeCell ref="B1309:D1309"/>
    <mergeCell ref="B1312:D1312"/>
    <mergeCell ref="B1306:D1306"/>
    <mergeCell ref="B1308:C1308"/>
    <mergeCell ref="B1338:D1338"/>
    <mergeCell ref="B1311:C1311"/>
    <mergeCell ref="B1515:D1515"/>
    <mergeCell ref="B1521:D1521"/>
    <mergeCell ref="B1517:C1517"/>
    <mergeCell ref="B1490:D1490"/>
    <mergeCell ref="B1489:C1489"/>
    <mergeCell ref="B1493:D1493"/>
    <mergeCell ref="B1573:D1573"/>
    <mergeCell ref="B1577:D1577"/>
    <mergeCell ref="B1538:D1538"/>
    <mergeCell ref="B1575:C1575"/>
    <mergeCell ref="B1386:D1386"/>
    <mergeCell ref="B1385:C1385"/>
    <mergeCell ref="B1398:D1398"/>
    <mergeCell ref="B1397:C1397"/>
    <mergeCell ref="B1389:D1389"/>
    <mergeCell ref="B1388:C1388"/>
    <mergeCell ref="B1392:D1392"/>
    <mergeCell ref="B1391:C1391"/>
    <mergeCell ref="B1329:D1329"/>
    <mergeCell ref="B1333:D1333"/>
    <mergeCell ref="B1184:C1184"/>
    <mergeCell ref="B1185:D1185"/>
    <mergeCell ref="B1204:D1204"/>
    <mergeCell ref="B1200:D1200"/>
    <mergeCell ref="B1196:C1196"/>
    <mergeCell ref="B1197:D1197"/>
    <mergeCell ref="B1194:D1194"/>
    <mergeCell ref="B1193:C1193"/>
    <mergeCell ref="B1187:C1187"/>
    <mergeCell ref="B1191:D1191"/>
    <mergeCell ref="B1190:C1190"/>
    <mergeCell ref="B1188:D1188"/>
    <mergeCell ref="B1173:C1173"/>
    <mergeCell ref="B1181:C1181"/>
    <mergeCell ref="B1170:C1170"/>
    <mergeCell ref="B1171:D1171"/>
    <mergeCell ref="B1205:D1205"/>
    <mergeCell ref="B1182:D1182"/>
    <mergeCell ref="B1199:C1199"/>
    <mergeCell ref="B1174:D1174"/>
    <mergeCell ref="B1218:D1218"/>
    <mergeCell ref="B1219:D1219"/>
    <mergeCell ref="B1237:D1237"/>
    <mergeCell ref="B1236:D1236"/>
    <mergeCell ref="B1240:D1240"/>
    <mergeCell ref="B1239:C1239"/>
    <mergeCell ref="B1223:C1223"/>
    <mergeCell ref="B1229:C1229"/>
    <mergeCell ref="B1216:C1216"/>
    <mergeCell ref="B1232:C1232"/>
    <mergeCell ref="B1217:D1217"/>
    <mergeCell ref="B1000:C1000"/>
    <mergeCell ref="B995:D995"/>
    <mergeCell ref="B1018:C1018"/>
    <mergeCell ref="B1003:C1003"/>
    <mergeCell ref="B1009:C1009"/>
    <mergeCell ref="B1006:C1006"/>
    <mergeCell ref="B989:D989"/>
    <mergeCell ref="B988:D988"/>
    <mergeCell ref="B976:C976"/>
    <mergeCell ref="B1168:D1168"/>
    <mergeCell ref="B1167:C1167"/>
    <mergeCell ref="B1177:D1177"/>
    <mergeCell ref="B1176:C1176"/>
    <mergeCell ref="B1178:D1178"/>
    <mergeCell ref="B1179:D1179"/>
    <mergeCell ref="B1203:D1203"/>
    <mergeCell ref="B1202:C1202"/>
    <mergeCell ref="B1213:C1213"/>
    <mergeCell ref="B1214:D1214"/>
    <mergeCell ref="B1273:C1273"/>
    <mergeCell ref="B1271:D1271"/>
    <mergeCell ref="B1276:C1276"/>
    <mergeCell ref="B1270:C1270"/>
    <mergeCell ref="B1264:C1264"/>
    <mergeCell ref="B1265:D1265"/>
    <mergeCell ref="B1258:C1258"/>
    <mergeCell ref="B1259:D1259"/>
    <mergeCell ref="B1247:D1247"/>
    <mergeCell ref="B1246:C1246"/>
    <mergeCell ref="B1227:D1227"/>
    <mergeCell ref="B1230:D1230"/>
    <mergeCell ref="B1274:D1274"/>
    <mergeCell ref="B1233:D1233"/>
    <mergeCell ref="B1235:C1235"/>
    <mergeCell ref="B1262:D1262"/>
    <mergeCell ref="B1261:C1261"/>
    <mergeCell ref="B1244:D1244"/>
    <mergeCell ref="B1242:C1242"/>
    <mergeCell ref="B1243:D1243"/>
    <mergeCell ref="B1255:C1255"/>
    <mergeCell ref="B1256:D1256"/>
    <mergeCell ref="B1250:D1250"/>
    <mergeCell ref="B1249:C1249"/>
    <mergeCell ref="B1267:C1267"/>
    <mergeCell ref="B1268:D1268"/>
    <mergeCell ref="B1277:D1277"/>
    <mergeCell ref="B1279:C1279"/>
    <mergeCell ref="B1280:D1280"/>
    <mergeCell ref="B1252:C1252"/>
    <mergeCell ref="B1253:D1253"/>
    <mergeCell ref="B1287:D1287"/>
    <mergeCell ref="B1286:C1286"/>
    <mergeCell ref="B611:C611"/>
    <mergeCell ref="B594:D594"/>
    <mergeCell ref="B595:D595"/>
    <mergeCell ref="B597:C597"/>
    <mergeCell ref="B606:D606"/>
    <mergeCell ref="B629:C629"/>
    <mergeCell ref="B639:D639"/>
    <mergeCell ref="B638:C638"/>
    <mergeCell ref="B558:C558"/>
    <mergeCell ref="B554:C554"/>
    <mergeCell ref="B561:C561"/>
    <mergeCell ref="B573:C573"/>
    <mergeCell ref="B566:C566"/>
    <mergeCell ref="B615:D615"/>
    <mergeCell ref="B655:C655"/>
    <mergeCell ref="B495:C495"/>
    <mergeCell ref="B493:D493"/>
    <mergeCell ref="B529:D529"/>
    <mergeCell ref="B528:C528"/>
    <mergeCell ref="B544:D544"/>
    <mergeCell ref="B546:C546"/>
    <mergeCell ref="B499:D499"/>
    <mergeCell ref="B498:C498"/>
    <mergeCell ref="B514:D514"/>
    <mergeCell ref="B517:D517"/>
    <mergeCell ref="B564:D564"/>
    <mergeCell ref="B570:D570"/>
    <mergeCell ref="B571:D571"/>
    <mergeCell ref="B569:D569"/>
    <mergeCell ref="B567:D567"/>
    <mergeCell ref="B568:D568"/>
    <mergeCell ref="B556:D556"/>
    <mergeCell ref="B555:D555"/>
    <mergeCell ref="B551:D551"/>
    <mergeCell ref="B552:D552"/>
    <mergeCell ref="B550:D550"/>
    <mergeCell ref="B549:C549"/>
    <mergeCell ref="B563:D563"/>
    <mergeCell ref="B1399:D1399"/>
    <mergeCell ref="B1395:D1395"/>
    <mergeCell ref="B1422:D1422"/>
    <mergeCell ref="B1428:D1428"/>
    <mergeCell ref="B1394:C1394"/>
    <mergeCell ref="B1401:C1401"/>
    <mergeCell ref="B1405:C1405"/>
    <mergeCell ref="B1403:D1403"/>
    <mergeCell ref="B1409:C1409"/>
    <mergeCell ref="B1421:C1421"/>
    <mergeCell ref="B1419:D1419"/>
    <mergeCell ref="B1416:D1416"/>
    <mergeCell ref="B1437:C1437"/>
    <mergeCell ref="B1383:D1383"/>
    <mergeCell ref="B1413:D1413"/>
    <mergeCell ref="B1402:D1402"/>
    <mergeCell ref="B829:C829"/>
    <mergeCell ref="B831:D831"/>
    <mergeCell ref="B830:D830"/>
    <mergeCell ref="B839:C839"/>
    <mergeCell ref="B834:D834"/>
    <mergeCell ref="B844:D844"/>
    <mergeCell ref="B846:C846"/>
    <mergeCell ref="B809:D809"/>
    <mergeCell ref="B811:C811"/>
    <mergeCell ref="B858:C858"/>
    <mergeCell ref="B856:D856"/>
    <mergeCell ref="B855:C855"/>
    <mergeCell ref="B853:D853"/>
    <mergeCell ref="B796:C796"/>
    <mergeCell ref="B771:D771"/>
    <mergeCell ref="B774:D774"/>
    <mergeCell ref="B808:C808"/>
    <mergeCell ref="B842:C842"/>
    <mergeCell ref="B843:D843"/>
    <mergeCell ref="B802:D802"/>
    <mergeCell ref="B833:C833"/>
    <mergeCell ref="B812:D812"/>
    <mergeCell ref="B840:D840"/>
    <mergeCell ref="B867:D867"/>
    <mergeCell ref="B866:C866"/>
    <mergeCell ref="B859:D859"/>
    <mergeCell ref="B860:D860"/>
    <mergeCell ref="B862:C862"/>
    <mergeCell ref="B863:D863"/>
    <mergeCell ref="B891:D891"/>
    <mergeCell ref="B890:C890"/>
    <mergeCell ref="B870:C870"/>
    <mergeCell ref="B877:C877"/>
    <mergeCell ref="B880:C880"/>
    <mergeCell ref="B874:C874"/>
    <mergeCell ref="B806:D806"/>
    <mergeCell ref="B805:D805"/>
    <mergeCell ref="B1220:D1220"/>
    <mergeCell ref="B1221:D1221"/>
    <mergeCell ref="B1207:D1207"/>
    <mergeCell ref="B1206:D1206"/>
    <mergeCell ref="B1208:D1208"/>
    <mergeCell ref="B1211:D1211"/>
    <mergeCell ref="B1210:C1210"/>
    <mergeCell ref="B1226:C1226"/>
    <mergeCell ref="B1224:D1224"/>
    <mergeCell ref="B1283:D1283"/>
    <mergeCell ref="B1284:D1284"/>
    <mergeCell ref="B1293:D1293"/>
    <mergeCell ref="B1292:C1292"/>
    <mergeCell ref="B1299:C1299"/>
    <mergeCell ref="B1302:C1302"/>
    <mergeCell ref="B1296:D1296"/>
    <mergeCell ref="B1297:D1297"/>
    <mergeCell ref="B1289:C1289"/>
    <mergeCell ref="B1300:D1300"/>
    <mergeCell ref="B1282:C1282"/>
    <mergeCell ref="B1290:D1290"/>
    <mergeCell ref="B1295:C1295"/>
    <mergeCell ref="B520:D520"/>
    <mergeCell ref="B519:C519"/>
    <mergeCell ref="B530:D530"/>
    <mergeCell ref="B531:D531"/>
    <mergeCell ref="B522:C522"/>
    <mergeCell ref="B523:D523"/>
    <mergeCell ref="B505:D505"/>
    <mergeCell ref="B526:D526"/>
    <mergeCell ref="B511:C511"/>
    <mergeCell ref="B509:D509"/>
    <mergeCell ref="B506:D506"/>
    <mergeCell ref="B508:C508"/>
    <mergeCell ref="B525:C525"/>
    <mergeCell ref="B535:D535"/>
    <mergeCell ref="B537:C537"/>
    <mergeCell ref="B541:C541"/>
    <mergeCell ref="B533:C533"/>
    <mergeCell ref="B496:D496"/>
    <mergeCell ref="B504:D504"/>
    <mergeCell ref="B500:D500"/>
    <mergeCell ref="B562:D562"/>
    <mergeCell ref="B559:D559"/>
    <mergeCell ref="B501:D501"/>
    <mergeCell ref="B547:D547"/>
    <mergeCell ref="B539:D539"/>
    <mergeCell ref="B486:D486"/>
    <mergeCell ref="B484:D484"/>
    <mergeCell ref="B485:D485"/>
    <mergeCell ref="B483:C483"/>
    <mergeCell ref="B481:D481"/>
    <mergeCell ref="B480:D480"/>
    <mergeCell ref="B476:C476"/>
    <mergeCell ref="B479:C479"/>
    <mergeCell ref="B477:D477"/>
    <mergeCell ref="B473:C473"/>
    <mergeCell ref="B474:D474"/>
    <mergeCell ref="B487:D487"/>
    <mergeCell ref="B440:D440"/>
    <mergeCell ref="B439:C439"/>
    <mergeCell ref="B436:C436"/>
    <mergeCell ref="B437:D437"/>
    <mergeCell ref="B467:C467"/>
    <mergeCell ref="B464:C464"/>
    <mergeCell ref="B622:C622"/>
    <mergeCell ref="B623:D623"/>
    <mergeCell ref="B616:D616"/>
    <mergeCell ref="B618:C618"/>
    <mergeCell ref="B627:D627"/>
    <mergeCell ref="B626:D626"/>
    <mergeCell ref="B620:D620"/>
    <mergeCell ref="B625:C625"/>
    <mergeCell ref="B619:D619"/>
    <mergeCell ref="B658:C658"/>
    <mergeCell ref="B667:C667"/>
    <mergeCell ref="B692:C692"/>
    <mergeCell ref="B647:D647"/>
    <mergeCell ref="B648:D648"/>
    <mergeCell ref="B656:D656"/>
    <mergeCell ref="B676:C676"/>
    <mergeCell ref="B674:D674"/>
    <mergeCell ref="B673:C673"/>
    <mergeCell ref="B686:D686"/>
    <mergeCell ref="B608:C608"/>
    <mergeCell ref="B614:C614"/>
    <mergeCell ref="B576:C576"/>
    <mergeCell ref="B582:C582"/>
    <mergeCell ref="B579:C579"/>
    <mergeCell ref="B591:D591"/>
    <mergeCell ref="B592:D592"/>
    <mergeCell ref="B580:D580"/>
    <mergeCell ref="B577:D577"/>
    <mergeCell ref="B584:D584"/>
    <mergeCell ref="B586:C586"/>
    <mergeCell ref="B602:D602"/>
    <mergeCell ref="B603:D603"/>
    <mergeCell ref="B593:D593"/>
    <mergeCell ref="B590:D590"/>
    <mergeCell ref="B632:C632"/>
    <mergeCell ref="B635:C635"/>
    <mergeCell ref="B633:D633"/>
    <mergeCell ref="B646:C646"/>
    <mergeCell ref="B644:D644"/>
    <mergeCell ref="B643:C643"/>
    <mergeCell ref="B640:D640"/>
    <mergeCell ref="B641:D641"/>
    <mergeCell ref="B636:D636"/>
    <mergeCell ref="B685:C685"/>
    <mergeCell ref="B683:D683"/>
    <mergeCell ref="B684:M684"/>
    <mergeCell ref="B689:C689"/>
    <mergeCell ref="B691:M691"/>
    <mergeCell ref="B687:D687"/>
    <mergeCell ref="B708:M708"/>
    <mergeCell ref="B699:M699"/>
    <mergeCell ref="B702:M702"/>
    <mergeCell ref="B705:M705"/>
    <mergeCell ref="B694:M694"/>
    <mergeCell ref="B688:M688"/>
    <mergeCell ref="B662:D662"/>
    <mergeCell ref="B659:D659"/>
    <mergeCell ref="B661:C661"/>
    <mergeCell ref="B665:D665"/>
    <mergeCell ref="B664:C664"/>
    <mergeCell ref="B653:D653"/>
    <mergeCell ref="B652:D652"/>
    <mergeCell ref="B671:D671"/>
    <mergeCell ref="B668:D668"/>
    <mergeCell ref="B670:C670"/>
    <mergeCell ref="B651:D651"/>
    <mergeCell ref="B650:C650"/>
    <mergeCell ref="B714:M714"/>
    <mergeCell ref="B711:M711"/>
    <mergeCell ref="B717:M717"/>
    <mergeCell ref="B724:M724"/>
    <mergeCell ref="B721:M721"/>
    <mergeCell ref="B737:M737"/>
    <mergeCell ref="B734:M734"/>
    <mergeCell ref="B727:M727"/>
    <mergeCell ref="B730:M730"/>
    <mergeCell ref="B741:M741"/>
    <mergeCell ref="B1472:D1472"/>
    <mergeCell ref="B1471:C1471"/>
    <mergeCell ref="B1474:C1474"/>
    <mergeCell ref="B1461:D1461"/>
    <mergeCell ref="B1462:D1462"/>
    <mergeCell ref="B1464:C1464"/>
    <mergeCell ref="B1480:C1480"/>
    <mergeCell ref="B1477:C1477"/>
    <mergeCell ref="B1468:C1468"/>
    <mergeCell ref="B1590:D1590"/>
    <mergeCell ref="B1589:D1589"/>
    <mergeCell ref="B1593:D1593"/>
    <mergeCell ref="B1592:C1592"/>
    <mergeCell ref="B1604:C1604"/>
    <mergeCell ref="B1601:C1601"/>
    <mergeCell ref="B1596:D1596"/>
    <mergeCell ref="B1602:D1602"/>
    <mergeCell ref="B1599:D1599"/>
    <mergeCell ref="B1595:C1595"/>
    <mergeCell ref="B1588:C1588"/>
    <mergeCell ref="B1598:C1598"/>
    <mergeCell ref="B1495:C1495"/>
    <mergeCell ref="B1501:C1501"/>
    <mergeCell ref="B1492:C1492"/>
    <mergeCell ref="B1514:C1514"/>
    <mergeCell ref="B1524:D1524"/>
    <mergeCell ref="B1531:D1531"/>
    <mergeCell ref="B1530:D1530"/>
    <mergeCell ref="B1508:C1508"/>
    <mergeCell ref="B1520:C1520"/>
    <mergeCell ref="B1506:D1506"/>
    <mergeCell ref="B1548:C1548"/>
    <mergeCell ref="B1543:C1543"/>
    <mergeCell ref="B1545:D1545"/>
    <mergeCell ref="B1546:D1546"/>
    <mergeCell ref="B1544:D1544"/>
    <mergeCell ref="B1540:C1540"/>
    <mergeCell ref="B1541:D1541"/>
    <mergeCell ref="B1532:D1532"/>
    <mergeCell ref="B1569:C1569"/>
    <mergeCell ref="B1566:C1566"/>
    <mergeCell ref="B1570:D1570"/>
    <mergeCell ref="B1567:D1567"/>
    <mergeCell ref="B1561:D1561"/>
    <mergeCell ref="B1560:C1560"/>
    <mergeCell ref="B1563:C1563"/>
    <mergeCell ref="B1564:D1564"/>
    <mergeCell ref="B1550:D1550"/>
    <mergeCell ref="B1549:D1549"/>
    <mergeCell ref="B1555:D1555"/>
    <mergeCell ref="B1557:C1557"/>
    <mergeCell ref="B1554:D1554"/>
    <mergeCell ref="B1558:D1558"/>
    <mergeCell ref="B1552:C1552"/>
    <mergeCell ref="B1553:D1553"/>
    <mergeCell ref="B1502:D1502"/>
    <mergeCell ref="B1499:D1499"/>
    <mergeCell ref="B1503:D1503"/>
    <mergeCell ref="B1505:C1505"/>
    <mergeCell ref="B1481:D1481"/>
    <mergeCell ref="B1518:D1518"/>
    <mergeCell ref="B1526:C1526"/>
    <mergeCell ref="B1527:D1527"/>
    <mergeCell ref="B1498:C1498"/>
    <mergeCell ref="B1523:C1523"/>
    <mergeCell ref="B1529:C1529"/>
    <mergeCell ref="B1438:D1438"/>
    <mergeCell ref="B1440:C1440"/>
    <mergeCell ref="B1441:D1441"/>
    <mergeCell ref="B1451:C1451"/>
    <mergeCell ref="B1454:C1454"/>
    <mergeCell ref="B1455:D1455"/>
    <mergeCell ref="B1452:D1452"/>
    <mergeCell ref="B1458:D1458"/>
    <mergeCell ref="B1457:C1457"/>
    <mergeCell ref="B1460:C1460"/>
    <mergeCell ref="B1448:D1448"/>
    <mergeCell ref="B1449:D1449"/>
    <mergeCell ref="B1446:C1446"/>
    <mergeCell ref="B1447:D1447"/>
    <mergeCell ref="B1443:C1443"/>
    <mergeCell ref="B1444:D1444"/>
    <mergeCell ref="B1580:D1580"/>
    <mergeCell ref="B1576:D1576"/>
    <mergeCell ref="B1582:C1582"/>
    <mergeCell ref="B1534:C1534"/>
    <mergeCell ref="B1535:D1535"/>
    <mergeCell ref="B1453:M1453"/>
    <mergeCell ref="B1450:M1450"/>
    <mergeCell ref="B1432:D1432"/>
    <mergeCell ref="B1431:D1431"/>
    <mergeCell ref="B1412:C1412"/>
    <mergeCell ref="B1415:C1415"/>
    <mergeCell ref="B1418:C1418"/>
    <mergeCell ref="B1424:C1424"/>
    <mergeCell ref="B1434:C1434"/>
    <mergeCell ref="B1433:M1433"/>
    <mergeCell ref="B1484:D1484"/>
    <mergeCell ref="B1483:C1483"/>
    <mergeCell ref="B1507:M1507"/>
    <mergeCell ref="B1510:M1510"/>
    <mergeCell ref="B1519:M1519"/>
    <mergeCell ref="B1497:M1497"/>
    <mergeCell ref="B1494:M1494"/>
    <mergeCell ref="B1600:M1600"/>
    <mergeCell ref="B1603:M1603"/>
    <mergeCell ref="B1581:M1581"/>
    <mergeCell ref="B1469:D1469"/>
    <mergeCell ref="B1475:D1475"/>
    <mergeCell ref="B1465:D1465"/>
    <mergeCell ref="B1466:D1466"/>
    <mergeCell ref="B1591:M1591"/>
    <mergeCell ref="B1565:M1565"/>
    <mergeCell ref="B1568:M1568"/>
    <mergeCell ref="B1571:M1571"/>
    <mergeCell ref="B1574:M1574"/>
    <mergeCell ref="B1578:M1578"/>
    <mergeCell ref="B1613:C1613"/>
    <mergeCell ref="B1610:C1610"/>
    <mergeCell ref="B1528:M1528"/>
    <mergeCell ref="B1525:M1525"/>
    <mergeCell ref="B1615:M1615"/>
    <mergeCell ref="B1612:M1612"/>
    <mergeCell ref="B1597:M1597"/>
    <mergeCell ref="B1594:M1594"/>
    <mergeCell ref="B1608:D1608"/>
    <mergeCell ref="B1537:C1537"/>
    <mergeCell ref="B1583:D1583"/>
    <mergeCell ref="B1562:M1562"/>
    <mergeCell ref="B1556:M1556"/>
    <mergeCell ref="B1559:M1559"/>
    <mergeCell ref="B1539:M1539"/>
    <mergeCell ref="B1542:M1542"/>
    <mergeCell ref="B1536:M1536"/>
    <mergeCell ref="B1533:M1533"/>
    <mergeCell ref="B1547:M1547"/>
    <mergeCell ref="B1551:M1551"/>
    <mergeCell ref="B1605:D1605"/>
    <mergeCell ref="B1607:C1607"/>
    <mergeCell ref="B1611:D1611"/>
    <mergeCell ref="B1614:D1614"/>
    <mergeCell ref="B39:M39"/>
    <mergeCell ref="B31:M31"/>
    <mergeCell ref="B32:C32"/>
    <mergeCell ref="B28:C28"/>
    <mergeCell ref="B25:C25"/>
    <mergeCell ref="B54:D54"/>
    <mergeCell ref="B53:C53"/>
    <mergeCell ref="B51:D51"/>
    <mergeCell ref="B45:D45"/>
    <mergeCell ref="B47:C47"/>
    <mergeCell ref="B42:M42"/>
    <mergeCell ref="B46:M46"/>
    <mergeCell ref="B44:D44"/>
    <mergeCell ref="B57:D57"/>
    <mergeCell ref="F4:G4"/>
    <mergeCell ref="D4:E4"/>
    <mergeCell ref="L4:M4"/>
    <mergeCell ref="H4:I4"/>
    <mergeCell ref="J4:K4"/>
    <mergeCell ref="B41:D41"/>
    <mergeCell ref="B52:M52"/>
    <mergeCell ref="B6:M6"/>
    <mergeCell ref="B9:M9"/>
    <mergeCell ref="B8:D8"/>
    <mergeCell ref="B7:C7"/>
    <mergeCell ref="B12:M12"/>
    <mergeCell ref="B15:M15"/>
    <mergeCell ref="B13:C13"/>
    <mergeCell ref="B4:C4"/>
    <mergeCell ref="B1:M3"/>
    <mergeCell ref="B18:D18"/>
    <mergeCell ref="B23:D23"/>
    <mergeCell ref="B22:D22"/>
    <mergeCell ref="B21:D21"/>
    <mergeCell ref="B20:C20"/>
    <mergeCell ref="B56:C56"/>
    <mergeCell ref="B50:C50"/>
    <mergeCell ref="B30:D30"/>
    <mergeCell ref="B26:D26"/>
    <mergeCell ref="B29:D29"/>
    <mergeCell ref="B24:M24"/>
    <mergeCell ref="B27:M27"/>
    <mergeCell ref="B101:D101"/>
    <mergeCell ref="B100:C100"/>
    <mergeCell ref="B63:M63"/>
    <mergeCell ref="B66:D66"/>
    <mergeCell ref="B65:D65"/>
    <mergeCell ref="B107:M107"/>
    <mergeCell ref="B106:D106"/>
    <mergeCell ref="B110:D110"/>
    <mergeCell ref="B64:C64"/>
    <mergeCell ref="B111:D111"/>
    <mergeCell ref="B113:C113"/>
    <mergeCell ref="B62:D62"/>
    <mergeCell ref="B60:C60"/>
    <mergeCell ref="B61:D61"/>
    <mergeCell ref="B59:M59"/>
    <mergeCell ref="B58:D58"/>
    <mergeCell ref="B16:C16"/>
    <mergeCell ref="B14:D14"/>
    <mergeCell ref="B10:C10"/>
    <mergeCell ref="B11:D11"/>
    <mergeCell ref="B38:D38"/>
    <mergeCell ref="B40:C40"/>
    <mergeCell ref="B43:C43"/>
    <mergeCell ref="B48:D48"/>
    <mergeCell ref="B19:M19"/>
    <mergeCell ref="B17:D17"/>
    <mergeCell ref="B35:M35"/>
    <mergeCell ref="B36:C36"/>
    <mergeCell ref="B33:D33"/>
    <mergeCell ref="B34:D34"/>
    <mergeCell ref="B37:D37"/>
    <mergeCell ref="B55:M55"/>
    <mergeCell ref="B49:M49"/>
    <mergeCell ref="B820:C820"/>
    <mergeCell ref="B816:D816"/>
    <mergeCell ref="B818:D818"/>
    <mergeCell ref="B817:D817"/>
    <mergeCell ref="B815:D815"/>
    <mergeCell ref="B814:C814"/>
    <mergeCell ref="B1143:D1143"/>
    <mergeCell ref="B1142:C1142"/>
    <mergeCell ref="B827:D827"/>
    <mergeCell ref="B826:C826"/>
    <mergeCell ref="B823:C823"/>
    <mergeCell ref="B824:D824"/>
    <mergeCell ref="B849:C849"/>
    <mergeCell ref="B837:D837"/>
    <mergeCell ref="B836:C836"/>
    <mergeCell ref="B1133:D1133"/>
    <mergeCell ref="B1135:C1135"/>
    <mergeCell ref="B1121:C1121"/>
    <mergeCell ref="B1124:C1124"/>
    <mergeCell ref="B1126:D1126"/>
    <mergeCell ref="B1125:D1125"/>
    <mergeCell ref="B1116:C1116"/>
    <mergeCell ref="B696:D696"/>
    <mergeCell ref="B695:C695"/>
    <mergeCell ref="B712:C712"/>
    <mergeCell ref="B725:C725"/>
    <mergeCell ref="B726:D726"/>
    <mergeCell ref="B728:C728"/>
    <mergeCell ref="B718:C718"/>
    <mergeCell ref="B732:D732"/>
    <mergeCell ref="B770:C770"/>
    <mergeCell ref="B787:C787"/>
    <mergeCell ref="B784:C784"/>
    <mergeCell ref="B778:C778"/>
    <mergeCell ref="B1040:C1040"/>
    <mergeCell ref="B1044:D1044"/>
    <mergeCell ref="B1043:C1043"/>
    <mergeCell ref="B1049:C1049"/>
    <mergeCell ref="B1046:C1046"/>
    <mergeCell ref="B1050:D1050"/>
    <mergeCell ref="B1047:D1047"/>
    <mergeCell ref="B1012:C1012"/>
    <mergeCell ref="B1013:D1013"/>
    <mergeCell ref="B1091:C1091"/>
    <mergeCell ref="B1092:D1092"/>
    <mergeCell ref="B1062:D1062"/>
    <mergeCell ref="B1061:C1061"/>
    <mergeCell ref="B997:C997"/>
    <mergeCell ref="B998:D998"/>
    <mergeCell ref="B850:D850"/>
    <mergeCell ref="B852:C852"/>
    <mergeCell ref="B868:D868"/>
    <mergeCell ref="B871:D871"/>
    <mergeCell ref="B888:D888"/>
    <mergeCell ref="B887:D887"/>
    <mergeCell ref="B864:D864"/>
    <mergeCell ref="B927:C927"/>
    <mergeCell ref="B930:C930"/>
    <mergeCell ref="B924:C924"/>
    <mergeCell ref="B921:C921"/>
    <mergeCell ref="B943:C943"/>
    <mergeCell ref="B939:C939"/>
    <mergeCell ref="B934:D934"/>
    <mergeCell ref="B899:C899"/>
    <mergeCell ref="B908:C908"/>
    <mergeCell ref="B903:D903"/>
    <mergeCell ref="B909:D909"/>
    <mergeCell ref="B902:C902"/>
    <mergeCell ref="B916:D916"/>
    <mergeCell ref="B1010:D1010"/>
    <mergeCell ref="B1007:D1007"/>
    <mergeCell ref="B991:C991"/>
    <mergeCell ref="B992:D992"/>
    <mergeCell ref="B810:M810"/>
    <mergeCell ref="B807:M807"/>
    <mergeCell ref="B841:M841"/>
    <mergeCell ref="B838:M838"/>
    <mergeCell ref="B835:M835"/>
    <mergeCell ref="B832:M832"/>
    <mergeCell ref="B819:M819"/>
    <mergeCell ref="B822:M822"/>
    <mergeCell ref="B828:M828"/>
    <mergeCell ref="B825:M825"/>
    <mergeCell ref="B803:M803"/>
    <mergeCell ref="B813:M813"/>
    <mergeCell ref="B800:M800"/>
    <mergeCell ref="B769:M769"/>
    <mergeCell ref="B772:M772"/>
    <mergeCell ref="B763:M763"/>
    <mergeCell ref="B760:M760"/>
    <mergeCell ref="B753:M753"/>
    <mergeCell ref="B757:M757"/>
    <mergeCell ref="B750:M750"/>
    <mergeCell ref="B747:M747"/>
    <mergeCell ref="B744:M744"/>
    <mergeCell ref="B786:M786"/>
    <mergeCell ref="B783:M783"/>
    <mergeCell ref="B789:M789"/>
    <mergeCell ref="B792:M792"/>
    <mergeCell ref="B795:M795"/>
    <mergeCell ref="B766:M766"/>
    <mergeCell ref="B777:M777"/>
    <mergeCell ref="B898:M898"/>
    <mergeCell ref="B895:M895"/>
    <mergeCell ref="B911:C911"/>
    <mergeCell ref="B904:M904"/>
    <mergeCell ref="B914:M914"/>
    <mergeCell ref="B907:M907"/>
    <mergeCell ref="B910:M910"/>
    <mergeCell ref="B917:M917"/>
    <mergeCell ref="B920:M920"/>
    <mergeCell ref="B901:M901"/>
    <mergeCell ref="B854:M854"/>
    <mergeCell ref="B857:M857"/>
    <mergeCell ref="B848:M848"/>
    <mergeCell ref="B865:M865"/>
    <mergeCell ref="B869:M869"/>
    <mergeCell ref="B873:M873"/>
    <mergeCell ref="B861:M861"/>
    <mergeCell ref="B851:M851"/>
    <mergeCell ref="B845:M845"/>
    <mergeCell ref="B975:M975"/>
    <mergeCell ref="B980:M980"/>
    <mergeCell ref="B942:M942"/>
    <mergeCell ref="B946:M946"/>
    <mergeCell ref="B986:M986"/>
    <mergeCell ref="B990:M990"/>
    <mergeCell ref="B971:M971"/>
    <mergeCell ref="B967:M967"/>
    <mergeCell ref="B954:M954"/>
    <mergeCell ref="B983:M983"/>
    <mergeCell ref="B929:M929"/>
    <mergeCell ref="B951:M951"/>
    <mergeCell ref="B1042:M1042"/>
    <mergeCell ref="B1039:M1039"/>
    <mergeCell ref="B1017:M1017"/>
    <mergeCell ref="B1030:M1030"/>
    <mergeCell ref="B1027:M1027"/>
    <mergeCell ref="B1021:M1021"/>
    <mergeCell ref="B1024:M1024"/>
    <mergeCell ref="B1034:M1034"/>
    <mergeCell ref="B1045:M1045"/>
    <mergeCell ref="B961:M961"/>
    <mergeCell ref="B958:M958"/>
    <mergeCell ref="B993:M993"/>
    <mergeCell ref="B996:M996"/>
    <mergeCell ref="B1005:M1005"/>
    <mergeCell ref="B1002:M1002"/>
    <mergeCell ref="B1008:M1008"/>
    <mergeCell ref="B999:M999"/>
    <mergeCell ref="B1011:M1011"/>
    <mergeCell ref="B1014:M1014"/>
    <mergeCell ref="B883:C883"/>
    <mergeCell ref="B894:D894"/>
    <mergeCell ref="B878:D878"/>
    <mergeCell ref="B884:D884"/>
    <mergeCell ref="B906:D906"/>
    <mergeCell ref="B905:C905"/>
    <mergeCell ref="B912:D912"/>
    <mergeCell ref="B876:M876"/>
    <mergeCell ref="B879:M879"/>
    <mergeCell ref="B889:M889"/>
    <mergeCell ref="B885:M885"/>
    <mergeCell ref="B882:M882"/>
    <mergeCell ref="B892:M892"/>
    <mergeCell ref="B933:C933"/>
    <mergeCell ref="B932:M932"/>
    <mergeCell ref="B926:M926"/>
    <mergeCell ref="B923:M923"/>
    <mergeCell ref="B935:M935"/>
    <mergeCell ref="B938:M938"/>
    <mergeCell ref="B1048:M1048"/>
    <mergeCell ref="B1051:M1051"/>
    <mergeCell ref="B1169:M1169"/>
    <mergeCell ref="B1175:M1175"/>
    <mergeCell ref="B1172:M1172"/>
    <mergeCell ref="B1183:M1183"/>
    <mergeCell ref="B1180:M1180"/>
    <mergeCell ref="B1198:M1198"/>
    <mergeCell ref="B1189:M1189"/>
    <mergeCell ref="B1195:M1195"/>
    <mergeCell ref="B1201:M1201"/>
    <mergeCell ref="B1192:M1192"/>
    <mergeCell ref="B1166:M1166"/>
    <mergeCell ref="B1186:M1186"/>
    <mergeCell ref="B1288:M1288"/>
    <mergeCell ref="B1285:M1285"/>
    <mergeCell ref="B1260:M1260"/>
    <mergeCell ref="B1269:M1269"/>
    <mergeCell ref="B1263:M1263"/>
    <mergeCell ref="B1272:M1272"/>
    <mergeCell ref="B1266:M1266"/>
    <mergeCell ref="B1298:M1298"/>
    <mergeCell ref="B1275:M1275"/>
    <mergeCell ref="B1222:M1222"/>
    <mergeCell ref="B1231:M1231"/>
    <mergeCell ref="B1225:M1225"/>
    <mergeCell ref="B1228:M1228"/>
    <mergeCell ref="B1257:M1257"/>
    <mergeCell ref="B1254:M1254"/>
    <mergeCell ref="B1251:M1251"/>
    <mergeCell ref="B1248:M1248"/>
    <mergeCell ref="B1234:M1234"/>
    <mergeCell ref="B1209:M1209"/>
    <mergeCell ref="B1238:M1238"/>
    <mergeCell ref="B1294:M1294"/>
    <mergeCell ref="B1291:M1291"/>
    <mergeCell ref="B1301:M1301"/>
    <mergeCell ref="B1304:M1304"/>
    <mergeCell ref="B1162:M1162"/>
    <mergeCell ref="B1159:M1159"/>
    <mergeCell ref="B1156:M1156"/>
    <mergeCell ref="B1278:M1278"/>
    <mergeCell ref="B1281:M1281"/>
    <mergeCell ref="B1245:M1245"/>
    <mergeCell ref="B1241:M1241"/>
    <mergeCell ref="B1212:M1212"/>
    <mergeCell ref="B1215:M1215"/>
    <mergeCell ref="B1141:M1141"/>
    <mergeCell ref="B1144:M1144"/>
    <mergeCell ref="B1147:M1147"/>
    <mergeCell ref="B1131:M1131"/>
    <mergeCell ref="B1134:M1134"/>
    <mergeCell ref="B1137:M1137"/>
    <mergeCell ref="B1127:M1127"/>
    <mergeCell ref="B1150:M1150"/>
    <mergeCell ref="B1153:M1153"/>
    <mergeCell ref="B1113:C1113"/>
    <mergeCell ref="B1114:D1114"/>
    <mergeCell ref="B1110:C1110"/>
    <mergeCell ref="B1107:D1107"/>
    <mergeCell ref="B1111:D1111"/>
    <mergeCell ref="B1105:C1105"/>
    <mergeCell ref="B1106:D1106"/>
    <mergeCell ref="B1090:M1090"/>
    <mergeCell ref="B1093:M1093"/>
    <mergeCell ref="B1109:M1109"/>
    <mergeCell ref="B1120:M1120"/>
    <mergeCell ref="B1112:M1112"/>
    <mergeCell ref="B1115:M1115"/>
    <mergeCell ref="B1123:M1123"/>
    <mergeCell ref="B1070:M1070"/>
    <mergeCell ref="B1063:M1063"/>
    <mergeCell ref="B1066:M1066"/>
    <mergeCell ref="B1060:M1060"/>
    <mergeCell ref="B1057:M1057"/>
    <mergeCell ref="B1054:M1054"/>
    <mergeCell ref="B1078:M1078"/>
    <mergeCell ref="B1075:M1075"/>
    <mergeCell ref="B1103:D1103"/>
    <mergeCell ref="B1102:C1102"/>
    <mergeCell ref="B1087:M1087"/>
    <mergeCell ref="B1084:M1084"/>
    <mergeCell ref="B1101:M1101"/>
    <mergeCell ref="B1097:M1097"/>
    <mergeCell ref="B1104:M1104"/>
    <mergeCell ref="B1081:M1081"/>
    <mergeCell ref="B1442:M1442"/>
    <mergeCell ref="B1439:M1439"/>
    <mergeCell ref="B1430:C1430"/>
    <mergeCell ref="B1429:M1429"/>
    <mergeCell ref="B1445:M1445"/>
    <mergeCell ref="B1420:M1420"/>
    <mergeCell ref="B1423:M1423"/>
    <mergeCell ref="B1427:C1427"/>
    <mergeCell ref="B1435:D1435"/>
    <mergeCell ref="B1436:M1436"/>
    <mergeCell ref="B1425:D1425"/>
    <mergeCell ref="B1426:M1426"/>
    <mergeCell ref="B1491:M1491"/>
    <mergeCell ref="B1488:M1488"/>
    <mergeCell ref="B1512:D1512"/>
    <mergeCell ref="B1511:C1511"/>
    <mergeCell ref="B1485:M1485"/>
    <mergeCell ref="B1487:D1487"/>
    <mergeCell ref="B1486:C1486"/>
    <mergeCell ref="B1504:M1504"/>
    <mergeCell ref="B1500:M1500"/>
    <mergeCell ref="B1522:M1522"/>
    <mergeCell ref="B1516:M1516"/>
    <mergeCell ref="B1513:M1513"/>
    <mergeCell ref="B1509:D1509"/>
    <mergeCell ref="B1496:D1496"/>
    <mergeCell ref="B1606:M1606"/>
    <mergeCell ref="B1609:M1609"/>
    <mergeCell ref="B1586:D1586"/>
    <mergeCell ref="B1587:M1587"/>
    <mergeCell ref="B1572:C1572"/>
    <mergeCell ref="B1579:C1579"/>
    <mergeCell ref="B1585:C1585"/>
    <mergeCell ref="B1584:M1584"/>
    <mergeCell ref="B1963:C1963"/>
    <mergeCell ref="B1964:D1964"/>
    <mergeCell ref="B1621:M1621"/>
    <mergeCell ref="B1622:C1622"/>
    <mergeCell ref="B1623:D1623"/>
    <mergeCell ref="B1618:M1618"/>
    <mergeCell ref="B1619:C1619"/>
    <mergeCell ref="B1617:D1617"/>
    <mergeCell ref="B1620:D1620"/>
    <mergeCell ref="B1616:C1616"/>
    <mergeCell ref="B1479:M1479"/>
    <mergeCell ref="B1476:M1476"/>
    <mergeCell ref="B1478:D1478"/>
    <mergeCell ref="B1482:M1482"/>
    <mergeCell ref="B1456:M1456"/>
    <mergeCell ref="B1473:M1473"/>
    <mergeCell ref="B1463:M1463"/>
    <mergeCell ref="B1470:M1470"/>
    <mergeCell ref="B1467:M1467"/>
    <mergeCell ref="B1459:M1459"/>
    <mergeCell ref="B1129:D1129"/>
    <mergeCell ref="B1130:D1130"/>
    <mergeCell ref="B1119:D1119"/>
    <mergeCell ref="B1118:D1118"/>
    <mergeCell ref="B1122:D1122"/>
    <mergeCell ref="B1117:D1117"/>
    <mergeCell ref="B1138:C1138"/>
    <mergeCell ref="B1139:D1139"/>
    <mergeCell ref="B1149:D1149"/>
    <mergeCell ref="B1148:C1148"/>
    <mergeCell ref="B1152:D1152"/>
    <mergeCell ref="B1155:D1155"/>
    <mergeCell ref="B1154:C1154"/>
    <mergeCell ref="B1136:D1136"/>
    <mergeCell ref="B1140:D1140"/>
    <mergeCell ref="B1163:C1163"/>
    <mergeCell ref="B1165:D1165"/>
    <mergeCell ref="B1164:D1164"/>
    <mergeCell ref="B1158:D1158"/>
    <mergeCell ref="B1157:C1157"/>
    <mergeCell ref="B1160:C1160"/>
    <mergeCell ref="B1161:D1161"/>
    <mergeCell ref="B1359:M1359"/>
    <mergeCell ref="B1353:M1353"/>
    <mergeCell ref="B1356:M1356"/>
    <mergeCell ref="B1346:M1346"/>
    <mergeCell ref="B1349:M1349"/>
    <mergeCell ref="B1330:M1330"/>
    <mergeCell ref="B1327:M1327"/>
    <mergeCell ref="B1380:M1380"/>
    <mergeCell ref="B1377:M1377"/>
    <mergeCell ref="B1342:M1342"/>
    <mergeCell ref="B1336:M1336"/>
    <mergeCell ref="B1339:M1339"/>
    <mergeCell ref="B1321:M1321"/>
    <mergeCell ref="B1324:M1324"/>
    <mergeCell ref="B1406:D1406"/>
    <mergeCell ref="B1407:D1407"/>
    <mergeCell ref="B1393:M1393"/>
    <mergeCell ref="B1390:M1390"/>
    <mergeCell ref="B1400:M1400"/>
    <mergeCell ref="B1404:M1404"/>
    <mergeCell ref="B1417:M1417"/>
    <mergeCell ref="B1414:M1414"/>
    <mergeCell ref="B1411:M1411"/>
    <mergeCell ref="B1384:M1384"/>
    <mergeCell ref="B1387:M1387"/>
    <mergeCell ref="B1408:M1408"/>
    <mergeCell ref="B1410:D1410"/>
    <mergeCell ref="B1396:M1396"/>
    <mergeCell ref="B1313:M1313"/>
    <mergeCell ref="B1316:M1316"/>
    <mergeCell ref="B1307:M1307"/>
    <mergeCell ref="B1310:M1310"/>
    <mergeCell ref="B1374:M1374"/>
    <mergeCell ref="B1371:M1371"/>
    <mergeCell ref="B1366:M1366"/>
    <mergeCell ref="B1362:M1362"/>
  </mergeCells>
  <hyperlinks>
    <hyperlink display="N++&gt;Solo&gt;Levels" location="Main Menu!A1" ref="B1"/>
    <hyperlink display="Intro" location="Solo&gt;Levels&gt;Intro!A1" ref="B4"/>
    <hyperlink display="N++" location="Solo&gt;Levels&gt;N++!A1" ref="D4"/>
    <hyperlink display="Legacy" location="Solo&gt;Levels&gt;Legacy!A1" ref="H4"/>
    <hyperlink display="?" location="Solo&gt;Levels&gt;!A1" ref="J4"/>
    <hyperlink display="!" location="Solo&gt;Levels&gt;!!A1" ref="L4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1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7" t="s">
        <v>3</v>
      </c>
      <c r="E4" s="6"/>
      <c r="F4" s="8" t="s">
        <v>4</v>
      </c>
      <c r="G4" s="6"/>
      <c r="H4" s="5" t="s">
        <v>5</v>
      </c>
      <c r="I4" s="6"/>
      <c r="J4" s="8" t="s">
        <v>6</v>
      </c>
      <c r="K4" s="6"/>
      <c r="L4" s="7" t="s">
        <v>7</v>
      </c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388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389</v>
      </c>
      <c r="D7" s="9"/>
      <c r="E7" s="17" t="s">
        <v>14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390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392</v>
      </c>
      <c r="D9" s="9"/>
      <c r="E9" s="17" t="s">
        <v>14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4" t="s">
        <v>393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"/>
    </row>
    <row r="11">
      <c r="A11" s="1"/>
      <c r="B11" s="4" t="s">
        <v>395</v>
      </c>
      <c r="D11" s="9"/>
      <c r="E11" s="17" t="s">
        <v>14</v>
      </c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4" t="s">
        <v>396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397</v>
      </c>
      <c r="D13" s="9"/>
      <c r="E13" s="17" t="s">
        <v>14</v>
      </c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4" t="s">
        <v>398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4"/>
    </row>
    <row r="15">
      <c r="A15" s="1"/>
      <c r="B15" s="4" t="s">
        <v>399</v>
      </c>
      <c r="D15" s="9"/>
      <c r="E15" s="17" t="s">
        <v>14</v>
      </c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4" t="s">
        <v>401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402</v>
      </c>
      <c r="D17" s="9"/>
      <c r="E17" s="17" t="s">
        <v>14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403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406</v>
      </c>
      <c r="D19" s="9"/>
      <c r="E19" s="17" t="s">
        <v>14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4" t="s">
        <v>409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"/>
    </row>
    <row r="21">
      <c r="A21" s="1"/>
      <c r="B21" s="4" t="s">
        <v>410</v>
      </c>
      <c r="D21" s="9"/>
      <c r="E21" s="17" t="s">
        <v>14</v>
      </c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4" t="s">
        <v>411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4"/>
    </row>
    <row r="23">
      <c r="A23" s="1"/>
      <c r="B23" s="4" t="s">
        <v>412</v>
      </c>
      <c r="D23" s="9"/>
      <c r="E23" s="17" t="s">
        <v>14</v>
      </c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4" t="s">
        <v>413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4"/>
    </row>
    <row r="25">
      <c r="A25" s="1"/>
      <c r="B25" s="4" t="s">
        <v>414</v>
      </c>
      <c r="D25" s="9"/>
      <c r="E25" s="17" t="s">
        <v>14</v>
      </c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4" t="s">
        <v>415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416</v>
      </c>
      <c r="D27" s="9"/>
      <c r="E27" s="17" t="s">
        <v>14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417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420</v>
      </c>
      <c r="D29" s="9"/>
      <c r="E29" s="17" t="s">
        <v>14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4" t="s">
        <v>421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4"/>
    </row>
    <row r="31">
      <c r="A31" s="1"/>
      <c r="B31" s="4" t="s">
        <v>423</v>
      </c>
      <c r="D31" s="9"/>
      <c r="E31" s="17" t="s">
        <v>14</v>
      </c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4" t="s">
        <v>424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4"/>
    </row>
    <row r="33">
      <c r="A33" s="1"/>
      <c r="B33" s="4" t="s">
        <v>426</v>
      </c>
      <c r="D33" s="9"/>
      <c r="E33" s="17" t="s">
        <v>14</v>
      </c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4" t="s">
        <v>427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4"/>
    </row>
    <row r="35">
      <c r="A35" s="1"/>
      <c r="B35" s="4" t="s">
        <v>428</v>
      </c>
      <c r="D35" s="9"/>
      <c r="E35" s="17" t="s">
        <v>14</v>
      </c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4" t="s">
        <v>429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432</v>
      </c>
      <c r="D37" s="9"/>
      <c r="E37" s="17" t="s">
        <v>14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433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435</v>
      </c>
      <c r="D39" s="9"/>
      <c r="E39" s="17" t="s">
        <v>14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4" t="s">
        <v>436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4"/>
    </row>
    <row r="41">
      <c r="A41" s="1"/>
      <c r="B41" s="4" t="s">
        <v>437</v>
      </c>
      <c r="D41" s="9"/>
      <c r="E41" s="17" t="s">
        <v>14</v>
      </c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4" t="s">
        <v>438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4"/>
    </row>
    <row r="43">
      <c r="A43" s="1"/>
      <c r="B43" s="4" t="s">
        <v>440</v>
      </c>
      <c r="D43" s="9"/>
      <c r="E43" s="17" t="s">
        <v>14</v>
      </c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4" t="s">
        <v>441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4"/>
    </row>
    <row r="45">
      <c r="A45" s="1"/>
      <c r="B45" s="4" t="s">
        <v>442</v>
      </c>
      <c r="D45" s="9"/>
      <c r="E45" s="17" t="s">
        <v>14</v>
      </c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4" t="s">
        <v>443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445</v>
      </c>
      <c r="D47" s="9"/>
      <c r="E47" s="17" t="s">
        <v>14</v>
      </c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4" t="s">
        <v>446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4"/>
    </row>
    <row r="49">
      <c r="A49" s="1"/>
      <c r="B49" s="4" t="s">
        <v>448</v>
      </c>
      <c r="D49" s="9"/>
      <c r="E49" s="17" t="s">
        <v>14</v>
      </c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4" t="s">
        <v>450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4"/>
    </row>
    <row r="51">
      <c r="A51" s="1"/>
      <c r="B51" s="4" t="s">
        <v>453</v>
      </c>
      <c r="D51" s="9"/>
      <c r="E51" s="17" t="s">
        <v>14</v>
      </c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4" t="s">
        <v>454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4"/>
    </row>
    <row r="53">
      <c r="A53" s="1"/>
      <c r="B53" s="4" t="s">
        <v>455</v>
      </c>
      <c r="D53" s="9"/>
      <c r="E53" s="17" t="s">
        <v>14</v>
      </c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4" t="s">
        <v>456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4"/>
    </row>
    <row r="55">
      <c r="A55" s="1"/>
      <c r="B55" s="4" t="s">
        <v>458</v>
      </c>
      <c r="D55" s="9"/>
      <c r="E55" s="17" t="s">
        <v>14</v>
      </c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4" t="s">
        <v>459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4"/>
    </row>
    <row r="57">
      <c r="A57" s="1"/>
      <c r="B57" s="4" t="s">
        <v>460</v>
      </c>
      <c r="D57" s="9"/>
      <c r="E57" s="17" t="s">
        <v>14</v>
      </c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4" t="s">
        <v>461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462</v>
      </c>
      <c r="D59" s="9"/>
      <c r="E59" s="17" t="s">
        <v>14</v>
      </c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4" t="s">
        <v>463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4"/>
    </row>
    <row r="61">
      <c r="A61" s="1"/>
      <c r="B61" s="4" t="s">
        <v>465</v>
      </c>
      <c r="D61" s="9"/>
      <c r="E61" s="17" t="s">
        <v>14</v>
      </c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4" t="s">
        <v>466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4"/>
    </row>
    <row r="63">
      <c r="A63" s="1"/>
      <c r="B63" s="4" t="s">
        <v>468</v>
      </c>
      <c r="D63" s="9"/>
      <c r="E63" s="17" t="s">
        <v>14</v>
      </c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4" t="s">
        <v>469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4"/>
    </row>
    <row r="65">
      <c r="A65" s="1"/>
      <c r="B65" s="4" t="s">
        <v>470</v>
      </c>
      <c r="D65" s="9"/>
      <c r="E65" s="17" t="s">
        <v>14</v>
      </c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4" t="s">
        <v>471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473</v>
      </c>
      <c r="D67" s="9"/>
      <c r="E67" s="17" t="s">
        <v>14</v>
      </c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4" t="s">
        <v>475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4"/>
    </row>
    <row r="69">
      <c r="A69" s="1"/>
      <c r="B69" s="4" t="s">
        <v>476</v>
      </c>
      <c r="D69" s="9"/>
      <c r="E69" s="17" t="s">
        <v>14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4" t="s">
        <v>477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4"/>
    </row>
    <row r="71">
      <c r="A71" s="1"/>
      <c r="B71" s="4" t="s">
        <v>478</v>
      </c>
      <c r="D71" s="9"/>
      <c r="E71" s="17" t="s">
        <v>14</v>
      </c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4" t="s">
        <v>480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4"/>
    </row>
    <row r="73">
      <c r="A73" s="1"/>
      <c r="B73" s="4" t="s">
        <v>481</v>
      </c>
      <c r="D73" s="9"/>
      <c r="E73" s="17" t="s">
        <v>14</v>
      </c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4" t="s">
        <v>484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4"/>
    </row>
    <row r="75">
      <c r="A75" s="1"/>
      <c r="B75" s="4" t="s">
        <v>485</v>
      </c>
      <c r="D75" s="9"/>
      <c r="E75" s="17" t="s">
        <v>14</v>
      </c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4" t="s">
        <v>487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489</v>
      </c>
      <c r="D77" s="9"/>
      <c r="E77" s="17" t="s">
        <v>14</v>
      </c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4" t="s">
        <v>490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491</v>
      </c>
      <c r="D79" s="9"/>
      <c r="E79" s="17" t="s">
        <v>14</v>
      </c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4" t="s">
        <v>492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4"/>
    </row>
    <row r="81">
      <c r="A81" s="1"/>
      <c r="B81" s="4" t="s">
        <v>493</v>
      </c>
      <c r="D81" s="9"/>
      <c r="E81" s="17" t="s">
        <v>14</v>
      </c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4" t="s">
        <v>494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4"/>
    </row>
    <row r="83">
      <c r="A83" s="1"/>
      <c r="B83" s="4" t="s">
        <v>495</v>
      </c>
      <c r="D83" s="9"/>
      <c r="E83" s="17" t="s">
        <v>14</v>
      </c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4" t="s">
        <v>496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4"/>
    </row>
    <row r="85">
      <c r="A85" s="1"/>
      <c r="B85" s="4" t="s">
        <v>498</v>
      </c>
      <c r="D85" s="9"/>
      <c r="E85" s="17" t="s">
        <v>14</v>
      </c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4" t="s">
        <v>499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501</v>
      </c>
      <c r="D87" s="9"/>
      <c r="E87" s="17" t="s">
        <v>14</v>
      </c>
      <c r="F87" s="18" t="str">
        <f>HYPERLINK("https://www.youtube.com/watch?v=57FR5xvk0VI",'Players&gt;List'!$B18)</f>
        <v>[HGB]</v>
      </c>
      <c r="G87" s="1"/>
      <c r="H87" s="1"/>
      <c r="I87" s="1"/>
      <c r="J87" s="1"/>
      <c r="K87" s="1"/>
      <c r="L87" s="1"/>
      <c r="M87" s="1"/>
      <c r="N87" s="1"/>
    </row>
    <row r="88">
      <c r="A88" s="1"/>
      <c r="B88" s="14" t="s">
        <v>503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504</v>
      </c>
      <c r="D89" s="9"/>
      <c r="E89" s="17" t="s">
        <v>14</v>
      </c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4" t="s">
        <v>505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4"/>
    </row>
    <row r="91">
      <c r="A91" s="1"/>
      <c r="B91" s="4" t="s">
        <v>506</v>
      </c>
      <c r="D91" s="9"/>
      <c r="E91" s="17" t="s">
        <v>14</v>
      </c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4" t="s">
        <v>507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4"/>
    </row>
    <row r="93">
      <c r="A93" s="1"/>
      <c r="B93" s="4" t="s">
        <v>510</v>
      </c>
      <c r="D93" s="9"/>
      <c r="E93" s="17" t="s">
        <v>14</v>
      </c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4" t="s">
        <v>511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4"/>
    </row>
    <row r="95">
      <c r="A95" s="1"/>
      <c r="B95" s="4" t="s">
        <v>513</v>
      </c>
      <c r="D95" s="9"/>
      <c r="E95" s="17" t="s">
        <v>14</v>
      </c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4" t="s">
        <v>515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516</v>
      </c>
      <c r="D97" s="9"/>
      <c r="E97" s="17" t="s">
        <v>14</v>
      </c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4" t="s">
        <v>517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4"/>
    </row>
    <row r="99">
      <c r="A99" s="1"/>
      <c r="B99" s="4" t="s">
        <v>518</v>
      </c>
      <c r="D99" s="9"/>
      <c r="E99" s="17" t="s">
        <v>14</v>
      </c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4" t="s">
        <v>519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4"/>
    </row>
    <row r="101">
      <c r="A101" s="1"/>
      <c r="B101" s="4" t="s">
        <v>520</v>
      </c>
      <c r="D101" s="9"/>
      <c r="E101" s="17" t="s">
        <v>14</v>
      </c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4" t="s">
        <v>521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4"/>
    </row>
    <row r="103">
      <c r="A103" s="1"/>
      <c r="B103" s="4" t="s">
        <v>522</v>
      </c>
      <c r="D103" s="9"/>
      <c r="E103" s="17" t="s">
        <v>14</v>
      </c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4" t="s">
        <v>524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"/>
    </row>
    <row r="105">
      <c r="A105" s="1"/>
      <c r="B105" s="4" t="s">
        <v>527</v>
      </c>
      <c r="D105" s="9"/>
      <c r="E105" s="17" t="s">
        <v>14</v>
      </c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4" t="s">
        <v>528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4"/>
    </row>
    <row r="107">
      <c r="A107" s="1"/>
      <c r="B107" s="4" t="s">
        <v>529</v>
      </c>
      <c r="D107" s="9"/>
      <c r="E107" s="17" t="s">
        <v>14</v>
      </c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4" t="s">
        <v>531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4"/>
    </row>
    <row r="109">
      <c r="A109" s="1"/>
      <c r="B109" s="4" t="s">
        <v>532</v>
      </c>
      <c r="D109" s="9"/>
      <c r="E109" s="17" t="s">
        <v>14</v>
      </c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4" t="s">
        <v>533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4"/>
    </row>
    <row r="111">
      <c r="A111" s="1"/>
      <c r="B111" s="4" t="s">
        <v>534</v>
      </c>
      <c r="D111" s="9"/>
      <c r="E111" s="17" t="s">
        <v>14</v>
      </c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4" t="s">
        <v>536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4"/>
    </row>
    <row r="113">
      <c r="A113" s="1"/>
      <c r="B113" s="4" t="s">
        <v>537</v>
      </c>
      <c r="D113" s="9"/>
      <c r="E113" s="17" t="s">
        <v>14</v>
      </c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4" t="s">
        <v>540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4"/>
    </row>
    <row r="115">
      <c r="A115" s="1"/>
      <c r="B115" s="4" t="s">
        <v>541</v>
      </c>
      <c r="D115" s="9"/>
      <c r="E115" s="17" t="s">
        <v>14</v>
      </c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4" t="s">
        <v>543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4"/>
    </row>
    <row r="117">
      <c r="A117" s="1"/>
      <c r="B117" s="4" t="s">
        <v>544</v>
      </c>
      <c r="D117" s="9"/>
      <c r="E117" s="17" t="s">
        <v>14</v>
      </c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545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4"/>
    </row>
    <row r="119">
      <c r="A119" s="1"/>
      <c r="B119" s="4" t="s">
        <v>546</v>
      </c>
      <c r="D119" s="9"/>
      <c r="E119" s="17" t="s">
        <v>14</v>
      </c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4" t="s">
        <v>547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4"/>
    </row>
    <row r="121">
      <c r="A121" s="1"/>
      <c r="B121" s="4" t="s">
        <v>548</v>
      </c>
      <c r="D121" s="9"/>
      <c r="E121" s="17" t="s">
        <v>14</v>
      </c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4" t="s">
        <v>549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4"/>
    </row>
    <row r="123">
      <c r="A123" s="1"/>
      <c r="B123" s="4" t="s">
        <v>552</v>
      </c>
      <c r="D123" s="9"/>
      <c r="E123" s="17" t="s">
        <v>14</v>
      </c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4" t="s">
        <v>554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4"/>
    </row>
    <row r="125">
      <c r="A125" s="1"/>
      <c r="B125" s="4" t="s">
        <v>556</v>
      </c>
      <c r="D125" s="9"/>
      <c r="E125" s="17" t="s">
        <v>14</v>
      </c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4" t="s">
        <v>557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4"/>
    </row>
    <row r="127">
      <c r="A127" s="1"/>
      <c r="B127" s="4" t="s">
        <v>558</v>
      </c>
      <c r="D127" s="9"/>
      <c r="E127" s="17" t="s">
        <v>14</v>
      </c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4" t="s">
        <v>559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4"/>
    </row>
    <row r="129">
      <c r="A129" s="1"/>
      <c r="B129" s="4" t="s">
        <v>560</v>
      </c>
      <c r="D129" s="9"/>
      <c r="E129" s="17" t="s">
        <v>14</v>
      </c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4" t="s">
        <v>561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4"/>
    </row>
    <row r="131">
      <c r="A131" s="1"/>
      <c r="B131" s="4" t="s">
        <v>562</v>
      </c>
      <c r="D131" s="9"/>
      <c r="E131" s="17" t="s">
        <v>14</v>
      </c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4" t="s">
        <v>563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4"/>
    </row>
    <row r="133">
      <c r="A133" s="1"/>
      <c r="B133" s="4" t="s">
        <v>565</v>
      </c>
      <c r="D133" s="9"/>
      <c r="E133" s="17" t="s">
        <v>14</v>
      </c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4" t="s">
        <v>567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4"/>
    </row>
    <row r="135">
      <c r="A135" s="1"/>
      <c r="B135" s="4" t="s">
        <v>568</v>
      </c>
      <c r="D135" s="9"/>
      <c r="E135" s="17" t="s">
        <v>14</v>
      </c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4" t="s">
        <v>569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4"/>
    </row>
    <row r="137">
      <c r="A137" s="1"/>
      <c r="B137" s="4" t="s">
        <v>571</v>
      </c>
      <c r="D137" s="9"/>
      <c r="E137" s="17" t="s">
        <v>14</v>
      </c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4" t="s">
        <v>572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4"/>
    </row>
    <row r="139">
      <c r="A139" s="1"/>
      <c r="B139" s="4" t="s">
        <v>574</v>
      </c>
      <c r="D139" s="9"/>
      <c r="E139" s="17" t="s">
        <v>14</v>
      </c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4" t="s">
        <v>575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4"/>
    </row>
    <row r="141">
      <c r="A141" s="1"/>
      <c r="B141" s="4" t="s">
        <v>576</v>
      </c>
      <c r="D141" s="9"/>
      <c r="E141" s="17" t="s">
        <v>14</v>
      </c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4" t="s">
        <v>577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4"/>
    </row>
    <row r="143">
      <c r="A143" s="1"/>
      <c r="B143" s="4" t="s">
        <v>578</v>
      </c>
      <c r="D143" s="9"/>
      <c r="E143" s="17" t="s">
        <v>14</v>
      </c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4" t="s">
        <v>579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4"/>
    </row>
    <row r="145">
      <c r="A145" s="1"/>
      <c r="B145" s="4" t="s">
        <v>581</v>
      </c>
      <c r="D145" s="9"/>
      <c r="E145" s="17" t="s">
        <v>14</v>
      </c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4" t="s">
        <v>582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4"/>
    </row>
    <row r="147">
      <c r="A147" s="1"/>
      <c r="B147" s="4" t="s">
        <v>584</v>
      </c>
      <c r="D147" s="9"/>
      <c r="E147" s="17" t="s">
        <v>14</v>
      </c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4" t="s">
        <v>585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4"/>
    </row>
    <row r="149">
      <c r="A149" s="1"/>
      <c r="B149" s="4" t="s">
        <v>586</v>
      </c>
      <c r="D149" s="9"/>
      <c r="E149" s="17" t="s">
        <v>14</v>
      </c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4" t="s">
        <v>587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4"/>
    </row>
    <row r="151">
      <c r="A151" s="1"/>
      <c r="B151" s="4" t="s">
        <v>589</v>
      </c>
      <c r="D151" s="9"/>
      <c r="E151" s="17" t="s">
        <v>14</v>
      </c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4" t="s">
        <v>590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4"/>
    </row>
    <row r="153">
      <c r="A153" s="1"/>
      <c r="B153" s="4" t="s">
        <v>593</v>
      </c>
      <c r="D153" s="9"/>
      <c r="E153" s="17" t="s">
        <v>14</v>
      </c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4" t="s">
        <v>595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4"/>
    </row>
    <row r="155">
      <c r="A155" s="1"/>
      <c r="B155" s="4" t="s">
        <v>596</v>
      </c>
      <c r="D155" s="9"/>
      <c r="E155" s="17" t="s">
        <v>14</v>
      </c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4" t="s">
        <v>597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4"/>
    </row>
    <row r="157">
      <c r="A157" s="1"/>
      <c r="B157" s="4" t="s">
        <v>598</v>
      </c>
      <c r="D157" s="9"/>
      <c r="E157" s="17" t="s">
        <v>14</v>
      </c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4" t="s">
        <v>599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4"/>
    </row>
    <row r="159">
      <c r="A159" s="1"/>
      <c r="B159" s="4" t="s">
        <v>600</v>
      </c>
      <c r="D159" s="9"/>
      <c r="E159" s="17" t="s">
        <v>14</v>
      </c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4" t="s">
        <v>601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4"/>
    </row>
    <row r="161">
      <c r="A161" s="1"/>
      <c r="B161" s="4" t="s">
        <v>602</v>
      </c>
      <c r="D161" s="9"/>
      <c r="E161" s="17" t="s">
        <v>14</v>
      </c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4" t="s">
        <v>605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4"/>
    </row>
    <row r="163">
      <c r="A163" s="1"/>
      <c r="B163" s="4" t="s">
        <v>608</v>
      </c>
      <c r="D163" s="9"/>
      <c r="E163" s="17" t="s">
        <v>14</v>
      </c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4" t="s">
        <v>609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4"/>
    </row>
    <row r="165">
      <c r="A165" s="1"/>
      <c r="B165" s="4" t="s">
        <v>610</v>
      </c>
      <c r="D165" s="9"/>
      <c r="E165" s="17" t="s">
        <v>14</v>
      </c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4" t="s">
        <v>611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4"/>
    </row>
    <row r="167">
      <c r="A167" s="1"/>
      <c r="B167" s="4" t="s">
        <v>612</v>
      </c>
      <c r="D167" s="9"/>
      <c r="E167" s="17" t="s">
        <v>14</v>
      </c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4" t="s">
        <v>613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4"/>
    </row>
    <row r="169">
      <c r="A169" s="1"/>
      <c r="B169" s="4" t="s">
        <v>615</v>
      </c>
      <c r="D169" s="9"/>
      <c r="E169" s="17" t="s">
        <v>14</v>
      </c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4" t="s">
        <v>617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4"/>
    </row>
    <row r="171">
      <c r="A171" s="1"/>
      <c r="B171" s="4" t="s">
        <v>618</v>
      </c>
      <c r="D171" s="9"/>
      <c r="E171" s="17" t="s">
        <v>14</v>
      </c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4" t="s">
        <v>619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4"/>
    </row>
    <row r="173">
      <c r="A173" s="1"/>
      <c r="B173" s="4" t="s">
        <v>620</v>
      </c>
      <c r="D173" s="9"/>
      <c r="E173" s="17" t="s">
        <v>14</v>
      </c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4" t="s">
        <v>621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4"/>
    </row>
    <row r="175">
      <c r="A175" s="1"/>
      <c r="B175" s="4" t="s">
        <v>623</v>
      </c>
      <c r="D175" s="9"/>
      <c r="E175" s="17" t="s">
        <v>14</v>
      </c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4" t="s">
        <v>624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4"/>
    </row>
    <row r="177">
      <c r="A177" s="1"/>
      <c r="B177" s="4" t="s">
        <v>626</v>
      </c>
      <c r="D177" s="9"/>
      <c r="E177" s="17" t="s">
        <v>14</v>
      </c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4" t="s">
        <v>628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4"/>
    </row>
    <row r="179">
      <c r="A179" s="1"/>
      <c r="B179" s="4" t="s">
        <v>629</v>
      </c>
      <c r="D179" s="9"/>
      <c r="E179" s="17" t="s">
        <v>14</v>
      </c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4" t="s">
        <v>631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4"/>
    </row>
    <row r="181">
      <c r="A181" s="1"/>
      <c r="B181" s="4" t="s">
        <v>632</v>
      </c>
      <c r="D181" s="9"/>
      <c r="E181" s="17" t="s">
        <v>14</v>
      </c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4" t="s">
        <v>633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4"/>
    </row>
    <row r="183">
      <c r="A183" s="1"/>
      <c r="B183" s="4" t="s">
        <v>634</v>
      </c>
      <c r="D183" s="9"/>
      <c r="E183" s="17" t="s">
        <v>14</v>
      </c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4" t="s">
        <v>635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4"/>
    </row>
    <row r="185">
      <c r="A185" s="1"/>
      <c r="B185" s="4" t="s">
        <v>637</v>
      </c>
      <c r="D185" s="9"/>
      <c r="E185" s="17" t="s">
        <v>14</v>
      </c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4" t="s">
        <v>638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4"/>
    </row>
    <row r="187">
      <c r="A187" s="1"/>
      <c r="B187" s="4" t="s">
        <v>641</v>
      </c>
      <c r="D187" s="9"/>
      <c r="E187" s="17" t="s">
        <v>14</v>
      </c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4" t="s">
        <v>642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4"/>
    </row>
    <row r="189">
      <c r="A189" s="1"/>
      <c r="B189" s="4" t="s">
        <v>644</v>
      </c>
      <c r="D189" s="9"/>
      <c r="E189" s="17" t="s">
        <v>14</v>
      </c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4" t="s">
        <v>645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4"/>
    </row>
    <row r="191">
      <c r="A191" s="1"/>
      <c r="B191" s="4" t="s">
        <v>646</v>
      </c>
      <c r="D191" s="9"/>
      <c r="E191" s="17" t="s">
        <v>14</v>
      </c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4" t="s">
        <v>647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4"/>
    </row>
    <row r="193">
      <c r="A193" s="1"/>
      <c r="B193" s="4" t="s">
        <v>648</v>
      </c>
      <c r="D193" s="9"/>
      <c r="E193" s="17" t="s">
        <v>14</v>
      </c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4" t="s">
        <v>650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4"/>
    </row>
    <row r="195">
      <c r="A195" s="1"/>
      <c r="B195" s="4" t="s">
        <v>651</v>
      </c>
      <c r="D195" s="9"/>
      <c r="E195" s="17" t="s">
        <v>14</v>
      </c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4" t="s">
        <v>652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4"/>
    </row>
    <row r="197">
      <c r="A197" s="1"/>
      <c r="B197" s="4" t="s">
        <v>653</v>
      </c>
      <c r="D197" s="9"/>
      <c r="E197" s="17" t="s">
        <v>14</v>
      </c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4" t="s">
        <v>654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4"/>
    </row>
    <row r="199">
      <c r="A199" s="1"/>
      <c r="B199" s="4" t="s">
        <v>656</v>
      </c>
      <c r="D199" s="9"/>
      <c r="E199" s="17" t="s">
        <v>14</v>
      </c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4" t="s">
        <v>657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4"/>
    </row>
    <row r="201">
      <c r="A201" s="1"/>
      <c r="B201" s="4" t="s">
        <v>658</v>
      </c>
      <c r="D201" s="9"/>
      <c r="E201" s="17" t="s">
        <v>14</v>
      </c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4" t="s">
        <v>659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4"/>
    </row>
    <row r="203">
      <c r="A203" s="1"/>
      <c r="B203" s="4" t="s">
        <v>661</v>
      </c>
      <c r="D203" s="9"/>
      <c r="E203" s="17" t="s">
        <v>14</v>
      </c>
      <c r="F203" s="1"/>
      <c r="G203" s="1"/>
      <c r="H203" s="1"/>
      <c r="I203" s="1"/>
      <c r="J203" s="1"/>
      <c r="K203" s="1"/>
      <c r="L203" s="1"/>
      <c r="M203" s="1"/>
      <c r="N203" s="4"/>
    </row>
    <row r="204">
      <c r="A204" s="1"/>
      <c r="B204" s="14" t="s">
        <v>663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4"/>
    </row>
    <row r="205">
      <c r="A205" s="1"/>
      <c r="B205" s="4" t="s">
        <v>665</v>
      </c>
      <c r="D205" s="9"/>
      <c r="E205" s="17" t="s">
        <v>14</v>
      </c>
      <c r="F205" s="1"/>
      <c r="G205" s="1"/>
      <c r="H205" s="1"/>
      <c r="I205" s="1"/>
      <c r="J205" s="1"/>
      <c r="K205" s="1"/>
      <c r="L205" s="1"/>
      <c r="M205" s="1"/>
      <c r="N205" s="4"/>
    </row>
    <row r="206">
      <c r="A206" s="1"/>
      <c r="B206" s="14" t="s">
        <v>667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4"/>
    </row>
    <row r="207">
      <c r="A207" s="1"/>
      <c r="B207" s="4" t="s">
        <v>669</v>
      </c>
      <c r="D207" s="9"/>
      <c r="E207" s="17" t="s">
        <v>14</v>
      </c>
      <c r="F207" s="1"/>
      <c r="G207" s="1"/>
      <c r="H207" s="1"/>
      <c r="I207" s="1"/>
      <c r="J207" s="1"/>
      <c r="K207" s="1"/>
      <c r="L207" s="1"/>
      <c r="M207" s="1"/>
      <c r="N207" s="4"/>
    </row>
    <row r="208">
      <c r="A208" s="1"/>
      <c r="B208" s="14" t="s">
        <v>670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4"/>
    </row>
    <row r="209">
      <c r="A209" s="1"/>
      <c r="B209" s="4" t="s">
        <v>672</v>
      </c>
      <c r="D209" s="9"/>
      <c r="E209" s="17" t="s">
        <v>14</v>
      </c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4" t="s">
        <v>673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4"/>
    </row>
    <row r="211">
      <c r="A211" s="1"/>
      <c r="B211" s="4" t="s">
        <v>676</v>
      </c>
      <c r="D211" s="9"/>
      <c r="E211" s="17" t="s">
        <v>14</v>
      </c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4" t="s">
        <v>677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4"/>
    </row>
    <row r="213">
      <c r="A213" s="1"/>
      <c r="B213" s="4" t="s">
        <v>679</v>
      </c>
      <c r="D213" s="9"/>
      <c r="E213" s="17" t="s">
        <v>14</v>
      </c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4" t="s">
        <v>681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4"/>
    </row>
    <row r="215">
      <c r="A215" s="1"/>
      <c r="B215" s="4" t="s">
        <v>683</v>
      </c>
      <c r="D215" s="9"/>
      <c r="E215" s="17" t="s">
        <v>14</v>
      </c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4" t="s">
        <v>684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4"/>
    </row>
    <row r="217">
      <c r="A217" s="1"/>
      <c r="B217" s="4" t="s">
        <v>685</v>
      </c>
      <c r="D217" s="9"/>
      <c r="E217" s="17" t="s">
        <v>14</v>
      </c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4" t="s">
        <v>686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4"/>
    </row>
    <row r="219">
      <c r="A219" s="1"/>
      <c r="B219" s="4" t="s">
        <v>687</v>
      </c>
      <c r="D219" s="9"/>
      <c r="E219" s="17" t="s">
        <v>14</v>
      </c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4" t="s">
        <v>688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4"/>
    </row>
    <row r="221">
      <c r="A221" s="1"/>
      <c r="B221" s="4" t="s">
        <v>689</v>
      </c>
      <c r="D221" s="9"/>
      <c r="E221" s="17" t="s">
        <v>14</v>
      </c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4" t="s">
        <v>691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4"/>
    </row>
    <row r="223">
      <c r="A223" s="1"/>
      <c r="B223" s="4" t="s">
        <v>693</v>
      </c>
      <c r="D223" s="9"/>
      <c r="E223" s="17" t="s">
        <v>14</v>
      </c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4" t="s">
        <v>695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4"/>
    </row>
    <row r="225">
      <c r="A225" s="1"/>
      <c r="B225" s="4" t="s">
        <v>697</v>
      </c>
      <c r="D225" s="9"/>
      <c r="E225" s="17" t="s">
        <v>14</v>
      </c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4" t="s">
        <v>698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4"/>
    </row>
    <row r="227">
      <c r="A227" s="1"/>
      <c r="B227" s="4" t="s">
        <v>699</v>
      </c>
      <c r="D227" s="9"/>
      <c r="E227" s="17" t="s">
        <v>14</v>
      </c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4" t="s">
        <v>700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4"/>
    </row>
    <row r="229">
      <c r="A229" s="1"/>
      <c r="B229" s="4" t="s">
        <v>701</v>
      </c>
      <c r="D229" s="9"/>
      <c r="E229" s="17" t="s">
        <v>14</v>
      </c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4" t="s">
        <v>702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4"/>
    </row>
    <row r="231">
      <c r="A231" s="1"/>
      <c r="B231" s="4" t="s">
        <v>704</v>
      </c>
      <c r="D231" s="9"/>
      <c r="E231" s="17" t="s">
        <v>14</v>
      </c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4" t="s">
        <v>705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"/>
    </row>
    <row r="233">
      <c r="A233" s="1"/>
      <c r="B233" s="4" t="s">
        <v>707</v>
      </c>
      <c r="D233" s="9"/>
      <c r="E233" s="17" t="s">
        <v>14</v>
      </c>
      <c r="F233" s="1"/>
      <c r="G233" s="1"/>
      <c r="H233" s="1"/>
      <c r="I233" s="1"/>
      <c r="J233" s="1"/>
      <c r="K233" s="1"/>
      <c r="L233" s="1"/>
      <c r="M233" s="1"/>
      <c r="N233" s="4"/>
    </row>
    <row r="234">
      <c r="A234" s="1"/>
      <c r="B234" s="14" t="s">
        <v>708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"/>
    </row>
    <row r="235">
      <c r="A235" s="1"/>
      <c r="B235" s="4" t="s">
        <v>709</v>
      </c>
      <c r="D235" s="9"/>
      <c r="E235" s="17" t="s">
        <v>14</v>
      </c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4" t="s">
        <v>710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"/>
    </row>
    <row r="237">
      <c r="A237" s="1"/>
      <c r="B237" s="4" t="s">
        <v>712</v>
      </c>
      <c r="D237" s="9"/>
      <c r="E237" s="17" t="s">
        <v>14</v>
      </c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4" t="s">
        <v>713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"/>
    </row>
    <row r="239">
      <c r="A239" s="1"/>
      <c r="B239" s="4" t="s">
        <v>715</v>
      </c>
      <c r="D239" s="9"/>
      <c r="E239" s="17" t="s">
        <v>14</v>
      </c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4" t="s">
        <v>716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"/>
    </row>
    <row r="241">
      <c r="A241" s="1"/>
      <c r="B241" s="4" t="s">
        <v>717</v>
      </c>
      <c r="D241" s="9"/>
      <c r="E241" s="17" t="s">
        <v>14</v>
      </c>
      <c r="F241" s="1"/>
      <c r="G241" s="1"/>
      <c r="H241" s="1"/>
      <c r="I241" s="1"/>
      <c r="J241" s="1"/>
      <c r="K241" s="1"/>
      <c r="L241" s="1"/>
      <c r="M241" s="1"/>
      <c r="N241" s="4"/>
    </row>
    <row r="242">
      <c r="A242" s="1"/>
      <c r="B242" s="14" t="s">
        <v>718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"/>
    </row>
    <row r="243">
      <c r="A243" s="1"/>
      <c r="B243" s="4" t="s">
        <v>719</v>
      </c>
      <c r="D243" s="9"/>
      <c r="E243" s="17" t="s">
        <v>14</v>
      </c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4" t="s">
        <v>720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4"/>
    </row>
    <row r="245">
      <c r="A245" s="1"/>
      <c r="B245" s="4" t="s">
        <v>722</v>
      </c>
      <c r="D245" s="9"/>
      <c r="E245" s="17" t="s">
        <v>14</v>
      </c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4" t="s">
        <v>724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"/>
    </row>
    <row r="247">
      <c r="A247" s="1"/>
      <c r="B247" s="4" t="s">
        <v>725</v>
      </c>
      <c r="D247" s="9"/>
      <c r="E247" s="17" t="s">
        <v>14</v>
      </c>
      <c r="F247" s="1"/>
      <c r="G247" s="1"/>
      <c r="H247" s="1"/>
      <c r="I247" s="1"/>
      <c r="J247" s="1"/>
      <c r="K247" s="1"/>
      <c r="L247" s="1"/>
      <c r="M247" s="1"/>
      <c r="N247" s="4"/>
    </row>
    <row r="248">
      <c r="A248" s="1"/>
      <c r="B248" s="14" t="s">
        <v>726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"/>
    </row>
    <row r="249">
      <c r="A249" s="1"/>
      <c r="B249" s="4" t="s">
        <v>727</v>
      </c>
      <c r="D249" s="9"/>
      <c r="E249" s="17" t="s">
        <v>14</v>
      </c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4" t="s">
        <v>728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"/>
    </row>
    <row r="251">
      <c r="A251" s="1"/>
      <c r="B251" s="4" t="s">
        <v>731</v>
      </c>
      <c r="D251" s="9"/>
      <c r="E251" s="17" t="s">
        <v>14</v>
      </c>
      <c r="F251" s="1"/>
      <c r="G251" s="1"/>
      <c r="H251" s="1"/>
      <c r="I251" s="1"/>
      <c r="J251" s="1"/>
      <c r="K251" s="1"/>
      <c r="L251" s="1"/>
      <c r="M251" s="1"/>
      <c r="N251" s="4"/>
    </row>
    <row r="252">
      <c r="A252" s="1"/>
      <c r="B252" s="14" t="s">
        <v>734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"/>
    </row>
    <row r="253">
      <c r="A253" s="1"/>
      <c r="B253" s="4" t="s">
        <v>735</v>
      </c>
      <c r="D253" s="9"/>
      <c r="E253" s="17" t="s">
        <v>14</v>
      </c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4" t="s">
        <v>736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4"/>
    </row>
    <row r="255">
      <c r="A255" s="1"/>
      <c r="B255" s="4" t="s">
        <v>737</v>
      </c>
      <c r="D255" s="9"/>
      <c r="E255" s="17" t="s">
        <v>14</v>
      </c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4" t="s">
        <v>738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"/>
    </row>
    <row r="257">
      <c r="A257" s="1"/>
      <c r="B257" s="4" t="s">
        <v>739</v>
      </c>
      <c r="D257" s="9"/>
      <c r="E257" s="17" t="s">
        <v>14</v>
      </c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4" t="s">
        <v>741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"/>
    </row>
    <row r="259">
      <c r="A259" s="1"/>
      <c r="B259" s="4" t="s">
        <v>743</v>
      </c>
      <c r="D259" s="9"/>
      <c r="E259" s="17" t="s">
        <v>14</v>
      </c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4" t="s">
        <v>744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"/>
    </row>
    <row r="261">
      <c r="A261" s="1"/>
      <c r="B261" s="4" t="s">
        <v>748</v>
      </c>
      <c r="D261" s="9"/>
      <c r="E261" s="17" t="s">
        <v>14</v>
      </c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4" t="s">
        <v>749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"/>
    </row>
    <row r="263">
      <c r="A263" s="1"/>
      <c r="B263" s="4" t="s">
        <v>751</v>
      </c>
      <c r="D263" s="9"/>
      <c r="E263" s="17" t="s">
        <v>14</v>
      </c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4" t="s">
        <v>752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"/>
    </row>
    <row r="265">
      <c r="A265" s="1"/>
      <c r="B265" s="4" t="s">
        <v>753</v>
      </c>
      <c r="D265" s="9"/>
      <c r="E265" s="17" t="s">
        <v>14</v>
      </c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4" t="s">
        <v>755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"/>
    </row>
    <row r="267">
      <c r="A267" s="1"/>
      <c r="B267" s="4" t="s">
        <v>757</v>
      </c>
      <c r="D267" s="9"/>
      <c r="E267" s="17" t="s">
        <v>14</v>
      </c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4" t="s">
        <v>758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"/>
    </row>
    <row r="269">
      <c r="A269" s="1"/>
      <c r="B269" s="4" t="s">
        <v>760</v>
      </c>
      <c r="D269" s="9"/>
      <c r="E269" s="17" t="s">
        <v>14</v>
      </c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4" t="s">
        <v>761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"/>
    </row>
    <row r="271">
      <c r="A271" s="1"/>
      <c r="B271" s="4" t="s">
        <v>763</v>
      </c>
      <c r="D271" s="9"/>
      <c r="E271" s="17" t="s">
        <v>14</v>
      </c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4" t="s">
        <v>764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"/>
    </row>
    <row r="273">
      <c r="A273" s="1"/>
      <c r="B273" s="4" t="s">
        <v>765</v>
      </c>
      <c r="D273" s="9"/>
      <c r="E273" s="17" t="s">
        <v>14</v>
      </c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4" t="s">
        <v>766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"/>
    </row>
    <row r="275">
      <c r="A275" s="1"/>
      <c r="B275" s="4" t="s">
        <v>767</v>
      </c>
      <c r="D275" s="9"/>
      <c r="E275" s="17" t="s">
        <v>14</v>
      </c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4" t="s">
        <v>768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"/>
    </row>
    <row r="277">
      <c r="A277" s="1"/>
      <c r="B277" s="4" t="s">
        <v>770</v>
      </c>
      <c r="D277" s="9"/>
      <c r="E277" s="17" t="s">
        <v>14</v>
      </c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4" t="s">
        <v>771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"/>
    </row>
    <row r="279">
      <c r="A279" s="1"/>
      <c r="B279" s="4" t="s">
        <v>772</v>
      </c>
      <c r="D279" s="9"/>
      <c r="E279" s="17" t="s">
        <v>14</v>
      </c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4" t="s">
        <v>773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"/>
    </row>
    <row r="281">
      <c r="A281" s="1"/>
      <c r="B281" s="4" t="s">
        <v>775</v>
      </c>
      <c r="D281" s="9"/>
      <c r="E281" s="17" t="s">
        <v>14</v>
      </c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4" t="s">
        <v>777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"/>
    </row>
    <row r="283">
      <c r="A283" s="1"/>
      <c r="B283" s="4" t="s">
        <v>778</v>
      </c>
      <c r="D283" s="9"/>
      <c r="E283" s="17" t="s">
        <v>14</v>
      </c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4" t="s">
        <v>780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"/>
    </row>
    <row r="285">
      <c r="A285" s="1"/>
      <c r="B285" s="4" t="s">
        <v>781</v>
      </c>
      <c r="D285" s="9"/>
      <c r="E285" s="17" t="s">
        <v>14</v>
      </c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4" t="s">
        <v>782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"/>
    </row>
    <row r="287">
      <c r="A287" s="1"/>
      <c r="B287" s="4" t="s">
        <v>783</v>
      </c>
      <c r="D287" s="9"/>
      <c r="E287" s="17" t="s">
        <v>14</v>
      </c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4" t="s">
        <v>784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"/>
    </row>
    <row r="289">
      <c r="A289" s="1"/>
      <c r="B289" s="4" t="s">
        <v>785</v>
      </c>
      <c r="D289" s="9"/>
      <c r="E289" s="17" t="s">
        <v>14</v>
      </c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4" t="s">
        <v>786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"/>
    </row>
    <row r="291">
      <c r="A291" s="1"/>
      <c r="B291" s="4" t="s">
        <v>787</v>
      </c>
      <c r="D291" s="9"/>
      <c r="E291" s="17" t="s">
        <v>14</v>
      </c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4" t="s">
        <v>788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"/>
    </row>
    <row r="293">
      <c r="A293" s="1"/>
      <c r="B293" s="4" t="s">
        <v>789</v>
      </c>
      <c r="D293" s="9"/>
      <c r="E293" s="17" t="s">
        <v>14</v>
      </c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4" t="s">
        <v>790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"/>
    </row>
    <row r="295">
      <c r="A295" s="1"/>
      <c r="B295" s="4" t="s">
        <v>792</v>
      </c>
      <c r="D295" s="9"/>
      <c r="E295" s="17" t="s">
        <v>14</v>
      </c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4" t="s">
        <v>793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"/>
    </row>
    <row r="297">
      <c r="A297" s="1"/>
      <c r="B297" s="4" t="s">
        <v>796</v>
      </c>
      <c r="D297" s="9"/>
      <c r="E297" s="17" t="s">
        <v>14</v>
      </c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4" t="s">
        <v>797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"/>
    </row>
    <row r="299">
      <c r="A299" s="1"/>
      <c r="B299" s="4" t="s">
        <v>799</v>
      </c>
      <c r="D299" s="9"/>
      <c r="E299" s="17" t="s">
        <v>14</v>
      </c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4" t="s">
        <v>800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"/>
    </row>
    <row r="301">
      <c r="A301" s="1"/>
      <c r="B301" s="4" t="s">
        <v>801</v>
      </c>
      <c r="D301" s="9"/>
      <c r="E301" s="17" t="s">
        <v>14</v>
      </c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4" t="s">
        <v>802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"/>
    </row>
    <row r="303">
      <c r="A303" s="1"/>
      <c r="B303" s="4" t="s">
        <v>803</v>
      </c>
      <c r="D303" s="9"/>
      <c r="E303" s="17" t="s">
        <v>14</v>
      </c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4" t="s">
        <v>805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"/>
    </row>
    <row r="305">
      <c r="A305" s="1"/>
      <c r="B305" s="4" t="s">
        <v>806</v>
      </c>
      <c r="D305" s="9"/>
      <c r="E305" s="17" t="s">
        <v>14</v>
      </c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4" t="s">
        <v>808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"/>
    </row>
    <row r="307">
      <c r="A307" s="1"/>
      <c r="B307" s="4" t="s">
        <v>809</v>
      </c>
      <c r="D307" s="9"/>
      <c r="E307" s="17" t="s">
        <v>14</v>
      </c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4" t="s">
        <v>811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"/>
    </row>
    <row r="309">
      <c r="A309" s="1"/>
      <c r="B309" s="4" t="s">
        <v>812</v>
      </c>
      <c r="D309" s="9"/>
      <c r="E309" s="17" t="s">
        <v>14</v>
      </c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4" t="s">
        <v>813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"/>
    </row>
    <row r="311">
      <c r="A311" s="1"/>
      <c r="B311" s="4" t="s">
        <v>815</v>
      </c>
      <c r="D311" s="9"/>
      <c r="E311" s="17" t="s">
        <v>14</v>
      </c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4" t="s">
        <v>816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"/>
    </row>
    <row r="313">
      <c r="A313" s="1"/>
      <c r="B313" s="4" t="s">
        <v>817</v>
      </c>
      <c r="D313" s="9"/>
      <c r="E313" s="17" t="s">
        <v>14</v>
      </c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4" t="s">
        <v>818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"/>
    </row>
    <row r="315">
      <c r="A315" s="1"/>
      <c r="B315" s="4" t="s">
        <v>819</v>
      </c>
      <c r="D315" s="9"/>
      <c r="E315" s="17" t="s">
        <v>14</v>
      </c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4" t="s">
        <v>820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"/>
    </row>
    <row r="317">
      <c r="A317" s="1"/>
      <c r="B317" s="4" t="s">
        <v>822</v>
      </c>
      <c r="D317" s="9"/>
      <c r="E317" s="17" t="s">
        <v>14</v>
      </c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4" t="s">
        <v>824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"/>
    </row>
    <row r="319">
      <c r="A319" s="1"/>
      <c r="B319" s="4" t="s">
        <v>826</v>
      </c>
      <c r="D319" s="9"/>
      <c r="E319" s="17" t="s">
        <v>14</v>
      </c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4" t="s">
        <v>827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"/>
    </row>
    <row r="321">
      <c r="A321" s="1"/>
      <c r="B321" s="4" t="s">
        <v>828</v>
      </c>
      <c r="D321" s="9"/>
      <c r="E321" s="17" t="s">
        <v>14</v>
      </c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4" t="s">
        <v>829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"/>
    </row>
    <row r="323">
      <c r="A323" s="1"/>
      <c r="B323" s="4" t="s">
        <v>831</v>
      </c>
      <c r="D323" s="9"/>
      <c r="E323" s="17" t="s">
        <v>14</v>
      </c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4" t="s">
        <v>835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"/>
    </row>
    <row r="325">
      <c r="A325" s="1"/>
      <c r="B325" s="4" t="s">
        <v>836</v>
      </c>
      <c r="D325" s="9"/>
      <c r="E325" s="17" t="s">
        <v>14</v>
      </c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4" t="s">
        <v>837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"/>
    </row>
    <row r="327">
      <c r="A327" s="1"/>
      <c r="B327" s="4" t="s">
        <v>838</v>
      </c>
      <c r="D327" s="9"/>
      <c r="E327" s="17" t="s">
        <v>14</v>
      </c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4" t="s">
        <v>840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"/>
    </row>
    <row r="329">
      <c r="A329" s="1"/>
      <c r="B329" s="4" t="s">
        <v>841</v>
      </c>
      <c r="D329" s="9"/>
      <c r="E329" s="17" t="s">
        <v>14</v>
      </c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4" t="s">
        <v>843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"/>
    </row>
    <row r="331">
      <c r="A331" s="1"/>
      <c r="B331" s="4" t="s">
        <v>844</v>
      </c>
      <c r="D331" s="9"/>
      <c r="E331" s="17" t="s">
        <v>14</v>
      </c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4" t="s">
        <v>845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"/>
    </row>
    <row r="333">
      <c r="A333" s="1"/>
      <c r="B333" s="4" t="s">
        <v>846</v>
      </c>
      <c r="D333" s="9"/>
      <c r="E333" s="17" t="s">
        <v>14</v>
      </c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4" t="s">
        <v>847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"/>
    </row>
    <row r="335">
      <c r="A335" s="1"/>
      <c r="B335" s="4" t="s">
        <v>848</v>
      </c>
      <c r="D335" s="9"/>
      <c r="E335" s="17" t="s">
        <v>14</v>
      </c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4" t="s">
        <v>849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"/>
    </row>
    <row r="337">
      <c r="A337" s="1"/>
      <c r="B337" s="4" t="s">
        <v>850</v>
      </c>
      <c r="D337" s="9"/>
      <c r="E337" s="17" t="s">
        <v>14</v>
      </c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4" t="s">
        <v>851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"/>
    </row>
    <row r="339">
      <c r="A339" s="1"/>
      <c r="B339" s="4" t="s">
        <v>853</v>
      </c>
      <c r="D339" s="9"/>
      <c r="E339" s="17" t="s">
        <v>14</v>
      </c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4" t="s">
        <v>856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"/>
    </row>
    <row r="341">
      <c r="A341" s="1"/>
      <c r="B341" s="4" t="s">
        <v>857</v>
      </c>
      <c r="D341" s="9"/>
      <c r="E341" s="17" t="s">
        <v>14</v>
      </c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4" t="s">
        <v>859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"/>
    </row>
    <row r="343">
      <c r="A343" s="1"/>
      <c r="B343" s="4" t="s">
        <v>860</v>
      </c>
      <c r="D343" s="9"/>
      <c r="E343" s="17" t="s">
        <v>14</v>
      </c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4" t="s">
        <v>861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"/>
    </row>
    <row r="345">
      <c r="A345" s="1"/>
      <c r="B345" s="4" t="s">
        <v>863</v>
      </c>
      <c r="D345" s="9"/>
      <c r="E345" s="17" t="s">
        <v>14</v>
      </c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4" t="s">
        <v>864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"/>
    </row>
    <row r="347">
      <c r="A347" s="1"/>
      <c r="B347" s="4" t="s">
        <v>865</v>
      </c>
      <c r="D347" s="9"/>
      <c r="E347" s="17" t="s">
        <v>14</v>
      </c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4" t="s">
        <v>867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"/>
    </row>
    <row r="349">
      <c r="A349" s="1"/>
      <c r="B349" s="4" t="s">
        <v>868</v>
      </c>
      <c r="D349" s="9"/>
      <c r="E349" s="17" t="s">
        <v>14</v>
      </c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4" t="s">
        <v>870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"/>
    </row>
    <row r="351">
      <c r="A351" s="1"/>
      <c r="B351" s="4" t="s">
        <v>871</v>
      </c>
      <c r="D351" s="9"/>
      <c r="E351" s="17" t="s">
        <v>14</v>
      </c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4" t="s">
        <v>872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"/>
    </row>
    <row r="353">
      <c r="A353" s="1"/>
      <c r="B353" s="4" t="s">
        <v>874</v>
      </c>
      <c r="D353" s="9"/>
      <c r="E353" s="17" t="s">
        <v>14</v>
      </c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4" t="s">
        <v>875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"/>
    </row>
    <row r="355">
      <c r="A355" s="1"/>
      <c r="B355" s="4" t="s">
        <v>877</v>
      </c>
      <c r="D355" s="9"/>
      <c r="E355" s="17" t="s">
        <v>14</v>
      </c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4" t="s">
        <v>878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"/>
    </row>
    <row r="357">
      <c r="A357" s="1"/>
      <c r="B357" s="4" t="s">
        <v>879</v>
      </c>
      <c r="D357" s="9"/>
      <c r="E357" s="17" t="s">
        <v>14</v>
      </c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4" t="s">
        <v>880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"/>
    </row>
    <row r="359">
      <c r="A359" s="1"/>
      <c r="B359" s="4" t="s">
        <v>881</v>
      </c>
      <c r="D359" s="9"/>
      <c r="E359" s="17" t="s">
        <v>14</v>
      </c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4" t="s">
        <v>883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"/>
    </row>
    <row r="361">
      <c r="A361" s="1"/>
      <c r="B361" s="4" t="s">
        <v>884</v>
      </c>
      <c r="D361" s="9"/>
      <c r="E361" s="17" t="s">
        <v>14</v>
      </c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4" t="s">
        <v>886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"/>
    </row>
    <row r="363">
      <c r="A363" s="1"/>
      <c r="B363" s="4" t="s">
        <v>887</v>
      </c>
      <c r="D363" s="9"/>
      <c r="E363" s="17" t="s">
        <v>14</v>
      </c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4" t="s">
        <v>888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"/>
    </row>
    <row r="365">
      <c r="A365" s="1"/>
      <c r="B365" s="4" t="s">
        <v>889</v>
      </c>
      <c r="D365" s="9"/>
      <c r="E365" s="17" t="s">
        <v>14</v>
      </c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4" t="s">
        <v>890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"/>
    </row>
    <row r="367">
      <c r="A367" s="1"/>
      <c r="B367" s="4" t="s">
        <v>891</v>
      </c>
      <c r="D367" s="9"/>
      <c r="E367" s="17" t="s">
        <v>14</v>
      </c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4" t="s">
        <v>892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"/>
    </row>
    <row r="369">
      <c r="A369" s="1"/>
      <c r="B369" s="4" t="s">
        <v>895</v>
      </c>
      <c r="D369" s="9"/>
      <c r="E369" s="17" t="s">
        <v>14</v>
      </c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4" t="s">
        <v>896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"/>
    </row>
    <row r="371">
      <c r="A371" s="1"/>
      <c r="B371" s="4" t="s">
        <v>899</v>
      </c>
      <c r="D371" s="9"/>
      <c r="E371" s="17" t="s">
        <v>14</v>
      </c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4" t="s">
        <v>900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"/>
    </row>
    <row r="373">
      <c r="A373" s="1"/>
      <c r="B373" s="4" t="s">
        <v>901</v>
      </c>
      <c r="D373" s="9"/>
      <c r="E373" s="17" t="s">
        <v>14</v>
      </c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4" t="s">
        <v>902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"/>
    </row>
    <row r="375">
      <c r="A375" s="1"/>
      <c r="B375" s="4" t="s">
        <v>903</v>
      </c>
      <c r="D375" s="9"/>
      <c r="E375" s="17" t="s">
        <v>14</v>
      </c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4" t="s">
        <v>907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"/>
    </row>
    <row r="377">
      <c r="A377" s="1"/>
      <c r="B377" s="4" t="s">
        <v>909</v>
      </c>
      <c r="D377" s="9"/>
      <c r="E377" s="17" t="s">
        <v>14</v>
      </c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4" t="s">
        <v>910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"/>
    </row>
    <row r="379">
      <c r="A379" s="1"/>
      <c r="B379" s="4" t="s">
        <v>911</v>
      </c>
      <c r="D379" s="9"/>
      <c r="E379" s="17" t="s">
        <v>14</v>
      </c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4" t="s">
        <v>912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"/>
    </row>
    <row r="381">
      <c r="A381" s="1"/>
      <c r="B381" s="4" t="s">
        <v>914</v>
      </c>
      <c r="D381" s="9"/>
      <c r="E381" s="17" t="s">
        <v>14</v>
      </c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4" t="s">
        <v>916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"/>
    </row>
    <row r="383">
      <c r="A383" s="1"/>
      <c r="B383" s="4" t="s">
        <v>917</v>
      </c>
      <c r="D383" s="9"/>
      <c r="E383" s="17" t="s">
        <v>14</v>
      </c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4" t="s">
        <v>918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"/>
    </row>
    <row r="385">
      <c r="A385" s="1"/>
      <c r="B385" s="4" t="s">
        <v>919</v>
      </c>
      <c r="D385" s="9"/>
      <c r="E385" s="17" t="s">
        <v>14</v>
      </c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4" t="s">
        <v>920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"/>
    </row>
    <row r="387">
      <c r="A387" s="1"/>
      <c r="B387" s="4" t="s">
        <v>923</v>
      </c>
      <c r="D387" s="9"/>
      <c r="E387" s="17" t="s">
        <v>14</v>
      </c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4" t="s">
        <v>924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"/>
    </row>
    <row r="389">
      <c r="A389" s="1"/>
      <c r="B389" s="4" t="s">
        <v>926</v>
      </c>
      <c r="D389" s="9"/>
      <c r="E389" s="17" t="s">
        <v>14</v>
      </c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4" t="s">
        <v>928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"/>
    </row>
    <row r="391">
      <c r="A391" s="1"/>
      <c r="B391" s="4" t="s">
        <v>929</v>
      </c>
      <c r="D391" s="9"/>
      <c r="E391" s="17" t="s">
        <v>14</v>
      </c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4" t="s">
        <v>930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"/>
    </row>
    <row r="393">
      <c r="A393" s="1"/>
      <c r="B393" s="4" t="s">
        <v>931</v>
      </c>
      <c r="D393" s="9"/>
      <c r="E393" s="17" t="s">
        <v>14</v>
      </c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4" t="s">
        <v>932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"/>
    </row>
    <row r="395">
      <c r="A395" s="1"/>
      <c r="B395" s="4" t="s">
        <v>934</v>
      </c>
      <c r="D395" s="9"/>
      <c r="E395" s="17" t="s">
        <v>14</v>
      </c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4" t="s">
        <v>935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"/>
    </row>
    <row r="397">
      <c r="A397" s="1"/>
      <c r="B397" s="4" t="s">
        <v>937</v>
      </c>
      <c r="D397" s="9"/>
      <c r="E397" s="17" t="s">
        <v>14</v>
      </c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4" t="s">
        <v>939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"/>
    </row>
    <row r="399">
      <c r="A399" s="1"/>
      <c r="B399" s="4" t="s">
        <v>940</v>
      </c>
      <c r="D399" s="9"/>
      <c r="E399" s="17" t="s">
        <v>14</v>
      </c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4" t="s">
        <v>942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"/>
    </row>
    <row r="401">
      <c r="A401" s="1"/>
      <c r="B401" s="4" t="s">
        <v>943</v>
      </c>
      <c r="D401" s="9"/>
      <c r="E401" s="17" t="s">
        <v>14</v>
      </c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4" t="s">
        <v>944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"/>
    </row>
    <row r="403">
      <c r="A403" s="1"/>
      <c r="B403" s="4" t="s">
        <v>946</v>
      </c>
      <c r="D403" s="9"/>
      <c r="E403" s="17" t="s">
        <v>14</v>
      </c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4" t="s">
        <v>948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"/>
    </row>
    <row r="405">
      <c r="A405" s="1"/>
      <c r="B405" s="4" t="s">
        <v>949</v>
      </c>
      <c r="D405" s="9"/>
      <c r="E405" s="17" t="s">
        <v>14</v>
      </c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4" t="s">
        <v>950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"/>
    </row>
    <row r="407">
      <c r="A407" s="1"/>
      <c r="B407" s="4" t="s">
        <v>951</v>
      </c>
      <c r="D407" s="9"/>
      <c r="E407" s="17" t="s">
        <v>14</v>
      </c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4" t="s">
        <v>953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"/>
    </row>
    <row r="409">
      <c r="A409" s="1"/>
      <c r="B409" s="4" t="s">
        <v>956</v>
      </c>
      <c r="D409" s="9"/>
      <c r="E409" s="17" t="s">
        <v>14</v>
      </c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4" t="s">
        <v>957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"/>
    </row>
    <row r="411">
      <c r="A411" s="1"/>
      <c r="B411" s="4" t="s">
        <v>959</v>
      </c>
      <c r="D411" s="9"/>
      <c r="E411" s="17" t="s">
        <v>14</v>
      </c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4" t="s">
        <v>960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"/>
    </row>
    <row r="413">
      <c r="A413" s="1"/>
      <c r="B413" s="4" t="s">
        <v>961</v>
      </c>
      <c r="D413" s="9"/>
      <c r="E413" s="17" t="s">
        <v>14</v>
      </c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4" t="s">
        <v>962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"/>
    </row>
    <row r="415">
      <c r="A415" s="1"/>
      <c r="B415" s="4" t="s">
        <v>963</v>
      </c>
      <c r="D415" s="9"/>
      <c r="E415" s="17" t="s">
        <v>14</v>
      </c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4" t="s">
        <v>964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"/>
    </row>
    <row r="417">
      <c r="A417" s="1"/>
      <c r="B417" s="4" t="s">
        <v>966</v>
      </c>
      <c r="D417" s="9"/>
      <c r="E417" s="17" t="s">
        <v>14</v>
      </c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4" t="s">
        <v>968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"/>
    </row>
    <row r="419">
      <c r="A419" s="1"/>
      <c r="B419" s="4" t="s">
        <v>969</v>
      </c>
      <c r="D419" s="9"/>
      <c r="E419" s="17" t="s">
        <v>14</v>
      </c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4" t="s">
        <v>970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"/>
    </row>
    <row r="421">
      <c r="A421" s="1"/>
      <c r="B421" s="4" t="s">
        <v>972</v>
      </c>
      <c r="D421" s="9"/>
      <c r="E421" s="17" t="s">
        <v>14</v>
      </c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4" t="s">
        <v>974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"/>
    </row>
    <row r="423">
      <c r="A423" s="1"/>
      <c r="B423" s="4" t="s">
        <v>975</v>
      </c>
      <c r="D423" s="9"/>
      <c r="E423" s="17" t="s">
        <v>14</v>
      </c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4" t="s">
        <v>976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"/>
    </row>
    <row r="425">
      <c r="A425" s="1"/>
      <c r="B425" s="4" t="s">
        <v>978</v>
      </c>
      <c r="D425" s="9"/>
      <c r="E425" s="17" t="s">
        <v>14</v>
      </c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4" t="s">
        <v>980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"/>
    </row>
    <row r="427">
      <c r="A427" s="1"/>
      <c r="B427" s="4" t="s">
        <v>981</v>
      </c>
      <c r="D427" s="9"/>
      <c r="E427" s="17" t="s">
        <v>14</v>
      </c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4" t="s">
        <v>982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"/>
    </row>
    <row r="429">
      <c r="A429" s="1"/>
      <c r="B429" s="4" t="s">
        <v>984</v>
      </c>
      <c r="D429" s="9"/>
      <c r="E429" s="17" t="s">
        <v>14</v>
      </c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4" t="s">
        <v>986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"/>
    </row>
    <row r="431">
      <c r="A431" s="1"/>
      <c r="B431" s="4" t="s">
        <v>987</v>
      </c>
      <c r="D431" s="9"/>
      <c r="E431" s="17" t="s">
        <v>14</v>
      </c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4" t="s">
        <v>988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"/>
    </row>
    <row r="433">
      <c r="A433" s="1"/>
      <c r="B433" s="4" t="s">
        <v>989</v>
      </c>
      <c r="D433" s="9"/>
      <c r="E433" s="17" t="s">
        <v>14</v>
      </c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4" t="s">
        <v>990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"/>
    </row>
    <row r="435">
      <c r="A435" s="1"/>
      <c r="B435" s="4" t="s">
        <v>992</v>
      </c>
      <c r="D435" s="9"/>
      <c r="E435" s="17" t="s">
        <v>14</v>
      </c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4" t="s">
        <v>993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"/>
    </row>
    <row r="437">
      <c r="A437" s="1"/>
      <c r="B437" s="4" t="s">
        <v>995</v>
      </c>
      <c r="D437" s="9"/>
      <c r="E437" s="17" t="s">
        <v>14</v>
      </c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4" t="s">
        <v>996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"/>
    </row>
    <row r="439">
      <c r="A439" s="1"/>
      <c r="B439" s="4" t="s">
        <v>998</v>
      </c>
      <c r="D439" s="9"/>
      <c r="E439" s="17" t="s">
        <v>14</v>
      </c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4" t="s">
        <v>1000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"/>
    </row>
    <row r="441">
      <c r="A441" s="1"/>
      <c r="B441" s="4" t="s">
        <v>1001</v>
      </c>
      <c r="D441" s="9"/>
      <c r="E441" s="17" t="s">
        <v>14</v>
      </c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4" t="s">
        <v>1002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"/>
    </row>
    <row r="443">
      <c r="A443" s="1"/>
      <c r="B443" s="4" t="s">
        <v>1003</v>
      </c>
      <c r="D443" s="9"/>
      <c r="E443" s="17" t="s">
        <v>14</v>
      </c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4" t="s">
        <v>1005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"/>
    </row>
    <row r="445">
      <c r="A445" s="1"/>
      <c r="B445" s="4" t="s">
        <v>1006</v>
      </c>
      <c r="D445" s="9"/>
      <c r="E445" s="17" t="s">
        <v>14</v>
      </c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4" t="s">
        <v>1008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"/>
    </row>
    <row r="447">
      <c r="A447" s="1"/>
      <c r="B447" s="4" t="s">
        <v>1009</v>
      </c>
      <c r="D447" s="9"/>
      <c r="E447" s="17" t="s">
        <v>14</v>
      </c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4" t="s">
        <v>1011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"/>
    </row>
    <row r="449">
      <c r="A449" s="1"/>
      <c r="B449" s="4" t="s">
        <v>1013</v>
      </c>
      <c r="D449" s="9"/>
      <c r="E449" s="17" t="s">
        <v>14</v>
      </c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4" t="s">
        <v>1014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"/>
    </row>
    <row r="451">
      <c r="A451" s="1"/>
      <c r="B451" s="4" t="s">
        <v>1016</v>
      </c>
      <c r="D451" s="9"/>
      <c r="E451" s="17" t="s">
        <v>14</v>
      </c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4" t="s">
        <v>1018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"/>
    </row>
    <row r="453">
      <c r="A453" s="1"/>
      <c r="B453" s="4" t="s">
        <v>1019</v>
      </c>
      <c r="D453" s="9"/>
      <c r="E453" s="17" t="s">
        <v>14</v>
      </c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4" t="s">
        <v>1020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"/>
    </row>
    <row r="455">
      <c r="A455" s="1"/>
      <c r="B455" s="4" t="s">
        <v>1021</v>
      </c>
      <c r="D455" s="9"/>
      <c r="E455" s="17" t="s">
        <v>14</v>
      </c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4" t="s">
        <v>1022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"/>
    </row>
    <row r="457">
      <c r="A457" s="1"/>
      <c r="B457" s="4" t="s">
        <v>1025</v>
      </c>
      <c r="D457" s="9"/>
      <c r="E457" s="17" t="s">
        <v>14</v>
      </c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4" t="s">
        <v>1026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"/>
    </row>
    <row r="459">
      <c r="A459" s="1"/>
      <c r="B459" s="4" t="s">
        <v>1029</v>
      </c>
      <c r="D459" s="9"/>
      <c r="E459" s="17" t="s">
        <v>14</v>
      </c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4" t="s">
        <v>1030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"/>
    </row>
    <row r="461">
      <c r="A461" s="1"/>
      <c r="B461" s="4" t="s">
        <v>1031</v>
      </c>
      <c r="D461" s="9"/>
      <c r="E461" s="17" t="s">
        <v>14</v>
      </c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4" t="s">
        <v>1032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"/>
    </row>
    <row r="463">
      <c r="A463" s="1"/>
      <c r="B463" s="4" t="s">
        <v>1034</v>
      </c>
      <c r="D463" s="9"/>
      <c r="E463" s="17" t="s">
        <v>14</v>
      </c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4" t="s">
        <v>1035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"/>
    </row>
    <row r="465">
      <c r="A465" s="1"/>
      <c r="B465" s="4" t="s">
        <v>1036</v>
      </c>
      <c r="D465" s="9"/>
      <c r="E465" s="17" t="s">
        <v>14</v>
      </c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4" t="s">
        <v>1037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"/>
    </row>
    <row r="467">
      <c r="A467" s="1"/>
      <c r="B467" s="4" t="s">
        <v>1039</v>
      </c>
      <c r="D467" s="9"/>
      <c r="E467" s="17" t="s">
        <v>14</v>
      </c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4" t="s">
        <v>1042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"/>
    </row>
    <row r="469">
      <c r="A469" s="1"/>
      <c r="B469" s="4" t="s">
        <v>1044</v>
      </c>
      <c r="D469" s="9"/>
      <c r="E469" s="17" t="s">
        <v>14</v>
      </c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4" t="s">
        <v>1045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"/>
    </row>
    <row r="471">
      <c r="A471" s="1"/>
      <c r="B471" s="4" t="s">
        <v>1046</v>
      </c>
      <c r="D471" s="9"/>
      <c r="E471" s="17" t="s">
        <v>14</v>
      </c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4" t="s">
        <v>1047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"/>
    </row>
    <row r="473">
      <c r="A473" s="1"/>
      <c r="B473" s="4" t="s">
        <v>1048</v>
      </c>
      <c r="D473" s="9"/>
      <c r="E473" s="17" t="s">
        <v>14</v>
      </c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4" t="s">
        <v>1049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"/>
    </row>
    <row r="475">
      <c r="A475" s="1"/>
      <c r="B475" s="4" t="s">
        <v>1050</v>
      </c>
      <c r="D475" s="9"/>
      <c r="E475" s="17" t="s">
        <v>14</v>
      </c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4" t="s">
        <v>1051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"/>
    </row>
    <row r="477">
      <c r="A477" s="1"/>
      <c r="B477" s="4" t="s">
        <v>1052</v>
      </c>
      <c r="D477" s="9"/>
      <c r="E477" s="17" t="s">
        <v>14</v>
      </c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4" t="s">
        <v>1053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"/>
    </row>
    <row r="479">
      <c r="A479" s="1"/>
      <c r="B479" s="4" t="s">
        <v>1055</v>
      </c>
      <c r="D479" s="9"/>
      <c r="E479" s="17" t="s">
        <v>14</v>
      </c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4" t="s">
        <v>1057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"/>
    </row>
    <row r="481">
      <c r="A481" s="1"/>
      <c r="B481" s="4" t="s">
        <v>1059</v>
      </c>
      <c r="D481" s="9"/>
      <c r="E481" s="17" t="s">
        <v>14</v>
      </c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4" t="s">
        <v>1061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"/>
    </row>
    <row r="483">
      <c r="A483" s="1"/>
      <c r="B483" s="4" t="s">
        <v>1062</v>
      </c>
      <c r="D483" s="9"/>
      <c r="E483" s="17" t="s">
        <v>14</v>
      </c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4" t="s">
        <v>1063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"/>
    </row>
    <row r="485">
      <c r="A485" s="1"/>
      <c r="B485" s="4" t="s">
        <v>1064</v>
      </c>
      <c r="D485" s="9"/>
      <c r="E485" s="17" t="s">
        <v>14</v>
      </c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4" t="s">
        <v>1065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"/>
    </row>
    <row r="487">
      <c r="A487" s="1"/>
      <c r="B487" s="4" t="s">
        <v>1066</v>
      </c>
      <c r="D487" s="9"/>
      <c r="E487" s="17" t="s">
        <v>14</v>
      </c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4" t="s">
        <v>1067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"/>
    </row>
    <row r="489">
      <c r="A489" s="1"/>
      <c r="B489" s="4" t="s">
        <v>1068</v>
      </c>
      <c r="D489" s="9"/>
      <c r="E489" s="17" t="s">
        <v>14</v>
      </c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4" t="s">
        <v>1069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"/>
    </row>
    <row r="491">
      <c r="A491" s="1"/>
      <c r="B491" s="4" t="s">
        <v>1072</v>
      </c>
      <c r="D491" s="9"/>
      <c r="E491" s="17" t="s">
        <v>14</v>
      </c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4" t="s">
        <v>1074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"/>
    </row>
    <row r="493">
      <c r="A493" s="1"/>
      <c r="B493" s="4" t="s">
        <v>1076</v>
      </c>
      <c r="D493" s="9"/>
      <c r="E493" s="17" t="s">
        <v>14</v>
      </c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4" t="s">
        <v>1077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"/>
    </row>
    <row r="495">
      <c r="A495" s="1"/>
      <c r="B495" s="4" t="s">
        <v>1078</v>
      </c>
      <c r="D495" s="9"/>
      <c r="E495" s="17" t="s">
        <v>14</v>
      </c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4" t="s">
        <v>1079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"/>
    </row>
    <row r="497">
      <c r="A497" s="1"/>
      <c r="B497" s="4" t="s">
        <v>1081</v>
      </c>
      <c r="D497" s="9"/>
      <c r="E497" s="17" t="s">
        <v>14</v>
      </c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4" t="s">
        <v>1082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"/>
    </row>
    <row r="499">
      <c r="A499" s="1"/>
      <c r="B499" s="4" t="s">
        <v>1085</v>
      </c>
      <c r="D499" s="9"/>
      <c r="E499" s="17" t="s">
        <v>14</v>
      </c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4" t="s">
        <v>1086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"/>
    </row>
    <row r="501">
      <c r="A501" s="1"/>
      <c r="B501" s="4" t="s">
        <v>1088</v>
      </c>
      <c r="D501" s="9"/>
      <c r="E501" s="17" t="s">
        <v>14</v>
      </c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4" t="s">
        <v>1089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"/>
    </row>
    <row r="503">
      <c r="A503" s="1"/>
      <c r="B503" s="4" t="s">
        <v>1090</v>
      </c>
      <c r="D503" s="9"/>
      <c r="E503" s="17" t="s">
        <v>14</v>
      </c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4" t="s">
        <v>1091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"/>
    </row>
    <row r="505">
      <c r="A505" s="1"/>
      <c r="B505" s="4" t="s">
        <v>1093</v>
      </c>
      <c r="D505" s="9"/>
      <c r="E505" s="17" t="s">
        <v>14</v>
      </c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4" t="s">
        <v>1094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"/>
    </row>
    <row r="507">
      <c r="A507" s="1"/>
      <c r="B507" s="4" t="s">
        <v>1096</v>
      </c>
      <c r="D507" s="9"/>
      <c r="E507" s="17" t="s">
        <v>14</v>
      </c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4" t="s">
        <v>1098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"/>
    </row>
    <row r="509">
      <c r="A509" s="1"/>
      <c r="B509" s="4" t="s">
        <v>1100</v>
      </c>
      <c r="D509" s="9"/>
      <c r="E509" s="17" t="s">
        <v>14</v>
      </c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4" t="s">
        <v>1101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"/>
    </row>
    <row r="511">
      <c r="A511" s="1"/>
      <c r="B511" s="4" t="s">
        <v>1102</v>
      </c>
      <c r="D511" s="9"/>
      <c r="E511" s="17" t="s">
        <v>14</v>
      </c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4" t="s">
        <v>1103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"/>
    </row>
    <row r="513">
      <c r="A513" s="1"/>
      <c r="B513" s="4" t="s">
        <v>1104</v>
      </c>
      <c r="D513" s="9"/>
      <c r="E513" s="17" t="s">
        <v>14</v>
      </c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4" t="s">
        <v>1107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"/>
    </row>
    <row r="515">
      <c r="A515" s="1"/>
      <c r="B515" s="4" t="s">
        <v>1110</v>
      </c>
      <c r="D515" s="9"/>
      <c r="E515" s="17" t="s">
        <v>14</v>
      </c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4" t="s">
        <v>1111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"/>
    </row>
    <row r="517">
      <c r="A517" s="1"/>
      <c r="B517" s="4" t="s">
        <v>1115</v>
      </c>
      <c r="D517" s="9"/>
      <c r="E517" s="17" t="s">
        <v>14</v>
      </c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4" t="s">
        <v>1116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"/>
    </row>
    <row r="519">
      <c r="A519" s="1"/>
      <c r="B519" s="4" t="s">
        <v>1118</v>
      </c>
      <c r="D519" s="9"/>
      <c r="E519" s="17" t="s">
        <v>14</v>
      </c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4" t="s">
        <v>1119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"/>
    </row>
    <row r="521">
      <c r="A521" s="1"/>
      <c r="B521" s="4" t="s">
        <v>1120</v>
      </c>
      <c r="D521" s="9"/>
      <c r="E521" s="17" t="s">
        <v>14</v>
      </c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4" t="s">
        <v>1121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"/>
    </row>
    <row r="523">
      <c r="A523" s="1"/>
      <c r="B523" s="4" t="s">
        <v>1122</v>
      </c>
      <c r="D523" s="9"/>
      <c r="E523" s="17" t="s">
        <v>14</v>
      </c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4" t="s">
        <v>1124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"/>
    </row>
    <row r="525">
      <c r="A525" s="1"/>
      <c r="B525" s="4" t="s">
        <v>1127</v>
      </c>
      <c r="D525" s="9"/>
      <c r="E525" s="17" t="s">
        <v>14</v>
      </c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4" t="s">
        <v>1128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"/>
    </row>
    <row r="527">
      <c r="A527" s="1"/>
      <c r="B527" s="4" t="s">
        <v>1130</v>
      </c>
      <c r="D527" s="9"/>
      <c r="E527" s="17" t="s">
        <v>14</v>
      </c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4" t="s">
        <v>1131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"/>
    </row>
    <row r="529">
      <c r="A529" s="1"/>
      <c r="B529" s="4" t="s">
        <v>1132</v>
      </c>
      <c r="D529" s="9"/>
      <c r="E529" s="17" t="s">
        <v>14</v>
      </c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4" t="s">
        <v>1133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"/>
    </row>
    <row r="531">
      <c r="A531" s="1"/>
      <c r="B531" s="4" t="s">
        <v>1134</v>
      </c>
      <c r="D531" s="9"/>
      <c r="E531" s="17" t="s">
        <v>14</v>
      </c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4" t="s">
        <v>1137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"/>
    </row>
    <row r="533">
      <c r="A533" s="1"/>
      <c r="B533" s="4" t="s">
        <v>1140</v>
      </c>
      <c r="D533" s="9"/>
      <c r="E533" s="17" t="s">
        <v>14</v>
      </c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4" t="s">
        <v>1141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"/>
    </row>
    <row r="535">
      <c r="A535" s="1"/>
      <c r="B535" s="4" t="s">
        <v>1143</v>
      </c>
      <c r="D535" s="9"/>
      <c r="E535" s="17" t="s">
        <v>14</v>
      </c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4" t="s">
        <v>1144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"/>
    </row>
    <row r="537">
      <c r="A537" s="1"/>
      <c r="B537" s="4" t="s">
        <v>1145</v>
      </c>
      <c r="D537" s="9"/>
      <c r="E537" s="17" t="s">
        <v>14</v>
      </c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4" t="s">
        <v>1146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"/>
    </row>
    <row r="539">
      <c r="A539" s="1"/>
      <c r="B539" s="4" t="s">
        <v>1148</v>
      </c>
      <c r="D539" s="9"/>
      <c r="E539" s="17" t="s">
        <v>14</v>
      </c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4" t="s">
        <v>1149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"/>
    </row>
    <row r="541">
      <c r="A541" s="1"/>
      <c r="B541" s="4" t="s">
        <v>1150</v>
      </c>
      <c r="D541" s="9"/>
      <c r="E541" s="17" t="s">
        <v>14</v>
      </c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4" t="s">
        <v>1151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"/>
    </row>
    <row r="543">
      <c r="A543" s="1"/>
      <c r="B543" s="4" t="s">
        <v>1152</v>
      </c>
      <c r="D543" s="9"/>
      <c r="E543" s="17" t="s">
        <v>14</v>
      </c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4" t="s">
        <v>1154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"/>
    </row>
    <row r="545">
      <c r="A545" s="1"/>
      <c r="B545" s="4" t="s">
        <v>1157</v>
      </c>
      <c r="D545" s="9"/>
      <c r="E545" s="17" t="s">
        <v>14</v>
      </c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4" t="s">
        <v>1159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"/>
    </row>
    <row r="547">
      <c r="A547" s="1"/>
      <c r="B547" s="4" t="s">
        <v>1160</v>
      </c>
      <c r="D547" s="9"/>
      <c r="E547" s="17" t="s">
        <v>14</v>
      </c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4" t="s">
        <v>1161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"/>
    </row>
    <row r="549">
      <c r="A549" s="1"/>
      <c r="B549" s="4" t="s">
        <v>1162</v>
      </c>
      <c r="D549" s="9"/>
      <c r="E549" s="17" t="s">
        <v>14</v>
      </c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4" t="s">
        <v>1163</v>
      </c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"/>
    </row>
    <row r="551">
      <c r="A551" s="1"/>
      <c r="B551" s="4" t="s">
        <v>1165</v>
      </c>
      <c r="D551" s="9"/>
      <c r="E551" s="17" t="s">
        <v>14</v>
      </c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4" t="s">
        <v>1166</v>
      </c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"/>
    </row>
    <row r="553">
      <c r="A553" s="1"/>
      <c r="B553" s="4" t="s">
        <v>1168</v>
      </c>
      <c r="D553" s="9"/>
      <c r="E553" s="17" t="s">
        <v>14</v>
      </c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4" t="s">
        <v>1169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"/>
    </row>
    <row r="555">
      <c r="A555" s="1"/>
      <c r="B555" s="4" t="s">
        <v>1171</v>
      </c>
      <c r="D555" s="9"/>
      <c r="E555" s="17" t="s">
        <v>14</v>
      </c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4" t="s">
        <v>1172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"/>
    </row>
    <row r="557">
      <c r="A557" s="1"/>
      <c r="B557" s="4" t="s">
        <v>1174</v>
      </c>
      <c r="D557" s="9"/>
      <c r="E557" s="17" t="s">
        <v>14</v>
      </c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4" t="s">
        <v>1176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"/>
    </row>
    <row r="559">
      <c r="A559" s="1"/>
      <c r="B559" s="4" t="s">
        <v>1178</v>
      </c>
      <c r="D559" s="9"/>
      <c r="E559" s="17" t="s">
        <v>14</v>
      </c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4" t="s">
        <v>1179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"/>
    </row>
    <row r="561">
      <c r="A561" s="1"/>
      <c r="B561" s="4" t="s">
        <v>1180</v>
      </c>
      <c r="D561" s="9"/>
      <c r="E561" s="17" t="s">
        <v>14</v>
      </c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4" t="s">
        <v>1181</v>
      </c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"/>
    </row>
    <row r="563">
      <c r="A563" s="1"/>
      <c r="B563" s="4" t="s">
        <v>1183</v>
      </c>
      <c r="D563" s="9"/>
      <c r="E563" s="17" t="s">
        <v>14</v>
      </c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4" t="s">
        <v>1184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"/>
    </row>
    <row r="565">
      <c r="A565" s="1"/>
      <c r="B565" s="4" t="s">
        <v>1186</v>
      </c>
      <c r="D565" s="9"/>
      <c r="E565" s="17" t="s">
        <v>14</v>
      </c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4" t="s">
        <v>1187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"/>
    </row>
    <row r="567">
      <c r="A567" s="1"/>
      <c r="B567" s="4" t="s">
        <v>1189</v>
      </c>
      <c r="D567" s="9"/>
      <c r="E567" s="17" t="s">
        <v>14</v>
      </c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4" t="s">
        <v>1191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"/>
    </row>
    <row r="569">
      <c r="A569" s="1"/>
      <c r="B569" s="4" t="s">
        <v>1192</v>
      </c>
      <c r="D569" s="9"/>
      <c r="E569" s="17" t="s">
        <v>14</v>
      </c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4" t="s">
        <v>1193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"/>
    </row>
    <row r="571">
      <c r="A571" s="1"/>
      <c r="B571" s="4" t="s">
        <v>1194</v>
      </c>
      <c r="D571" s="9"/>
      <c r="E571" s="17" t="s">
        <v>14</v>
      </c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4" t="s">
        <v>1195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"/>
    </row>
    <row r="573">
      <c r="A573" s="1"/>
      <c r="B573" s="4" t="s">
        <v>1196</v>
      </c>
      <c r="D573" s="9"/>
      <c r="E573" s="17" t="s">
        <v>14</v>
      </c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4" t="s">
        <v>1197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"/>
    </row>
    <row r="575">
      <c r="A575" s="1"/>
      <c r="B575" s="4" t="s">
        <v>1198</v>
      </c>
      <c r="D575" s="9"/>
      <c r="E575" s="17" t="s">
        <v>14</v>
      </c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4" t="s">
        <v>1199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"/>
    </row>
    <row r="577">
      <c r="A577" s="1"/>
      <c r="B577" s="4" t="s">
        <v>1200</v>
      </c>
      <c r="D577" s="9"/>
      <c r="E577" s="17" t="s">
        <v>14</v>
      </c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4" t="s">
        <v>1201</v>
      </c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"/>
    </row>
    <row r="579">
      <c r="A579" s="1"/>
      <c r="B579" s="4" t="s">
        <v>1202</v>
      </c>
      <c r="D579" s="9"/>
      <c r="E579" s="17" t="s">
        <v>14</v>
      </c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4" t="s">
        <v>1203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"/>
    </row>
    <row r="581">
      <c r="A581" s="1"/>
      <c r="B581" s="4" t="s">
        <v>1206</v>
      </c>
      <c r="D581" s="9"/>
      <c r="E581" s="17" t="s">
        <v>14</v>
      </c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4" t="s">
        <v>1208</v>
      </c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"/>
    </row>
    <row r="583">
      <c r="A583" s="1"/>
      <c r="B583" s="4" t="s">
        <v>1210</v>
      </c>
      <c r="D583" s="9"/>
      <c r="E583" s="17" t="s">
        <v>14</v>
      </c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4" t="s">
        <v>1211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"/>
    </row>
    <row r="585">
      <c r="A585" s="1"/>
      <c r="B585" s="4" t="s">
        <v>1212</v>
      </c>
      <c r="D585" s="9"/>
      <c r="E585" s="17" t="s">
        <v>14</v>
      </c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4" t="s">
        <v>1213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"/>
    </row>
    <row r="587">
      <c r="A587" s="1"/>
      <c r="B587" s="4" t="s">
        <v>1214</v>
      </c>
      <c r="D587" s="9"/>
      <c r="E587" s="17" t="s">
        <v>14</v>
      </c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4" t="s">
        <v>1215</v>
      </c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"/>
    </row>
    <row r="589">
      <c r="A589" s="1"/>
      <c r="B589" s="4" t="s">
        <v>1217</v>
      </c>
      <c r="D589" s="9"/>
      <c r="E589" s="17" t="s">
        <v>14</v>
      </c>
      <c r="F589" s="18" t="str">
        <f>HYPERLINK("https://www.youtube.com/watch?v=LptB8aNC3lY",'Players&gt;List'!$B18)</f>
        <v>[HGB]</v>
      </c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4" t="s">
        <v>1220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"/>
    </row>
    <row r="591">
      <c r="A591" s="1"/>
      <c r="B591" s="4" t="s">
        <v>1222</v>
      </c>
      <c r="D591" s="9"/>
      <c r="E591" s="17" t="s">
        <v>14</v>
      </c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4" t="s">
        <v>1223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"/>
    </row>
    <row r="593">
      <c r="A593" s="1"/>
      <c r="B593" s="4" t="s">
        <v>1224</v>
      </c>
      <c r="D593" s="9"/>
      <c r="E593" s="17" t="s">
        <v>14</v>
      </c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4" t="s">
        <v>1225</v>
      </c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"/>
    </row>
    <row r="595">
      <c r="A595" s="1"/>
      <c r="B595" s="4" t="s">
        <v>1226</v>
      </c>
      <c r="D595" s="9"/>
      <c r="E595" s="17" t="s">
        <v>14</v>
      </c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4" t="s">
        <v>1228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"/>
    </row>
    <row r="597">
      <c r="A597" s="1"/>
      <c r="B597" s="4" t="s">
        <v>1230</v>
      </c>
      <c r="D597" s="9"/>
      <c r="E597" s="17" t="s">
        <v>14</v>
      </c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4" t="s">
        <v>1231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"/>
    </row>
    <row r="599">
      <c r="A599" s="1"/>
      <c r="B599" s="4" t="s">
        <v>1232</v>
      </c>
      <c r="D599" s="9"/>
      <c r="E599" s="17" t="s">
        <v>14</v>
      </c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4" t="s">
        <v>1233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"/>
    </row>
    <row r="601">
      <c r="A601" s="1"/>
      <c r="B601" s="4" t="s">
        <v>1234</v>
      </c>
      <c r="D601" s="9"/>
      <c r="E601" s="17" t="s">
        <v>14</v>
      </c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4" t="s">
        <v>1236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"/>
    </row>
    <row r="603">
      <c r="A603" s="1"/>
      <c r="B603" s="4" t="s">
        <v>1238</v>
      </c>
      <c r="D603" s="9"/>
      <c r="E603" s="17" t="s">
        <v>14</v>
      </c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4" t="s">
        <v>1239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"/>
    </row>
    <row r="605">
      <c r="A605" s="1"/>
      <c r="B605" s="4" t="s">
        <v>1241</v>
      </c>
      <c r="D605" s="9"/>
      <c r="E605" s="17" t="s">
        <v>14</v>
      </c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4" t="s">
        <v>1242</v>
      </c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"/>
    </row>
    <row r="607">
      <c r="A607" s="1"/>
      <c r="B607" s="4" t="s">
        <v>1243</v>
      </c>
      <c r="D607" s="9"/>
      <c r="E607" s="17" t="s">
        <v>14</v>
      </c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4" t="s">
        <v>1245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"/>
    </row>
    <row r="609">
      <c r="A609" s="1"/>
      <c r="B609" s="4" t="s">
        <v>1247</v>
      </c>
      <c r="D609" s="9"/>
      <c r="E609" s="17" t="s">
        <v>14</v>
      </c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4" t="s">
        <v>1248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"/>
    </row>
    <row r="611">
      <c r="A611" s="1"/>
      <c r="B611" s="4" t="s">
        <v>1249</v>
      </c>
      <c r="D611" s="9"/>
      <c r="E611" s="17" t="s">
        <v>14</v>
      </c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4" t="s">
        <v>1250</v>
      </c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"/>
    </row>
    <row r="613">
      <c r="A613" s="1"/>
      <c r="B613" s="4" t="s">
        <v>1251</v>
      </c>
      <c r="D613" s="9"/>
      <c r="E613" s="17" t="s">
        <v>14</v>
      </c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4" t="s">
        <v>1253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"/>
    </row>
    <row r="615">
      <c r="A615" s="1"/>
      <c r="B615" s="4" t="s">
        <v>1255</v>
      </c>
      <c r="D615" s="9"/>
      <c r="E615" s="17" t="s">
        <v>14</v>
      </c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4" t="s">
        <v>1256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"/>
    </row>
    <row r="617">
      <c r="A617" s="1"/>
      <c r="B617" s="4" t="s">
        <v>1257</v>
      </c>
      <c r="D617" s="9"/>
      <c r="E617" s="17" t="s">
        <v>14</v>
      </c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4" t="s">
        <v>1258</v>
      </c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"/>
    </row>
    <row r="619">
      <c r="A619" s="1"/>
      <c r="B619" s="4" t="s">
        <v>1259</v>
      </c>
      <c r="D619" s="9"/>
      <c r="E619" s="17" t="s">
        <v>14</v>
      </c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4" t="s">
        <v>1261</v>
      </c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"/>
    </row>
    <row r="621">
      <c r="A621" s="1"/>
      <c r="B621" s="4" t="s">
        <v>1263</v>
      </c>
      <c r="D621" s="9"/>
      <c r="E621" s="17" t="s">
        <v>14</v>
      </c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4" t="s">
        <v>1264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"/>
    </row>
    <row r="623">
      <c r="A623" s="1"/>
      <c r="B623" s="4" t="s">
        <v>1265</v>
      </c>
      <c r="D623" s="9"/>
      <c r="E623" s="17" t="s">
        <v>14</v>
      </c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4" t="s">
        <v>1266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"/>
    </row>
    <row r="625">
      <c r="A625" s="1"/>
      <c r="B625" s="4" t="s">
        <v>1268</v>
      </c>
      <c r="D625" s="9"/>
      <c r="E625" s="17" t="s">
        <v>14</v>
      </c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4" t="s">
        <v>1269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"/>
    </row>
    <row r="627">
      <c r="A627" s="1"/>
      <c r="B627" s="4" t="s">
        <v>1272</v>
      </c>
      <c r="D627" s="9"/>
      <c r="E627" s="17" t="s">
        <v>14</v>
      </c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4" t="s">
        <v>1274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"/>
    </row>
    <row r="629">
      <c r="A629" s="1"/>
      <c r="B629" s="4" t="s">
        <v>1275</v>
      </c>
      <c r="D629" s="9"/>
      <c r="E629" s="17" t="s">
        <v>14</v>
      </c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4" t="s">
        <v>1276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"/>
    </row>
    <row r="631">
      <c r="A631" s="1"/>
      <c r="B631" s="4" t="s">
        <v>1279</v>
      </c>
      <c r="D631" s="9"/>
      <c r="E631" s="17" t="s">
        <v>14</v>
      </c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4" t="s">
        <v>1280</v>
      </c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"/>
    </row>
    <row r="633">
      <c r="A633" s="1"/>
      <c r="B633" s="4" t="s">
        <v>1281</v>
      </c>
      <c r="D633" s="9"/>
      <c r="E633" s="17" t="s">
        <v>14</v>
      </c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4" t="s">
        <v>1282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"/>
    </row>
    <row r="635">
      <c r="A635" s="1"/>
      <c r="B635" s="4" t="s">
        <v>1283</v>
      </c>
      <c r="D635" s="9"/>
      <c r="E635" s="17" t="s">
        <v>14</v>
      </c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4" t="s">
        <v>1285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"/>
    </row>
    <row r="637">
      <c r="A637" s="1"/>
      <c r="B637" s="4" t="s">
        <v>1287</v>
      </c>
      <c r="D637" s="9"/>
      <c r="E637" s="17" t="s">
        <v>14</v>
      </c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4" t="s">
        <v>1289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"/>
    </row>
    <row r="639">
      <c r="A639" s="1"/>
      <c r="B639" s="4" t="s">
        <v>1291</v>
      </c>
      <c r="D639" s="9"/>
      <c r="E639" s="17" t="s">
        <v>14</v>
      </c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4" t="s">
        <v>1292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"/>
    </row>
    <row r="641">
      <c r="A641" s="1"/>
      <c r="B641" s="4" t="s">
        <v>1293</v>
      </c>
      <c r="D641" s="9"/>
      <c r="E641" s="17" t="s">
        <v>14</v>
      </c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4" t="s">
        <v>1294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"/>
    </row>
    <row r="643">
      <c r="A643" s="1"/>
      <c r="B643" s="4" t="s">
        <v>1296</v>
      </c>
      <c r="D643" s="9"/>
      <c r="E643" s="17" t="s">
        <v>14</v>
      </c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4" t="s">
        <v>1298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"/>
    </row>
    <row r="645">
      <c r="A645" s="1"/>
      <c r="B645" s="4" t="s">
        <v>1299</v>
      </c>
      <c r="D645" s="9"/>
      <c r="E645" s="17" t="s">
        <v>14</v>
      </c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4" t="s">
        <v>1300</v>
      </c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"/>
    </row>
    <row r="647">
      <c r="A647" s="1"/>
      <c r="B647" s="4" t="s">
        <v>1302</v>
      </c>
      <c r="D647" s="9"/>
      <c r="E647" s="17" t="s">
        <v>14</v>
      </c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4" t="s">
        <v>1304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"/>
    </row>
    <row r="649">
      <c r="A649" s="1"/>
      <c r="B649" s="4" t="s">
        <v>1307</v>
      </c>
      <c r="D649" s="9"/>
      <c r="E649" s="17" t="s">
        <v>14</v>
      </c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4" t="s">
        <v>1308</v>
      </c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"/>
    </row>
    <row r="651">
      <c r="A651" s="1"/>
      <c r="B651" s="4" t="s">
        <v>1309</v>
      </c>
      <c r="D651" s="9"/>
      <c r="E651" s="17" t="s">
        <v>14</v>
      </c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4" t="s">
        <v>1310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"/>
    </row>
    <row r="653">
      <c r="A653" s="1"/>
      <c r="B653" s="4" t="s">
        <v>1311</v>
      </c>
      <c r="D653" s="9"/>
      <c r="E653" s="17" t="s">
        <v>14</v>
      </c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4" t="s">
        <v>1312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"/>
    </row>
    <row r="655">
      <c r="A655" s="1"/>
      <c r="B655" s="4" t="s">
        <v>1313</v>
      </c>
      <c r="D655" s="9"/>
      <c r="E655" s="17" t="s">
        <v>14</v>
      </c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4" t="s">
        <v>1314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"/>
    </row>
    <row r="657">
      <c r="A657" s="1"/>
      <c r="B657" s="4" t="s">
        <v>1316</v>
      </c>
      <c r="D657" s="9"/>
      <c r="E657" s="17" t="s">
        <v>14</v>
      </c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4" t="s">
        <v>1319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"/>
    </row>
    <row r="659">
      <c r="A659" s="1"/>
      <c r="B659" s="4" t="s">
        <v>1321</v>
      </c>
      <c r="D659" s="9"/>
      <c r="E659" s="17" t="s">
        <v>14</v>
      </c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4" t="s">
        <v>1322</v>
      </c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"/>
    </row>
    <row r="661">
      <c r="A661" s="1"/>
      <c r="B661" s="4" t="s">
        <v>1323</v>
      </c>
      <c r="D661" s="9"/>
      <c r="E661" s="17" t="s">
        <v>14</v>
      </c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4" t="s">
        <v>1324</v>
      </c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"/>
    </row>
    <row r="663">
      <c r="A663" s="1"/>
      <c r="B663" s="4" t="s">
        <v>1325</v>
      </c>
      <c r="D663" s="9"/>
      <c r="E663" s="17" t="s">
        <v>14</v>
      </c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4" t="s">
        <v>1327</v>
      </c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"/>
    </row>
    <row r="665">
      <c r="A665" s="1"/>
      <c r="B665" s="4" t="s">
        <v>1330</v>
      </c>
      <c r="D665" s="9"/>
      <c r="E665" s="17" t="s">
        <v>14</v>
      </c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4" t="s">
        <v>1331</v>
      </c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"/>
    </row>
    <row r="667">
      <c r="A667" s="1"/>
      <c r="B667" s="4" t="s">
        <v>1333</v>
      </c>
      <c r="D667" s="9"/>
      <c r="E667" s="17" t="s">
        <v>14</v>
      </c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4" t="s">
        <v>1334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"/>
    </row>
    <row r="669">
      <c r="A669" s="1"/>
      <c r="B669" s="4" t="s">
        <v>1335</v>
      </c>
      <c r="D669" s="9"/>
      <c r="E669" s="17" t="s">
        <v>14</v>
      </c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4" t="s">
        <v>1336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"/>
    </row>
    <row r="671">
      <c r="A671" s="1"/>
      <c r="B671" s="4" t="s">
        <v>1339</v>
      </c>
      <c r="D671" s="9"/>
      <c r="E671" s="17" t="s">
        <v>14</v>
      </c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4" t="s">
        <v>1341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"/>
    </row>
    <row r="673">
      <c r="A673" s="1"/>
      <c r="B673" s="4" t="s">
        <v>1343</v>
      </c>
      <c r="D673" s="9"/>
      <c r="E673" s="17" t="s">
        <v>14</v>
      </c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4" t="s">
        <v>1344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"/>
    </row>
    <row r="675">
      <c r="A675" s="1"/>
      <c r="B675" s="4" t="s">
        <v>1345</v>
      </c>
      <c r="D675" s="9"/>
      <c r="E675" s="17" t="s">
        <v>14</v>
      </c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4" t="s">
        <v>1346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"/>
    </row>
    <row r="677">
      <c r="A677" s="1"/>
      <c r="B677" s="4" t="s">
        <v>1347</v>
      </c>
      <c r="D677" s="9"/>
      <c r="E677" s="17" t="s">
        <v>14</v>
      </c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4" t="s">
        <v>1348</v>
      </c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"/>
    </row>
    <row r="679">
      <c r="A679" s="1"/>
      <c r="B679" s="4" t="s">
        <v>1349</v>
      </c>
      <c r="D679" s="9"/>
      <c r="E679" s="17" t="s">
        <v>14</v>
      </c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4" t="s">
        <v>1350</v>
      </c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"/>
    </row>
    <row r="681">
      <c r="A681" s="1"/>
      <c r="B681" s="4" t="s">
        <v>1352</v>
      </c>
      <c r="D681" s="9"/>
      <c r="E681" s="17" t="s">
        <v>14</v>
      </c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4" t="s">
        <v>1354</v>
      </c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"/>
    </row>
    <row r="683">
      <c r="A683" s="1"/>
      <c r="B683" s="4" t="s">
        <v>1357</v>
      </c>
      <c r="D683" s="9"/>
      <c r="E683" s="17" t="s">
        <v>14</v>
      </c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4" t="s">
        <v>1358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"/>
    </row>
    <row r="685">
      <c r="A685" s="1"/>
      <c r="B685" s="4" t="s">
        <v>1359</v>
      </c>
      <c r="D685" s="9"/>
      <c r="E685" s="17" t="s">
        <v>14</v>
      </c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4" t="s">
        <v>1360</v>
      </c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"/>
    </row>
    <row r="687">
      <c r="A687" s="1"/>
      <c r="B687" s="4" t="s">
        <v>1362</v>
      </c>
      <c r="D687" s="9"/>
      <c r="E687" s="17" t="s">
        <v>14</v>
      </c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4" t="s">
        <v>1363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"/>
    </row>
    <row r="689">
      <c r="A689" s="1"/>
      <c r="B689" s="4" t="s">
        <v>1365</v>
      </c>
      <c r="D689" s="9"/>
      <c r="E689" s="17" t="s">
        <v>14</v>
      </c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4" t="s">
        <v>1366</v>
      </c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"/>
    </row>
    <row r="691">
      <c r="A691" s="1"/>
      <c r="B691" s="4" t="s">
        <v>1367</v>
      </c>
      <c r="D691" s="9"/>
      <c r="E691" s="17" t="s">
        <v>14</v>
      </c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4" t="s">
        <v>1368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"/>
    </row>
    <row r="693">
      <c r="A693" s="1"/>
      <c r="B693" s="4" t="s">
        <v>1369</v>
      </c>
      <c r="D693" s="9"/>
      <c r="E693" s="17" t="s">
        <v>14</v>
      </c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4" t="s">
        <v>1370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"/>
    </row>
    <row r="695">
      <c r="A695" s="1"/>
      <c r="B695" s="4" t="s">
        <v>1374</v>
      </c>
      <c r="D695" s="9"/>
      <c r="E695" s="17" t="s">
        <v>14</v>
      </c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4" t="s">
        <v>1376</v>
      </c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"/>
    </row>
    <row r="697">
      <c r="A697" s="1"/>
      <c r="B697" s="4" t="s">
        <v>1377</v>
      </c>
      <c r="D697" s="9"/>
      <c r="E697" s="17" t="s">
        <v>14</v>
      </c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4" t="s">
        <v>1378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"/>
    </row>
    <row r="699">
      <c r="A699" s="1"/>
      <c r="B699" s="4" t="s">
        <v>1379</v>
      </c>
      <c r="D699" s="9"/>
      <c r="E699" s="17" t="s">
        <v>14</v>
      </c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4" t="s">
        <v>1380</v>
      </c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"/>
    </row>
    <row r="701">
      <c r="A701" s="1"/>
      <c r="B701" s="4" t="s">
        <v>1382</v>
      </c>
      <c r="D701" s="9"/>
      <c r="E701" s="17" t="s">
        <v>14</v>
      </c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4" t="s">
        <v>1383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"/>
    </row>
    <row r="703">
      <c r="A703" s="1"/>
      <c r="B703" s="4" t="s">
        <v>1386</v>
      </c>
      <c r="D703" s="9"/>
      <c r="E703" s="17" t="s">
        <v>14</v>
      </c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4" t="s">
        <v>1387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"/>
    </row>
    <row r="705">
      <c r="A705" s="1"/>
      <c r="B705" s="4" t="s">
        <v>1388</v>
      </c>
      <c r="D705" s="9"/>
      <c r="E705" s="17" t="s">
        <v>14</v>
      </c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4" t="s">
        <v>1389</v>
      </c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"/>
    </row>
    <row r="707">
      <c r="A707" s="1"/>
      <c r="B707" s="4" t="s">
        <v>1390</v>
      </c>
      <c r="D707" s="9"/>
      <c r="E707" s="17" t="s">
        <v>14</v>
      </c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4" t="s">
        <v>1392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"/>
    </row>
    <row r="709">
      <c r="A709" s="1"/>
      <c r="B709" s="4" t="s">
        <v>1394</v>
      </c>
      <c r="D709" s="9"/>
      <c r="E709" s="17" t="s">
        <v>14</v>
      </c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4" t="s">
        <v>1396</v>
      </c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"/>
    </row>
    <row r="711">
      <c r="A711" s="1"/>
      <c r="B711" s="4" t="s">
        <v>1398</v>
      </c>
      <c r="D711" s="9"/>
      <c r="E711" s="17" t="s">
        <v>14</v>
      </c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4" t="s">
        <v>1399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"/>
    </row>
    <row r="713">
      <c r="A713" s="1"/>
      <c r="B713" s="4" t="s">
        <v>1400</v>
      </c>
      <c r="D713" s="9"/>
      <c r="E713" s="17" t="s">
        <v>14</v>
      </c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4" t="s">
        <v>1401</v>
      </c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"/>
    </row>
    <row r="715">
      <c r="A715" s="1"/>
      <c r="B715" s="4" t="s">
        <v>1402</v>
      </c>
      <c r="D715" s="9"/>
      <c r="E715" s="17" t="s">
        <v>14</v>
      </c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4" t="s">
        <v>1404</v>
      </c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"/>
    </row>
    <row r="717">
      <c r="A717" s="1"/>
      <c r="B717" s="4" t="s">
        <v>1405</v>
      </c>
      <c r="D717" s="9"/>
      <c r="E717" s="17" t="s">
        <v>14</v>
      </c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4" t="s">
        <v>1407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"/>
    </row>
    <row r="719">
      <c r="A719" s="1"/>
      <c r="B719" s="4" t="s">
        <v>1409</v>
      </c>
      <c r="D719" s="9"/>
      <c r="E719" s="17" t="s">
        <v>14</v>
      </c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4" t="s">
        <v>1410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"/>
    </row>
    <row r="721">
      <c r="A721" s="1"/>
      <c r="B721" s="4" t="s">
        <v>1413</v>
      </c>
      <c r="D721" s="9"/>
      <c r="E721" s="17" t="s">
        <v>14</v>
      </c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4" t="s">
        <v>1414</v>
      </c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"/>
    </row>
    <row r="723">
      <c r="A723" s="1"/>
      <c r="B723" s="4" t="s">
        <v>1415</v>
      </c>
      <c r="D723" s="9"/>
      <c r="E723" s="17" t="s">
        <v>14</v>
      </c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4" t="s">
        <v>1416</v>
      </c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"/>
    </row>
    <row r="725">
      <c r="A725" s="1"/>
      <c r="B725" s="4" t="s">
        <v>1419</v>
      </c>
      <c r="D725" s="9"/>
      <c r="E725" s="17" t="s">
        <v>14</v>
      </c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4" t="s">
        <v>1420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"/>
    </row>
    <row r="727">
      <c r="A727" s="1"/>
      <c r="B727" s="4" t="s">
        <v>1421</v>
      </c>
      <c r="D727" s="9"/>
      <c r="E727" s="17" t="s">
        <v>14</v>
      </c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4" t="s">
        <v>1423</v>
      </c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"/>
    </row>
    <row r="729">
      <c r="A729" s="1"/>
      <c r="B729" s="4" t="s">
        <v>1427</v>
      </c>
      <c r="D729" s="9"/>
      <c r="E729" s="17" t="s">
        <v>14</v>
      </c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4" t="s">
        <v>1428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"/>
    </row>
    <row r="731">
      <c r="A731" s="1"/>
      <c r="B731" s="4" t="s">
        <v>1429</v>
      </c>
      <c r="D731" s="9"/>
      <c r="E731" s="17" t="s">
        <v>14</v>
      </c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4" t="s">
        <v>1430</v>
      </c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"/>
    </row>
    <row r="733">
      <c r="A733" s="1"/>
      <c r="B733" s="4" t="s">
        <v>1431</v>
      </c>
      <c r="D733" s="9"/>
      <c r="E733" s="17" t="s">
        <v>14</v>
      </c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4" t="s">
        <v>1432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"/>
    </row>
    <row r="735">
      <c r="A735" s="1"/>
      <c r="B735" s="4" t="s">
        <v>1434</v>
      </c>
      <c r="D735" s="9"/>
      <c r="E735" s="17" t="s">
        <v>14</v>
      </c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4" t="s">
        <v>1436</v>
      </c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"/>
    </row>
    <row r="737">
      <c r="A737" s="1"/>
      <c r="B737" s="4" t="s">
        <v>1439</v>
      </c>
      <c r="D737" s="9"/>
      <c r="E737" s="17" t="s">
        <v>14</v>
      </c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4" t="s">
        <v>1440</v>
      </c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"/>
    </row>
    <row r="739">
      <c r="A739" s="1"/>
      <c r="B739" s="4" t="s">
        <v>1441</v>
      </c>
      <c r="D739" s="9"/>
      <c r="E739" s="17" t="s">
        <v>14</v>
      </c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4" t="s">
        <v>1442</v>
      </c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"/>
    </row>
    <row r="741">
      <c r="A741" s="1"/>
      <c r="B741" s="4" t="s">
        <v>1443</v>
      </c>
      <c r="D741" s="9"/>
      <c r="E741" s="17" t="s">
        <v>14</v>
      </c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4" t="s">
        <v>1445</v>
      </c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"/>
    </row>
    <row r="743">
      <c r="A743" s="1"/>
      <c r="B743" s="4" t="s">
        <v>1446</v>
      </c>
      <c r="D743" s="9"/>
      <c r="E743" s="17" t="s">
        <v>14</v>
      </c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4" t="s">
        <v>1448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"/>
    </row>
    <row r="745">
      <c r="A745" s="1"/>
      <c r="B745" s="4" t="s">
        <v>1450</v>
      </c>
      <c r="D745" s="9"/>
      <c r="E745" s="17" t="s">
        <v>14</v>
      </c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4" t="s">
        <v>1452</v>
      </c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"/>
    </row>
    <row r="747">
      <c r="A747" s="1"/>
      <c r="B747" s="4" t="s">
        <v>1453</v>
      </c>
      <c r="D747" s="9"/>
      <c r="E747" s="17" t="s">
        <v>14</v>
      </c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4" t="s">
        <v>1454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"/>
    </row>
    <row r="749">
      <c r="A749" s="1"/>
      <c r="B749" s="4" t="s">
        <v>1455</v>
      </c>
      <c r="D749" s="9"/>
      <c r="E749" s="17" t="s">
        <v>14</v>
      </c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4" t="s">
        <v>1456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"/>
    </row>
    <row r="751">
      <c r="A751" s="1"/>
      <c r="B751" s="4" t="s">
        <v>1458</v>
      </c>
      <c r="D751" s="9"/>
      <c r="E751" s="17" t="s">
        <v>14</v>
      </c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4" t="s">
        <v>1459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"/>
    </row>
    <row r="753">
      <c r="A753" s="1"/>
      <c r="B753" s="4" t="s">
        <v>1461</v>
      </c>
      <c r="D753" s="9"/>
      <c r="E753" s="17" t="s">
        <v>14</v>
      </c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4" t="s">
        <v>1462</v>
      </c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"/>
    </row>
    <row r="755">
      <c r="A755" s="1"/>
      <c r="B755" s="4" t="s">
        <v>1464</v>
      </c>
      <c r="D755" s="9"/>
      <c r="E755" s="17" t="s">
        <v>14</v>
      </c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4" t="s">
        <v>1466</v>
      </c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"/>
    </row>
    <row r="757">
      <c r="A757" s="1"/>
      <c r="B757" s="4" t="s">
        <v>1467</v>
      </c>
      <c r="D757" s="9"/>
      <c r="E757" s="17" t="s">
        <v>14</v>
      </c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4" t="s">
        <v>1468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"/>
    </row>
    <row r="759">
      <c r="A759" s="1"/>
      <c r="B759" s="4" t="s">
        <v>1470</v>
      </c>
      <c r="D759" s="9"/>
      <c r="E759" s="17" t="s">
        <v>14</v>
      </c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4" t="s">
        <v>1472</v>
      </c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"/>
    </row>
    <row r="761">
      <c r="A761" s="1"/>
      <c r="B761" s="4" t="s">
        <v>1474</v>
      </c>
      <c r="D761" s="9"/>
      <c r="E761" s="17" t="s">
        <v>14</v>
      </c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4" t="s">
        <v>1476</v>
      </c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"/>
    </row>
    <row r="763">
      <c r="A763" s="1"/>
      <c r="B763" s="4" t="s">
        <v>1477</v>
      </c>
      <c r="D763" s="9"/>
      <c r="E763" s="17" t="s">
        <v>14</v>
      </c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4" t="s">
        <v>1478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"/>
    </row>
    <row r="765">
      <c r="A765" s="1"/>
      <c r="B765" s="4" t="s">
        <v>1479</v>
      </c>
      <c r="D765" s="9"/>
      <c r="E765" s="17" t="s">
        <v>14</v>
      </c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4" t="s">
        <v>1480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"/>
    </row>
    <row r="767">
      <c r="A767" s="1"/>
      <c r="B767" s="4" t="s">
        <v>1482</v>
      </c>
      <c r="D767" s="9"/>
      <c r="E767" s="17" t="s">
        <v>14</v>
      </c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4" t="s">
        <v>1484</v>
      </c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"/>
    </row>
    <row r="769">
      <c r="A769" s="1"/>
      <c r="B769" s="4" t="s">
        <v>1487</v>
      </c>
      <c r="D769" s="9"/>
      <c r="E769" s="17" t="s">
        <v>14</v>
      </c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4" t="s">
        <v>1488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"/>
    </row>
    <row r="771">
      <c r="A771" s="1"/>
      <c r="B771" s="4" t="s">
        <v>1489</v>
      </c>
      <c r="D771" s="9"/>
      <c r="E771" s="17" t="s">
        <v>14</v>
      </c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4" t="s">
        <v>1490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"/>
    </row>
    <row r="773">
      <c r="A773" s="1"/>
      <c r="B773" s="4" t="s">
        <v>1491</v>
      </c>
      <c r="D773" s="9"/>
      <c r="E773" s="17" t="s">
        <v>14</v>
      </c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4" t="s">
        <v>1493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"/>
    </row>
    <row r="775">
      <c r="A775" s="1"/>
      <c r="B775" s="4" t="s">
        <v>1496</v>
      </c>
      <c r="D775" s="9"/>
      <c r="E775" s="17" t="s">
        <v>14</v>
      </c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4" t="s">
        <v>1497</v>
      </c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"/>
    </row>
    <row r="777">
      <c r="A777" s="1"/>
      <c r="B777" s="4" t="s">
        <v>1499</v>
      </c>
      <c r="D777" s="9"/>
      <c r="E777" s="17" t="s">
        <v>14</v>
      </c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4" t="s">
        <v>1500</v>
      </c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"/>
    </row>
    <row r="779">
      <c r="A779" s="1"/>
      <c r="B779" s="4" t="s">
        <v>1501</v>
      </c>
      <c r="D779" s="9"/>
      <c r="E779" s="17" t="s">
        <v>14</v>
      </c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4" t="s">
        <v>1502</v>
      </c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"/>
    </row>
    <row r="781">
      <c r="A781" s="1"/>
      <c r="B781" s="4" t="s">
        <v>1503</v>
      </c>
      <c r="D781" s="9"/>
      <c r="E781" s="17" t="s">
        <v>14</v>
      </c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4" t="s">
        <v>1505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"/>
    </row>
    <row r="783">
      <c r="A783" s="1"/>
      <c r="B783" s="4" t="s">
        <v>1508</v>
      </c>
      <c r="D783" s="9"/>
      <c r="E783" s="17" t="s">
        <v>14</v>
      </c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4" t="s">
        <v>1509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"/>
    </row>
    <row r="785">
      <c r="A785" s="1"/>
      <c r="B785" s="4" t="s">
        <v>1511</v>
      </c>
      <c r="D785" s="9"/>
      <c r="E785" s="17" t="s">
        <v>14</v>
      </c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4" t="s">
        <v>1512</v>
      </c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"/>
    </row>
    <row r="787">
      <c r="A787" s="1"/>
      <c r="B787" s="4" t="s">
        <v>1513</v>
      </c>
      <c r="D787" s="9"/>
      <c r="E787" s="17" t="s">
        <v>14</v>
      </c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4" t="s">
        <v>1514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"/>
    </row>
    <row r="789">
      <c r="A789" s="1"/>
      <c r="B789" s="4" t="s">
        <v>1517</v>
      </c>
      <c r="D789" s="9"/>
      <c r="E789" s="17" t="s">
        <v>14</v>
      </c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4" t="s">
        <v>1518</v>
      </c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"/>
    </row>
    <row r="791">
      <c r="A791" s="1"/>
      <c r="B791" s="4" t="s">
        <v>1519</v>
      </c>
      <c r="D791" s="9"/>
      <c r="E791" s="17" t="s">
        <v>14</v>
      </c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4" t="s">
        <v>1521</v>
      </c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"/>
    </row>
    <row r="793">
      <c r="A793" s="1"/>
      <c r="B793" s="4" t="s">
        <v>1522</v>
      </c>
      <c r="D793" s="9"/>
      <c r="E793" s="17" t="s">
        <v>14</v>
      </c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4" t="s">
        <v>1523</v>
      </c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"/>
    </row>
    <row r="795">
      <c r="A795" s="1"/>
      <c r="B795" s="4" t="s">
        <v>1525</v>
      </c>
      <c r="D795" s="9"/>
      <c r="E795" s="17" t="s">
        <v>14</v>
      </c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4" t="s">
        <v>1527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"/>
    </row>
    <row r="797">
      <c r="A797" s="1"/>
      <c r="B797" s="4" t="s">
        <v>1529</v>
      </c>
      <c r="D797" s="9"/>
      <c r="E797" s="17" t="s">
        <v>14</v>
      </c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4" t="s">
        <v>1530</v>
      </c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"/>
    </row>
    <row r="799">
      <c r="A799" s="1"/>
      <c r="B799" s="4" t="s">
        <v>1531</v>
      </c>
      <c r="D799" s="9"/>
      <c r="E799" s="17" t="s">
        <v>14</v>
      </c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4" t="s">
        <v>1532</v>
      </c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"/>
    </row>
    <row r="801">
      <c r="A801" s="1"/>
      <c r="B801" s="4" t="s">
        <v>1533</v>
      </c>
      <c r="D801" s="9"/>
      <c r="E801" s="17" t="s">
        <v>14</v>
      </c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4" t="s">
        <v>1535</v>
      </c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"/>
    </row>
    <row r="803">
      <c r="A803" s="1"/>
      <c r="B803" s="4" t="s">
        <v>1537</v>
      </c>
      <c r="D803" s="9"/>
      <c r="E803" s="17" t="s">
        <v>14</v>
      </c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4" t="s">
        <v>1538</v>
      </c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"/>
    </row>
    <row r="805">
      <c r="A805" s="1"/>
      <c r="B805" s="4" t="s">
        <v>1539</v>
      </c>
      <c r="D805" s="9"/>
      <c r="E805" s="17" t="s">
        <v>14</v>
      </c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4" t="s">
        <v>1540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"/>
    </row>
    <row r="807">
      <c r="A807" s="1"/>
      <c r="B807" s="4" t="s">
        <v>1541</v>
      </c>
      <c r="D807" s="9"/>
      <c r="E807" s="17" t="s">
        <v>14</v>
      </c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4" t="s">
        <v>1542</v>
      </c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"/>
    </row>
    <row r="809">
      <c r="A809" s="1"/>
      <c r="B809" s="4" t="s">
        <v>1545</v>
      </c>
      <c r="D809" s="9"/>
      <c r="E809" s="17" t="s">
        <v>14</v>
      </c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4" t="s">
        <v>1547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"/>
    </row>
    <row r="811">
      <c r="A811" s="1"/>
      <c r="B811" s="4" t="s">
        <v>1549</v>
      </c>
      <c r="D811" s="9"/>
      <c r="E811" s="17" t="s">
        <v>14</v>
      </c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4" t="s">
        <v>1550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"/>
    </row>
    <row r="813">
      <c r="A813" s="1"/>
      <c r="B813" s="4" t="s">
        <v>1551</v>
      </c>
      <c r="D813" s="9"/>
      <c r="E813" s="17" t="s">
        <v>14</v>
      </c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4" t="s">
        <v>1552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"/>
    </row>
    <row r="815">
      <c r="A815" s="1"/>
      <c r="B815" s="4" t="s">
        <v>1553</v>
      </c>
      <c r="D815" s="9"/>
      <c r="E815" s="17" t="s">
        <v>14</v>
      </c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4" t="s">
        <v>1554</v>
      </c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"/>
    </row>
    <row r="817">
      <c r="A817" s="1"/>
      <c r="B817" s="4" t="s">
        <v>1555</v>
      </c>
      <c r="D817" s="9"/>
      <c r="E817" s="17" t="s">
        <v>14</v>
      </c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4" t="s">
        <v>1556</v>
      </c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"/>
    </row>
    <row r="819">
      <c r="A819" s="1"/>
      <c r="B819" s="4" t="s">
        <v>1557</v>
      </c>
      <c r="D819" s="9"/>
      <c r="E819" s="17" t="s">
        <v>14</v>
      </c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4" t="s">
        <v>1559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"/>
    </row>
    <row r="821">
      <c r="A821" s="1"/>
      <c r="B821" s="4" t="s">
        <v>1561</v>
      </c>
      <c r="D821" s="9"/>
      <c r="E821" s="17" t="s">
        <v>14</v>
      </c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4" t="s">
        <v>1562</v>
      </c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"/>
    </row>
    <row r="823">
      <c r="A823" s="1"/>
      <c r="B823" s="4" t="s">
        <v>1563</v>
      </c>
      <c r="D823" s="9"/>
      <c r="E823" s="17" t="s">
        <v>14</v>
      </c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4" t="s">
        <v>1565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"/>
    </row>
    <row r="825">
      <c r="A825" s="1"/>
      <c r="B825" s="4" t="s">
        <v>1567</v>
      </c>
      <c r="D825" s="9"/>
      <c r="E825" s="17" t="s">
        <v>14</v>
      </c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4" t="s">
        <v>1568</v>
      </c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"/>
    </row>
    <row r="827">
      <c r="A827" s="1"/>
      <c r="B827" s="4" t="s">
        <v>1570</v>
      </c>
      <c r="D827" s="9"/>
      <c r="E827" s="17" t="s">
        <v>14</v>
      </c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4" t="s">
        <v>1571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"/>
    </row>
    <row r="829">
      <c r="A829" s="1"/>
      <c r="B829" s="4" t="s">
        <v>1573</v>
      </c>
      <c r="D829" s="9"/>
      <c r="E829" s="17" t="s">
        <v>14</v>
      </c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4" t="s">
        <v>1574</v>
      </c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"/>
    </row>
    <row r="831">
      <c r="A831" s="1"/>
      <c r="B831" s="4" t="s">
        <v>1575</v>
      </c>
      <c r="D831" s="9"/>
      <c r="E831" s="17" t="s">
        <v>14</v>
      </c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4" t="s">
        <v>1577</v>
      </c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"/>
    </row>
    <row r="833">
      <c r="A833" s="1"/>
      <c r="B833" s="4" t="s">
        <v>1579</v>
      </c>
      <c r="D833" s="9"/>
      <c r="E833" s="17" t="s">
        <v>14</v>
      </c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4" t="s">
        <v>1580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"/>
    </row>
    <row r="835">
      <c r="A835" s="1"/>
      <c r="B835" s="4" t="s">
        <v>1582</v>
      </c>
      <c r="D835" s="9"/>
      <c r="E835" s="17" t="s">
        <v>14</v>
      </c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4" t="s">
        <v>1583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"/>
    </row>
    <row r="837">
      <c r="A837" s="1"/>
      <c r="B837" s="4" t="s">
        <v>1584</v>
      </c>
      <c r="D837" s="9"/>
      <c r="E837" s="17" t="s">
        <v>14</v>
      </c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4" t="s">
        <v>1586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"/>
    </row>
    <row r="839">
      <c r="A839" s="1"/>
      <c r="B839" s="4" t="s">
        <v>1587</v>
      </c>
      <c r="D839" s="9"/>
      <c r="E839" s="17" t="s">
        <v>14</v>
      </c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4" t="s">
        <v>1588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"/>
    </row>
    <row r="841">
      <c r="A841" s="1"/>
      <c r="B841" s="4" t="s">
        <v>1589</v>
      </c>
      <c r="D841" s="9"/>
      <c r="E841" s="17" t="s">
        <v>14</v>
      </c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4" t="s">
        <v>1591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"/>
    </row>
    <row r="843">
      <c r="A843" s="1"/>
      <c r="B843" s="4" t="s">
        <v>1593</v>
      </c>
      <c r="D843" s="9"/>
      <c r="E843" s="17" t="s">
        <v>14</v>
      </c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4" t="s">
        <v>1595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"/>
    </row>
    <row r="845">
      <c r="A845" s="1"/>
      <c r="B845" s="4" t="s">
        <v>1596</v>
      </c>
      <c r="D845" s="9"/>
      <c r="E845" s="17" t="s">
        <v>14</v>
      </c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4" t="s">
        <v>1598</v>
      </c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"/>
    </row>
    <row r="847">
      <c r="A847" s="1"/>
      <c r="B847" s="4" t="s">
        <v>1599</v>
      </c>
      <c r="D847" s="9"/>
      <c r="E847" s="17" t="s">
        <v>14</v>
      </c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4" t="s">
        <v>1600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"/>
    </row>
    <row r="849">
      <c r="A849" s="1"/>
      <c r="B849" s="4" t="s">
        <v>1601</v>
      </c>
      <c r="D849" s="9"/>
      <c r="E849" s="17" t="s">
        <v>14</v>
      </c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4" t="s">
        <v>1603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"/>
    </row>
    <row r="851">
      <c r="A851" s="1"/>
      <c r="B851" s="4" t="s">
        <v>1605</v>
      </c>
      <c r="D851" s="9"/>
      <c r="E851" s="17" t="s">
        <v>14</v>
      </c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4" t="s">
        <v>1606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"/>
    </row>
    <row r="853">
      <c r="A853" s="1"/>
      <c r="B853" s="4" t="s">
        <v>1607</v>
      </c>
      <c r="D853" s="9"/>
      <c r="E853" s="17" t="s">
        <v>14</v>
      </c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4" t="s">
        <v>1608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"/>
    </row>
    <row r="855">
      <c r="A855" s="1"/>
      <c r="B855" s="4" t="s">
        <v>1609</v>
      </c>
      <c r="D855" s="9"/>
      <c r="E855" s="17" t="s">
        <v>14</v>
      </c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4" t="s">
        <v>1611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"/>
    </row>
    <row r="857">
      <c r="A857" s="1"/>
      <c r="B857" s="4" t="s">
        <v>1613</v>
      </c>
      <c r="D857" s="9"/>
      <c r="E857" s="17" t="s">
        <v>14</v>
      </c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4" t="s">
        <v>1615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"/>
    </row>
    <row r="859">
      <c r="A859" s="1"/>
      <c r="B859" s="4" t="s">
        <v>1616</v>
      </c>
      <c r="D859" s="9"/>
      <c r="E859" s="17" t="s">
        <v>14</v>
      </c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4" t="s">
        <v>1618</v>
      </c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"/>
    </row>
    <row r="861">
      <c r="A861" s="1"/>
      <c r="B861" s="4" t="s">
        <v>1619</v>
      </c>
      <c r="D861" s="9"/>
      <c r="E861" s="17" t="s">
        <v>14</v>
      </c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4" t="s">
        <v>1620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"/>
    </row>
    <row r="863">
      <c r="A863" s="1"/>
      <c r="B863" s="4" t="s">
        <v>1621</v>
      </c>
      <c r="D863" s="9"/>
      <c r="E863" s="17" t="s">
        <v>14</v>
      </c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4" t="s">
        <v>1622</v>
      </c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"/>
    </row>
    <row r="865">
      <c r="A865" s="1"/>
      <c r="B865" s="4" t="s">
        <v>1624</v>
      </c>
      <c r="D865" s="9"/>
      <c r="E865" s="17" t="s">
        <v>14</v>
      </c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4" t="s">
        <v>1626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"/>
    </row>
    <row r="867">
      <c r="A867" s="1"/>
      <c r="B867" s="4" t="s">
        <v>1627</v>
      </c>
      <c r="D867" s="9"/>
      <c r="E867" s="17" t="s">
        <v>14</v>
      </c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4" t="s">
        <v>1628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"/>
    </row>
    <row r="869">
      <c r="A869" s="1"/>
      <c r="B869" s="4" t="s">
        <v>1629</v>
      </c>
      <c r="D869" s="9"/>
      <c r="E869" s="17" t="s">
        <v>14</v>
      </c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4" t="s">
        <v>1631</v>
      </c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"/>
    </row>
    <row r="871">
      <c r="A871" s="1"/>
      <c r="B871" s="4" t="s">
        <v>1633</v>
      </c>
      <c r="D871" s="9"/>
      <c r="E871" s="17" t="s">
        <v>14</v>
      </c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4" t="s">
        <v>1634</v>
      </c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"/>
    </row>
    <row r="873">
      <c r="A873" s="1"/>
      <c r="B873" s="4" t="s">
        <v>1635</v>
      </c>
      <c r="D873" s="9"/>
      <c r="E873" s="17" t="s">
        <v>14</v>
      </c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4" t="s">
        <v>1637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"/>
    </row>
    <row r="875">
      <c r="A875" s="1"/>
      <c r="B875" s="4" t="s">
        <v>1638</v>
      </c>
      <c r="D875" s="9"/>
      <c r="E875" s="17" t="s">
        <v>14</v>
      </c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4" t="s">
        <v>1640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"/>
    </row>
    <row r="877">
      <c r="A877" s="1"/>
      <c r="B877" s="4" t="s">
        <v>1641</v>
      </c>
      <c r="D877" s="9"/>
      <c r="E877" s="17" t="s">
        <v>14</v>
      </c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4" t="s">
        <v>1642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"/>
    </row>
    <row r="879">
      <c r="A879" s="1"/>
      <c r="B879" s="4" t="s">
        <v>1643</v>
      </c>
      <c r="D879" s="9"/>
      <c r="E879" s="17" t="s">
        <v>14</v>
      </c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4" t="s">
        <v>1644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"/>
    </row>
    <row r="881">
      <c r="A881" s="1"/>
      <c r="B881" s="4" t="s">
        <v>1645</v>
      </c>
      <c r="D881" s="9"/>
      <c r="E881" s="17" t="s">
        <v>14</v>
      </c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4" t="s">
        <v>1646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"/>
    </row>
    <row r="883">
      <c r="A883" s="1"/>
      <c r="B883" s="4" t="s">
        <v>1647</v>
      </c>
      <c r="D883" s="9"/>
      <c r="E883" s="17" t="s">
        <v>14</v>
      </c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4" t="s">
        <v>1648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"/>
    </row>
    <row r="885">
      <c r="A885" s="1"/>
      <c r="B885" s="4" t="s">
        <v>1650</v>
      </c>
      <c r="D885" s="9"/>
      <c r="E885" s="17" t="s">
        <v>14</v>
      </c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4" t="s">
        <v>1651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"/>
    </row>
    <row r="887">
      <c r="A887" s="1"/>
      <c r="B887" s="4" t="s">
        <v>1653</v>
      </c>
      <c r="D887" s="9"/>
      <c r="E887" s="17" t="s">
        <v>14</v>
      </c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4" t="s">
        <v>1654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"/>
    </row>
    <row r="889">
      <c r="A889" s="1"/>
      <c r="B889" s="4" t="s">
        <v>1655</v>
      </c>
      <c r="D889" s="9"/>
      <c r="E889" s="17" t="s">
        <v>14</v>
      </c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4" t="s">
        <v>1656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"/>
    </row>
    <row r="891">
      <c r="A891" s="1"/>
      <c r="B891" s="4" t="s">
        <v>1657</v>
      </c>
      <c r="D891" s="9"/>
      <c r="E891" s="17" t="s">
        <v>14</v>
      </c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4" t="s">
        <v>1659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"/>
    </row>
    <row r="893">
      <c r="A893" s="1"/>
      <c r="B893" s="4" t="s">
        <v>1662</v>
      </c>
      <c r="D893" s="9"/>
      <c r="E893" s="17" t="s">
        <v>14</v>
      </c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4" t="s">
        <v>1663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"/>
    </row>
    <row r="895">
      <c r="A895" s="1"/>
      <c r="B895" s="4" t="s">
        <v>1665</v>
      </c>
      <c r="D895" s="9"/>
      <c r="E895" s="17" t="s">
        <v>14</v>
      </c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4" t="s">
        <v>1666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"/>
    </row>
    <row r="897">
      <c r="A897" s="1"/>
      <c r="B897" s="4" t="s">
        <v>1667</v>
      </c>
      <c r="D897" s="9"/>
      <c r="E897" s="17" t="s">
        <v>14</v>
      </c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4" t="s">
        <v>1668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"/>
    </row>
    <row r="899">
      <c r="A899" s="1"/>
      <c r="B899" s="4" t="s">
        <v>1669</v>
      </c>
      <c r="D899" s="9"/>
      <c r="E899" s="17" t="s">
        <v>14</v>
      </c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4" t="s">
        <v>1670</v>
      </c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"/>
    </row>
    <row r="901">
      <c r="A901" s="1"/>
      <c r="B901" s="4" t="s">
        <v>1671</v>
      </c>
      <c r="D901" s="9"/>
      <c r="E901" s="17" t="s">
        <v>14</v>
      </c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4" t="s">
        <v>1673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"/>
    </row>
    <row r="903">
      <c r="A903" s="1"/>
      <c r="B903" s="4" t="s">
        <v>1676</v>
      </c>
      <c r="D903" s="9"/>
      <c r="E903" s="17" t="s">
        <v>14</v>
      </c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4" t="s">
        <v>1677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"/>
    </row>
    <row r="905">
      <c r="A905" s="1"/>
      <c r="B905" s="4" t="s">
        <v>1679</v>
      </c>
      <c r="D905" s="9"/>
      <c r="E905" s="17" t="s">
        <v>14</v>
      </c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4" t="s">
        <v>1680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"/>
    </row>
    <row r="907">
      <c r="A907" s="1"/>
      <c r="B907" s="4" t="s">
        <v>1681</v>
      </c>
      <c r="D907" s="9"/>
      <c r="E907" s="17" t="s">
        <v>14</v>
      </c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4" t="s">
        <v>1682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"/>
    </row>
    <row r="909">
      <c r="A909" s="1"/>
      <c r="B909" s="4" t="s">
        <v>1683</v>
      </c>
      <c r="D909" s="9"/>
      <c r="E909" s="17" t="s">
        <v>14</v>
      </c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4" t="s">
        <v>1684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"/>
    </row>
    <row r="911">
      <c r="A911" s="1"/>
      <c r="B911" s="4" t="s">
        <v>1686</v>
      </c>
      <c r="D911" s="9"/>
      <c r="E911" s="17" t="s">
        <v>14</v>
      </c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4" t="s">
        <v>1688</v>
      </c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"/>
    </row>
    <row r="913">
      <c r="A913" s="1"/>
      <c r="B913" s="4" t="s">
        <v>1689</v>
      </c>
      <c r="D913" s="9"/>
      <c r="E913" s="17" t="s">
        <v>14</v>
      </c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4" t="s">
        <v>1691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"/>
    </row>
    <row r="915">
      <c r="A915" s="1"/>
      <c r="B915" s="4" t="s">
        <v>1693</v>
      </c>
      <c r="D915" s="9"/>
      <c r="E915" s="17" t="s">
        <v>14</v>
      </c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4" t="s">
        <v>1694</v>
      </c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"/>
    </row>
    <row r="917">
      <c r="A917" s="1"/>
      <c r="B917" s="4" t="s">
        <v>1695</v>
      </c>
      <c r="D917" s="9"/>
      <c r="E917" s="17" t="s">
        <v>14</v>
      </c>
      <c r="F917" s="18" t="str">
        <f>HYPERLINK("https://www.youtube.com/watch?v=8uO5m4tdFCE",'Players&gt;List'!$B18)</f>
        <v>[HGB]</v>
      </c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4" t="s">
        <v>1696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"/>
    </row>
    <row r="919">
      <c r="A919" s="1"/>
      <c r="B919" s="4" t="s">
        <v>1698</v>
      </c>
      <c r="D919" s="9"/>
      <c r="E919" s="17" t="s">
        <v>14</v>
      </c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4" t="s">
        <v>1700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"/>
    </row>
    <row r="921">
      <c r="A921" s="1"/>
      <c r="B921" s="4" t="s">
        <v>1702</v>
      </c>
      <c r="D921" s="9"/>
      <c r="E921" s="17" t="s">
        <v>14</v>
      </c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4" t="s">
        <v>1704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"/>
    </row>
    <row r="923">
      <c r="A923" s="1"/>
      <c r="B923" s="4" t="s">
        <v>1705</v>
      </c>
      <c r="D923" s="9"/>
      <c r="E923" s="17" t="s">
        <v>14</v>
      </c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4" t="s">
        <v>1707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"/>
    </row>
    <row r="925">
      <c r="A925" s="1"/>
      <c r="B925" s="4" t="s">
        <v>1708</v>
      </c>
      <c r="D925" s="9"/>
      <c r="E925" s="17" t="s">
        <v>14</v>
      </c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4" t="s">
        <v>1709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"/>
    </row>
    <row r="927">
      <c r="A927" s="1"/>
      <c r="B927" s="4" t="s">
        <v>1710</v>
      </c>
      <c r="D927" s="9"/>
      <c r="E927" s="17" t="s">
        <v>14</v>
      </c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4" t="s">
        <v>1712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"/>
    </row>
    <row r="929">
      <c r="A929" s="1"/>
      <c r="B929" s="4" t="s">
        <v>1714</v>
      </c>
      <c r="D929" s="9"/>
      <c r="E929" s="17" t="s">
        <v>14</v>
      </c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4" t="s">
        <v>1716</v>
      </c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"/>
    </row>
    <row r="931">
      <c r="A931" s="1"/>
      <c r="B931" s="4" t="s">
        <v>1717</v>
      </c>
      <c r="D931" s="9"/>
      <c r="E931" s="17" t="s">
        <v>14</v>
      </c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4" t="s">
        <v>1718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"/>
    </row>
    <row r="933">
      <c r="A933" s="1"/>
      <c r="B933" s="4" t="s">
        <v>1721</v>
      </c>
      <c r="D933" s="9"/>
      <c r="E933" s="17" t="s">
        <v>14</v>
      </c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4" t="s">
        <v>1722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"/>
    </row>
    <row r="935">
      <c r="A935" s="1"/>
      <c r="B935" s="4" t="s">
        <v>1723</v>
      </c>
      <c r="D935" s="9"/>
      <c r="E935" s="17" t="s">
        <v>14</v>
      </c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4" t="s">
        <v>1724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"/>
    </row>
    <row r="937">
      <c r="A937" s="1"/>
      <c r="B937" s="4" t="s">
        <v>1726</v>
      </c>
      <c r="D937" s="9"/>
      <c r="E937" s="17" t="s">
        <v>14</v>
      </c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4" t="s">
        <v>1727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"/>
    </row>
    <row r="939">
      <c r="A939" s="1"/>
      <c r="B939" s="4" t="s">
        <v>1729</v>
      </c>
      <c r="D939" s="9"/>
      <c r="E939" s="17" t="s">
        <v>14</v>
      </c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4" t="s">
        <v>1730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"/>
    </row>
    <row r="941">
      <c r="A941" s="1"/>
      <c r="B941" s="4" t="s">
        <v>1731</v>
      </c>
      <c r="D941" s="9"/>
      <c r="E941" s="17" t="s">
        <v>14</v>
      </c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4" t="s">
        <v>1732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"/>
    </row>
    <row r="943">
      <c r="A943" s="1"/>
      <c r="B943" s="4" t="s">
        <v>1734</v>
      </c>
      <c r="D943" s="9"/>
      <c r="E943" s="17" t="s">
        <v>14</v>
      </c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4" t="s">
        <v>1735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"/>
    </row>
    <row r="945">
      <c r="A945" s="1"/>
      <c r="B945" s="4" t="s">
        <v>1737</v>
      </c>
      <c r="D945" s="9"/>
      <c r="E945" s="17" t="s">
        <v>14</v>
      </c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4" t="s">
        <v>1738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"/>
    </row>
    <row r="947">
      <c r="A947" s="1"/>
      <c r="B947" s="4" t="s">
        <v>1739</v>
      </c>
      <c r="D947" s="9"/>
      <c r="E947" s="17" t="s">
        <v>14</v>
      </c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4" t="s">
        <v>1741</v>
      </c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"/>
    </row>
    <row r="949">
      <c r="A949" s="1"/>
      <c r="B949" s="4" t="s">
        <v>1743</v>
      </c>
      <c r="D949" s="9"/>
      <c r="E949" s="17" t="s">
        <v>14</v>
      </c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4" t="s">
        <v>1745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"/>
    </row>
    <row r="951">
      <c r="A951" s="1"/>
      <c r="B951" s="4" t="s">
        <v>1747</v>
      </c>
      <c r="D951" s="9"/>
      <c r="E951" s="17" t="s">
        <v>14</v>
      </c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4" t="s">
        <v>1748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"/>
    </row>
    <row r="953">
      <c r="A953" s="1"/>
      <c r="B953" s="4" t="s">
        <v>1749</v>
      </c>
      <c r="D953" s="9"/>
      <c r="E953" s="17" t="s">
        <v>14</v>
      </c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4" t="s">
        <v>1750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"/>
    </row>
    <row r="955">
      <c r="A955" s="1"/>
      <c r="B955" s="4" t="s">
        <v>1752</v>
      </c>
      <c r="D955" s="9"/>
      <c r="E955" s="17" t="s">
        <v>14</v>
      </c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4" t="s">
        <v>1753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"/>
    </row>
    <row r="957">
      <c r="A957" s="1"/>
      <c r="B957" s="4" t="s">
        <v>1755</v>
      </c>
      <c r="D957" s="9"/>
      <c r="E957" s="17" t="s">
        <v>14</v>
      </c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4" t="s">
        <v>1756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"/>
    </row>
    <row r="959">
      <c r="A959" s="1"/>
      <c r="B959" s="4" t="s">
        <v>1758</v>
      </c>
      <c r="D959" s="9"/>
      <c r="E959" s="17" t="s">
        <v>14</v>
      </c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4" t="s">
        <v>1759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"/>
    </row>
    <row r="961">
      <c r="A961" s="1"/>
      <c r="B961" s="4" t="s">
        <v>1761</v>
      </c>
      <c r="D961" s="9"/>
      <c r="E961" s="17" t="s">
        <v>14</v>
      </c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4" t="s">
        <v>1762</v>
      </c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"/>
    </row>
    <row r="963">
      <c r="A963" s="1"/>
      <c r="B963" s="4" t="s">
        <v>1765</v>
      </c>
      <c r="D963" s="9"/>
      <c r="E963" s="17" t="s">
        <v>14</v>
      </c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4" t="s">
        <v>1766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"/>
    </row>
    <row r="965">
      <c r="A965" s="1"/>
      <c r="B965" s="4" t="s">
        <v>1767</v>
      </c>
      <c r="D965" s="9"/>
      <c r="E965" s="17" t="s">
        <v>14</v>
      </c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4" t="s">
        <v>1768</v>
      </c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"/>
    </row>
    <row r="967">
      <c r="A967" s="1"/>
      <c r="B967" s="4" t="s">
        <v>1769</v>
      </c>
      <c r="D967" s="9"/>
      <c r="E967" s="17" t="s">
        <v>14</v>
      </c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4" t="s">
        <v>1770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"/>
    </row>
    <row r="969">
      <c r="A969" s="1"/>
      <c r="B969" s="4" t="s">
        <v>1771</v>
      </c>
      <c r="D969" s="9"/>
      <c r="E969" s="17" t="s">
        <v>14</v>
      </c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4" t="s">
        <v>1772</v>
      </c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"/>
    </row>
    <row r="971">
      <c r="A971" s="1"/>
      <c r="B971" s="4" t="s">
        <v>1775</v>
      </c>
      <c r="D971" s="9"/>
      <c r="E971" s="17" t="s">
        <v>14</v>
      </c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4" t="s">
        <v>1778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"/>
    </row>
    <row r="973">
      <c r="A973" s="1"/>
      <c r="B973" s="4" t="s">
        <v>1779</v>
      </c>
      <c r="D973" s="9"/>
      <c r="E973" s="17" t="s">
        <v>14</v>
      </c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4" t="s">
        <v>1780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"/>
    </row>
    <row r="975">
      <c r="A975" s="1"/>
      <c r="B975" s="4" t="s">
        <v>1781</v>
      </c>
      <c r="D975" s="9"/>
      <c r="E975" s="17" t="s">
        <v>14</v>
      </c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4" t="s">
        <v>1782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"/>
    </row>
    <row r="977">
      <c r="A977" s="1"/>
      <c r="B977" s="4" t="s">
        <v>1785</v>
      </c>
      <c r="D977" s="9"/>
      <c r="E977" s="17" t="s">
        <v>14</v>
      </c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4" t="s">
        <v>1786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"/>
    </row>
    <row r="979">
      <c r="A979" s="1"/>
      <c r="B979" s="4" t="s">
        <v>1788</v>
      </c>
      <c r="D979" s="9"/>
      <c r="E979" s="17" t="s">
        <v>14</v>
      </c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4" t="s">
        <v>1789</v>
      </c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"/>
    </row>
    <row r="981">
      <c r="A981" s="1"/>
      <c r="B981" s="4" t="s">
        <v>1791</v>
      </c>
      <c r="D981" s="9"/>
      <c r="E981" s="17" t="s">
        <v>14</v>
      </c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4" t="s">
        <v>1793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"/>
    </row>
    <row r="983">
      <c r="A983" s="1"/>
      <c r="B983" s="4" t="s">
        <v>1795</v>
      </c>
      <c r="D983" s="9"/>
      <c r="E983" s="17" t="s">
        <v>14</v>
      </c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4" t="s">
        <v>1796</v>
      </c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"/>
    </row>
    <row r="985">
      <c r="A985" s="1"/>
      <c r="B985" s="4" t="s">
        <v>1798</v>
      </c>
      <c r="D985" s="9"/>
      <c r="E985" s="17" t="s">
        <v>14</v>
      </c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4" t="s">
        <v>1799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"/>
    </row>
    <row r="987">
      <c r="A987" s="1"/>
      <c r="B987" s="4" t="s">
        <v>1801</v>
      </c>
      <c r="D987" s="9"/>
      <c r="E987" s="17" t="s">
        <v>14</v>
      </c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4" t="s">
        <v>1802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"/>
    </row>
    <row r="989">
      <c r="A989" s="1"/>
      <c r="B989" s="4" t="s">
        <v>1805</v>
      </c>
      <c r="D989" s="9"/>
      <c r="E989" s="17" t="s">
        <v>14</v>
      </c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4" t="s">
        <v>1807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"/>
    </row>
    <row r="991">
      <c r="A991" s="1"/>
      <c r="B991" s="4" t="s">
        <v>1808</v>
      </c>
      <c r="D991" s="9"/>
      <c r="E991" s="17" t="s">
        <v>14</v>
      </c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4" t="s">
        <v>1809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"/>
    </row>
    <row r="993">
      <c r="A993" s="1"/>
      <c r="B993" s="4" t="s">
        <v>1810</v>
      </c>
      <c r="D993" s="9"/>
      <c r="E993" s="17" t="s">
        <v>14</v>
      </c>
      <c r="F993" s="18" t="str">
        <f>HYPERLINK("https://www.youtube.com/watch?v=Wa0qA-adhpM",'Players&gt;List'!$B18)</f>
        <v>[HGB]</v>
      </c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4" t="s">
        <v>1812</v>
      </c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"/>
    </row>
    <row r="995">
      <c r="A995" s="1"/>
      <c r="B995" s="4" t="s">
        <v>1814</v>
      </c>
      <c r="D995" s="9"/>
      <c r="E995" s="17" t="s">
        <v>14</v>
      </c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4" t="s">
        <v>1816</v>
      </c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"/>
    </row>
    <row r="997">
      <c r="A997" s="1"/>
      <c r="B997" s="4" t="s">
        <v>1817</v>
      </c>
      <c r="D997" s="9"/>
      <c r="E997" s="17" t="s">
        <v>14</v>
      </c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4" t="s">
        <v>1819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"/>
    </row>
    <row r="999">
      <c r="A999" s="1"/>
      <c r="B999" s="4" t="s">
        <v>1820</v>
      </c>
      <c r="D999" s="9"/>
      <c r="E999" s="17" t="s">
        <v>14</v>
      </c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4" t="s">
        <v>1821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"/>
    </row>
    <row r="1001">
      <c r="A1001" s="1"/>
      <c r="B1001" s="4" t="s">
        <v>1822</v>
      </c>
      <c r="D1001" s="9"/>
      <c r="E1001" s="17" t="s">
        <v>14</v>
      </c>
      <c r="F1001" s="1"/>
      <c r="G1001" s="1"/>
      <c r="H1001" s="1"/>
      <c r="I1001" s="1"/>
      <c r="J1001" s="1"/>
      <c r="K1001" s="1"/>
      <c r="L1001" s="1"/>
      <c r="M1001" s="1"/>
      <c r="N1001" s="1"/>
    </row>
    <row r="1002">
      <c r="A1002" s="1"/>
      <c r="B1002" s="14" t="s">
        <v>1824</v>
      </c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"/>
    </row>
    <row r="1003">
      <c r="A1003" s="1"/>
      <c r="B1003" s="4" t="s">
        <v>1826</v>
      </c>
      <c r="D1003" s="9"/>
      <c r="E1003" s="17" t="s">
        <v>14</v>
      </c>
      <c r="F1003" s="1"/>
      <c r="G1003" s="1"/>
      <c r="H1003" s="1"/>
      <c r="I1003" s="1"/>
      <c r="J1003" s="1"/>
      <c r="K1003" s="1"/>
      <c r="L1003" s="1"/>
      <c r="M1003" s="1"/>
      <c r="N1003" s="1"/>
    </row>
    <row r="1004">
      <c r="A1004" s="1"/>
      <c r="B1004" s="14" t="s">
        <v>1828</v>
      </c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"/>
    </row>
    <row r="1005">
      <c r="A1005" s="1"/>
      <c r="B1005" s="4" t="s">
        <v>1830</v>
      </c>
      <c r="D1005" s="9"/>
      <c r="E1005" s="17" t="s">
        <v>14</v>
      </c>
      <c r="F1005" s="1"/>
      <c r="G1005" s="1"/>
      <c r="H1005" s="1"/>
      <c r="I1005" s="1"/>
      <c r="J1005" s="1"/>
      <c r="K1005" s="1"/>
      <c r="L1005" s="1"/>
      <c r="M1005" s="1"/>
      <c r="N1005" s="1"/>
    </row>
    <row r="1006">
      <c r="A1006" s="1"/>
      <c r="B1006" s="14" t="s">
        <v>1831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"/>
    </row>
    <row r="1007">
      <c r="A1007" s="1"/>
      <c r="B1007" s="4" t="s">
        <v>1832</v>
      </c>
      <c r="D1007" s="9"/>
      <c r="E1007" s="17" t="s">
        <v>14</v>
      </c>
      <c r="F1007" s="1"/>
      <c r="G1007" s="1"/>
      <c r="H1007" s="1"/>
      <c r="I1007" s="1"/>
      <c r="J1007" s="1"/>
      <c r="K1007" s="1"/>
      <c r="L1007" s="1"/>
      <c r="M1007" s="1"/>
      <c r="N1007" s="1"/>
    </row>
    <row r="1008">
      <c r="A1008" s="1"/>
      <c r="B1008" s="14" t="s">
        <v>1833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"/>
    </row>
    <row r="1009">
      <c r="A1009" s="1"/>
      <c r="B1009" s="4" t="s">
        <v>1835</v>
      </c>
      <c r="D1009" s="9"/>
      <c r="E1009" s="17" t="s">
        <v>14</v>
      </c>
      <c r="F1009" s="1"/>
      <c r="G1009" s="1"/>
      <c r="H1009" s="1"/>
      <c r="I1009" s="1"/>
      <c r="J1009" s="1"/>
      <c r="K1009" s="1"/>
      <c r="L1009" s="1"/>
      <c r="M1009" s="1"/>
      <c r="N1009" s="1"/>
    </row>
    <row r="1010">
      <c r="A1010" s="1"/>
      <c r="B1010" s="14" t="s">
        <v>1837</v>
      </c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"/>
    </row>
    <row r="1011">
      <c r="A1011" s="1"/>
      <c r="B1011" s="4" t="s">
        <v>1840</v>
      </c>
      <c r="D1011" s="9"/>
      <c r="E1011" s="17" t="s">
        <v>14</v>
      </c>
      <c r="F1011" s="1"/>
      <c r="G1011" s="1"/>
      <c r="H1011" s="1"/>
      <c r="I1011" s="1"/>
      <c r="J1011" s="1"/>
      <c r="K1011" s="1"/>
      <c r="L1011" s="1"/>
      <c r="M1011" s="1"/>
      <c r="N1011" s="1"/>
    </row>
    <row r="1012">
      <c r="A1012" s="1"/>
      <c r="B1012" s="14" t="s">
        <v>1841</v>
      </c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"/>
    </row>
    <row r="1013">
      <c r="A1013" s="1"/>
      <c r="B1013" s="4" t="s">
        <v>1842</v>
      </c>
      <c r="D1013" s="9"/>
      <c r="E1013" s="17" t="s">
        <v>14</v>
      </c>
      <c r="F1013" s="1"/>
      <c r="G1013" s="1"/>
      <c r="H1013" s="1"/>
      <c r="I1013" s="1"/>
      <c r="J1013" s="1"/>
      <c r="K1013" s="1"/>
      <c r="L1013" s="1"/>
      <c r="M1013" s="1"/>
      <c r="N1013" s="1"/>
    </row>
    <row r="1014">
      <c r="A1014" s="1"/>
      <c r="B1014" s="14" t="s">
        <v>1843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"/>
    </row>
    <row r="1015">
      <c r="A1015" s="1"/>
      <c r="B1015" s="4" t="s">
        <v>1844</v>
      </c>
      <c r="D1015" s="9"/>
      <c r="E1015" s="17" t="s">
        <v>14</v>
      </c>
      <c r="F1015" s="18" t="str">
        <f>HYPERLINK("https://www.youtube.com/watch?v=TvSWuJ_VuT4",'Players&gt;List'!$B18)</f>
        <v>[HGB]</v>
      </c>
      <c r="G1015" s="1"/>
      <c r="H1015" s="1"/>
      <c r="I1015" s="1"/>
      <c r="J1015" s="1"/>
      <c r="K1015" s="1"/>
      <c r="L1015" s="1"/>
      <c r="M1015" s="1"/>
      <c r="N1015" s="1"/>
    </row>
    <row r="1016">
      <c r="A1016" s="1"/>
      <c r="B1016" s="14" t="s">
        <v>1847</v>
      </c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"/>
    </row>
    <row r="1017">
      <c r="A1017" s="1"/>
      <c r="B1017" s="4" t="s">
        <v>1849</v>
      </c>
      <c r="D1017" s="9"/>
      <c r="E1017" s="17" t="s">
        <v>14</v>
      </c>
      <c r="F1017" s="1"/>
      <c r="G1017" s="1"/>
      <c r="H1017" s="1"/>
      <c r="I1017" s="1"/>
      <c r="J1017" s="1"/>
      <c r="K1017" s="1"/>
      <c r="L1017" s="1"/>
      <c r="M1017" s="1"/>
      <c r="N1017" s="1"/>
    </row>
    <row r="1018">
      <c r="A1018" s="1"/>
      <c r="B1018" s="14" t="s">
        <v>1850</v>
      </c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"/>
    </row>
    <row r="1019">
      <c r="A1019" s="1"/>
      <c r="B1019" s="4" t="s">
        <v>1852</v>
      </c>
      <c r="D1019" s="9"/>
      <c r="E1019" s="17" t="s">
        <v>14</v>
      </c>
      <c r="F1019" s="1"/>
      <c r="G1019" s="1"/>
      <c r="H1019" s="1"/>
      <c r="I1019" s="1"/>
      <c r="J1019" s="1"/>
      <c r="K1019" s="1"/>
      <c r="L1019" s="1"/>
      <c r="M1019" s="1"/>
      <c r="N1019" s="1"/>
    </row>
    <row r="1020">
      <c r="A1020" s="1"/>
      <c r="B1020" s="14" t="s">
        <v>1853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"/>
    </row>
    <row r="1021">
      <c r="A1021" s="1"/>
      <c r="B1021" s="4" t="s">
        <v>1854</v>
      </c>
      <c r="D1021" s="9"/>
      <c r="E1021" s="17" t="s">
        <v>14</v>
      </c>
      <c r="F1021" s="1"/>
      <c r="G1021" s="1"/>
      <c r="H1021" s="1"/>
      <c r="I1021" s="1"/>
      <c r="J1021" s="1"/>
      <c r="K1021" s="1"/>
      <c r="L1021" s="1"/>
      <c r="M1021" s="1"/>
      <c r="N1021" s="1"/>
    </row>
    <row r="1022">
      <c r="A1022" s="1"/>
      <c r="B1022" s="14" t="s">
        <v>1855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"/>
    </row>
    <row r="1023">
      <c r="A1023" s="1"/>
      <c r="B1023" s="4" t="s">
        <v>1857</v>
      </c>
      <c r="D1023" s="9"/>
      <c r="E1023" s="17" t="s">
        <v>14</v>
      </c>
      <c r="F1023" s="1"/>
      <c r="G1023" s="1"/>
      <c r="H1023" s="1"/>
      <c r="I1023" s="1"/>
      <c r="J1023" s="1"/>
      <c r="K1023" s="1"/>
      <c r="L1023" s="1"/>
      <c r="M1023" s="1"/>
      <c r="N1023" s="1"/>
    </row>
    <row r="1024">
      <c r="A1024" s="1"/>
      <c r="B1024" s="14" t="s">
        <v>1858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"/>
    </row>
    <row r="1025">
      <c r="A1025" s="1"/>
      <c r="B1025" s="4" t="s">
        <v>1860</v>
      </c>
      <c r="D1025" s="9"/>
      <c r="E1025" s="17" t="s">
        <v>14</v>
      </c>
      <c r="F1025" s="18" t="str">
        <f>HYPERLINK("https://www.youtube.com/watch?v=7k_jqTdrAn0",'Players&gt;List'!$B18)</f>
        <v>[HGB]</v>
      </c>
      <c r="G1025" s="1"/>
      <c r="H1025" s="1"/>
      <c r="I1025" s="1"/>
      <c r="J1025" s="1"/>
      <c r="K1025" s="1"/>
      <c r="L1025" s="1"/>
      <c r="M1025" s="1"/>
      <c r="N1025" s="1"/>
    </row>
    <row r="1026">
      <c r="A1026" s="1"/>
      <c r="B1026" s="14" t="s">
        <v>1862</v>
      </c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"/>
    </row>
    <row r="1027">
      <c r="A1027" s="1"/>
      <c r="B1027" s="4" t="s">
        <v>1864</v>
      </c>
      <c r="D1027" s="9"/>
      <c r="E1027" s="17" t="s">
        <v>14</v>
      </c>
      <c r="F1027" s="1"/>
      <c r="G1027" s="1"/>
      <c r="H1027" s="1"/>
      <c r="I1027" s="1"/>
      <c r="J1027" s="1"/>
      <c r="K1027" s="1"/>
      <c r="L1027" s="1"/>
      <c r="M1027" s="1"/>
      <c r="N1027" s="1"/>
    </row>
    <row r="1028">
      <c r="A1028" s="1"/>
      <c r="B1028" s="14" t="s">
        <v>1866</v>
      </c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"/>
    </row>
    <row r="1029">
      <c r="A1029" s="1"/>
      <c r="B1029" s="4" t="s">
        <v>1876</v>
      </c>
      <c r="D1029" s="9"/>
      <c r="E1029" s="17" t="s">
        <v>14</v>
      </c>
      <c r="F1029" s="18" t="str">
        <f>HYPERLINK("https://www.youtube.com/watch?v=3BxC0Cug0vI&amp;t=0s&amp;list=PLbU6uWaIKemqNvTeRxK-Ay6PRg9iwCKVi&amp;index=42",'Players&gt;List'!$B19)</f>
        <v>[HIT]</v>
      </c>
      <c r="G1029" s="1"/>
      <c r="H1029" s="1"/>
      <c r="I1029" s="1"/>
      <c r="J1029" s="1"/>
      <c r="K1029" s="1"/>
      <c r="L1029" s="1"/>
      <c r="M1029" s="1"/>
      <c r="N1029" s="1"/>
    </row>
    <row r="1030">
      <c r="A1030" s="1"/>
      <c r="B1030" s="14" t="s">
        <v>1879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"/>
    </row>
    <row r="1031">
      <c r="A1031" s="1"/>
      <c r="B1031" s="4" t="s">
        <v>1881</v>
      </c>
      <c r="D1031" s="9"/>
      <c r="E1031" s="17" t="s">
        <v>14</v>
      </c>
      <c r="F1031" s="1"/>
      <c r="G1031" s="1"/>
      <c r="H1031" s="1"/>
      <c r="I1031" s="1"/>
      <c r="J1031" s="1"/>
      <c r="K1031" s="1"/>
      <c r="L1031" s="1"/>
      <c r="M1031" s="1"/>
      <c r="N1031" s="1"/>
    </row>
    <row r="1032">
      <c r="A1032" s="1"/>
      <c r="B1032" s="14" t="s">
        <v>1882</v>
      </c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"/>
    </row>
    <row r="1033">
      <c r="A1033" s="1"/>
      <c r="B1033" s="4" t="s">
        <v>1883</v>
      </c>
      <c r="D1033" s="9"/>
      <c r="E1033" s="17" t="s">
        <v>14</v>
      </c>
      <c r="F1033" s="1"/>
      <c r="G1033" s="1"/>
      <c r="H1033" s="1"/>
      <c r="I1033" s="1"/>
      <c r="J1033" s="1"/>
      <c r="K1033" s="1"/>
      <c r="L1033" s="1"/>
      <c r="M1033" s="1"/>
      <c r="N1033" s="1"/>
    </row>
    <row r="1034">
      <c r="A1034" s="1"/>
      <c r="B1034" s="14" t="s">
        <v>1884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"/>
    </row>
    <row r="1035">
      <c r="A1035" s="1"/>
      <c r="B1035" s="4" t="s">
        <v>1885</v>
      </c>
      <c r="D1035" s="9"/>
      <c r="E1035" s="17" t="s">
        <v>14</v>
      </c>
      <c r="F1035" s="1"/>
      <c r="G1035" s="1"/>
      <c r="H1035" s="1"/>
      <c r="I1035" s="1"/>
      <c r="J1035" s="1"/>
      <c r="K1035" s="1"/>
      <c r="L1035" s="1"/>
      <c r="M1035" s="1"/>
      <c r="N1035" s="1"/>
    </row>
    <row r="1036">
      <c r="A1036" s="1"/>
      <c r="B1036" s="14" t="s">
        <v>1886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"/>
    </row>
    <row r="1037">
      <c r="A1037" s="1"/>
      <c r="B1037" s="4" t="s">
        <v>1887</v>
      </c>
      <c r="D1037" s="9"/>
      <c r="E1037" s="17" t="s">
        <v>14</v>
      </c>
      <c r="F1037" s="1"/>
      <c r="G1037" s="1"/>
      <c r="H1037" s="1"/>
      <c r="I1037" s="1"/>
      <c r="J1037" s="1"/>
      <c r="K1037" s="1"/>
      <c r="L1037" s="1"/>
      <c r="M1037" s="1"/>
      <c r="N1037" s="1"/>
    </row>
    <row r="1038">
      <c r="A1038" s="1"/>
      <c r="B1038" s="14" t="s">
        <v>1888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"/>
    </row>
    <row r="1039">
      <c r="A1039" s="1"/>
      <c r="B1039" s="4" t="s">
        <v>1889</v>
      </c>
      <c r="D1039" s="9"/>
      <c r="E1039" s="17" t="s">
        <v>14</v>
      </c>
      <c r="F1039" s="1"/>
      <c r="G1039" s="1"/>
      <c r="H1039" s="1"/>
      <c r="I1039" s="1"/>
      <c r="J1039" s="1"/>
      <c r="K1039" s="1"/>
      <c r="L1039" s="1"/>
      <c r="M1039" s="1"/>
      <c r="N1039" s="1"/>
    </row>
    <row r="1040">
      <c r="A1040" s="1"/>
      <c r="B1040" s="14" t="s">
        <v>1890</v>
      </c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"/>
    </row>
    <row r="1041">
      <c r="A1041" s="1"/>
      <c r="B1041" s="4" t="s">
        <v>1893</v>
      </c>
      <c r="D1041" s="9"/>
      <c r="E1041" s="17" t="s">
        <v>14</v>
      </c>
      <c r="F1041" s="1"/>
      <c r="G1041" s="1"/>
      <c r="H1041" s="1"/>
      <c r="I1041" s="1"/>
      <c r="J1041" s="1"/>
      <c r="K1041" s="1"/>
      <c r="L1041" s="1"/>
      <c r="M1041" s="1"/>
      <c r="N1041" s="1"/>
    </row>
    <row r="1042">
      <c r="A1042" s="1"/>
      <c r="B1042" s="14" t="s">
        <v>1894</v>
      </c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"/>
    </row>
    <row r="1043">
      <c r="A1043" s="1"/>
      <c r="B1043" s="4" t="s">
        <v>1895</v>
      </c>
      <c r="D1043" s="9"/>
      <c r="E1043" s="17" t="s">
        <v>14</v>
      </c>
      <c r="F1043" s="1"/>
      <c r="G1043" s="1"/>
      <c r="H1043" s="1"/>
      <c r="I1043" s="1"/>
      <c r="J1043" s="1"/>
      <c r="K1043" s="1"/>
      <c r="L1043" s="1"/>
      <c r="M1043" s="1"/>
      <c r="N1043" s="1"/>
    </row>
    <row r="1044">
      <c r="A1044" s="1"/>
      <c r="B1044" s="14" t="s">
        <v>1896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"/>
    </row>
    <row r="1045">
      <c r="A1045" s="1"/>
      <c r="B1045" s="4" t="s">
        <v>1897</v>
      </c>
      <c r="D1045" s="9"/>
      <c r="E1045" s="17" t="s">
        <v>14</v>
      </c>
      <c r="F1045" s="1"/>
      <c r="G1045" s="1"/>
      <c r="H1045" s="1"/>
      <c r="I1045" s="1"/>
      <c r="J1045" s="1"/>
      <c r="K1045" s="1"/>
      <c r="L1045" s="1"/>
      <c r="M1045" s="1"/>
      <c r="N1045" s="1"/>
    </row>
    <row r="1046">
      <c r="A1046" s="1"/>
      <c r="B1046" s="14" t="s">
        <v>1899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"/>
    </row>
    <row r="1047">
      <c r="A1047" s="1"/>
      <c r="B1047" s="4" t="s">
        <v>1901</v>
      </c>
      <c r="D1047" s="9"/>
      <c r="E1047" s="17" t="s">
        <v>14</v>
      </c>
      <c r="F1047" s="1"/>
      <c r="G1047" s="1"/>
      <c r="H1047" s="1"/>
      <c r="I1047" s="1"/>
      <c r="J1047" s="1"/>
      <c r="K1047" s="1"/>
      <c r="L1047" s="1"/>
      <c r="M1047" s="1"/>
      <c r="N1047" s="1"/>
    </row>
    <row r="1048">
      <c r="A1048" s="1"/>
      <c r="B1048" s="14" t="s">
        <v>1904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"/>
    </row>
    <row r="1049">
      <c r="A1049" s="1"/>
      <c r="B1049" s="4" t="s">
        <v>1905</v>
      </c>
      <c r="D1049" s="9"/>
      <c r="E1049" s="17" t="s">
        <v>14</v>
      </c>
      <c r="F1049" s="1"/>
      <c r="G1049" s="1"/>
      <c r="H1049" s="1"/>
      <c r="I1049" s="1"/>
      <c r="J1049" s="1"/>
      <c r="K1049" s="1"/>
      <c r="L1049" s="1"/>
      <c r="M1049" s="1"/>
      <c r="N1049" s="1"/>
    </row>
    <row r="1050">
      <c r="A1050" s="1"/>
      <c r="B1050" s="14" t="s">
        <v>1906</v>
      </c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"/>
    </row>
    <row r="1051">
      <c r="A1051" s="1"/>
      <c r="B1051" s="4" t="s">
        <v>1907</v>
      </c>
      <c r="D1051" s="9"/>
      <c r="E1051" s="17" t="s">
        <v>14</v>
      </c>
      <c r="F1051" s="1"/>
      <c r="G1051" s="1"/>
      <c r="H1051" s="1"/>
      <c r="I1051" s="1"/>
      <c r="J1051" s="1"/>
      <c r="K1051" s="1"/>
      <c r="L1051" s="1"/>
      <c r="M1051" s="1"/>
      <c r="N1051" s="1"/>
    </row>
    <row r="1052">
      <c r="A1052" s="1"/>
      <c r="B1052" s="14" t="s">
        <v>1908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"/>
    </row>
    <row r="1053">
      <c r="A1053" s="1"/>
      <c r="B1053" s="4" t="s">
        <v>1910</v>
      </c>
      <c r="D1053" s="9"/>
      <c r="E1053" s="17" t="s">
        <v>14</v>
      </c>
      <c r="F1053" s="1"/>
      <c r="G1053" s="1"/>
      <c r="H1053" s="1"/>
      <c r="I1053" s="1"/>
      <c r="J1053" s="1"/>
      <c r="K1053" s="1"/>
      <c r="L1053" s="1"/>
      <c r="M1053" s="1"/>
      <c r="N1053" s="1"/>
    </row>
    <row r="1054">
      <c r="A1054" s="1"/>
      <c r="B1054" s="14" t="s">
        <v>1911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"/>
    </row>
    <row r="1055">
      <c r="A1055" s="1"/>
      <c r="B1055" s="4" t="s">
        <v>1913</v>
      </c>
      <c r="D1055" s="9"/>
      <c r="E1055" s="17" t="s">
        <v>14</v>
      </c>
      <c r="F1055" s="1"/>
      <c r="G1055" s="1"/>
      <c r="H1055" s="1"/>
      <c r="I1055" s="1"/>
      <c r="J1055" s="1"/>
      <c r="K1055" s="1"/>
      <c r="L1055" s="1"/>
      <c r="M1055" s="1"/>
      <c r="N1055" s="1"/>
    </row>
    <row r="1056">
      <c r="A1056" s="1"/>
      <c r="B1056" s="14" t="s">
        <v>1914</v>
      </c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"/>
    </row>
    <row r="1057">
      <c r="A1057" s="1"/>
      <c r="B1057" s="4" t="s">
        <v>1915</v>
      </c>
      <c r="D1057" s="9"/>
      <c r="E1057" s="17" t="s">
        <v>14</v>
      </c>
      <c r="F1057" s="1"/>
      <c r="G1057" s="1"/>
      <c r="H1057" s="1"/>
      <c r="I1057" s="1"/>
      <c r="J1057" s="1"/>
      <c r="K1057" s="1"/>
      <c r="L1057" s="1"/>
      <c r="M1057" s="1"/>
      <c r="N1057" s="1"/>
    </row>
    <row r="1058">
      <c r="A1058" s="1"/>
      <c r="B1058" s="14" t="s">
        <v>1916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"/>
    </row>
    <row r="1059">
      <c r="A1059" s="1"/>
      <c r="B1059" s="4" t="s">
        <v>1918</v>
      </c>
      <c r="D1059" s="9"/>
      <c r="E1059" s="17" t="s">
        <v>14</v>
      </c>
      <c r="F1059" s="1"/>
      <c r="G1059" s="1"/>
      <c r="H1059" s="1"/>
      <c r="I1059" s="1"/>
      <c r="J1059" s="1"/>
      <c r="K1059" s="1"/>
      <c r="L1059" s="1"/>
      <c r="M1059" s="1"/>
      <c r="N1059" s="1"/>
    </row>
    <row r="1060">
      <c r="A1060" s="1"/>
      <c r="B1060" s="14" t="s">
        <v>1919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"/>
    </row>
    <row r="1061">
      <c r="A1061" s="1"/>
      <c r="B1061" s="4" t="s">
        <v>1922</v>
      </c>
      <c r="D1061" s="9"/>
      <c r="E1061" s="17" t="s">
        <v>14</v>
      </c>
      <c r="F1061" s="1"/>
      <c r="G1061" s="1"/>
      <c r="H1061" s="1"/>
      <c r="I1061" s="1"/>
      <c r="J1061" s="1"/>
      <c r="K1061" s="1"/>
      <c r="L1061" s="1"/>
      <c r="M1061" s="1"/>
      <c r="N1061" s="1"/>
    </row>
    <row r="1062">
      <c r="A1062" s="1"/>
      <c r="B1062" s="14" t="s">
        <v>1923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"/>
    </row>
    <row r="1063">
      <c r="A1063" s="1"/>
      <c r="B1063" s="4" t="s">
        <v>1925</v>
      </c>
      <c r="D1063" s="9"/>
      <c r="E1063" s="17" t="s">
        <v>14</v>
      </c>
      <c r="F1063" s="1"/>
      <c r="G1063" s="1"/>
      <c r="H1063" s="1"/>
      <c r="I1063" s="1"/>
      <c r="J1063" s="1"/>
      <c r="K1063" s="1"/>
      <c r="L1063" s="1"/>
      <c r="M1063" s="1"/>
      <c r="N1063" s="1"/>
    </row>
    <row r="1064">
      <c r="A1064" s="1"/>
      <c r="B1064" s="14" t="s">
        <v>1926</v>
      </c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"/>
    </row>
    <row r="1065">
      <c r="A1065" s="1"/>
      <c r="B1065" s="4" t="s">
        <v>1927</v>
      </c>
      <c r="D1065" s="9"/>
      <c r="E1065" s="17" t="s">
        <v>14</v>
      </c>
      <c r="F1065" s="1"/>
      <c r="G1065" s="1"/>
      <c r="H1065" s="1"/>
      <c r="I1065" s="1"/>
      <c r="J1065" s="1"/>
      <c r="K1065" s="1"/>
      <c r="L1065" s="1"/>
      <c r="M1065" s="1"/>
      <c r="N1065" s="1"/>
    </row>
    <row r="1066">
      <c r="A1066" s="1"/>
      <c r="B1066" s="14" t="s">
        <v>1928</v>
      </c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"/>
    </row>
    <row r="1067">
      <c r="A1067" s="1"/>
      <c r="B1067" s="4" t="s">
        <v>1929</v>
      </c>
      <c r="D1067" s="9"/>
      <c r="E1067" s="17" t="s">
        <v>14</v>
      </c>
      <c r="F1067" s="1"/>
      <c r="G1067" s="1"/>
      <c r="H1067" s="1"/>
      <c r="I1067" s="1"/>
      <c r="J1067" s="1"/>
      <c r="K1067" s="1"/>
      <c r="L1067" s="1"/>
      <c r="M1067" s="1"/>
      <c r="N1067" s="1"/>
    </row>
    <row r="1068">
      <c r="A1068" s="1"/>
      <c r="B1068" s="14" t="s">
        <v>1930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"/>
    </row>
    <row r="1069">
      <c r="A1069" s="1"/>
      <c r="B1069" s="4" t="s">
        <v>1931</v>
      </c>
      <c r="D1069" s="9"/>
      <c r="E1069" s="17" t="s">
        <v>14</v>
      </c>
      <c r="F1069" s="1"/>
      <c r="G1069" s="1"/>
      <c r="H1069" s="1"/>
      <c r="I1069" s="1"/>
      <c r="J1069" s="1"/>
      <c r="K1069" s="1"/>
      <c r="L1069" s="1"/>
      <c r="M1069" s="1"/>
      <c r="N1069" s="1"/>
    </row>
    <row r="1070">
      <c r="A1070" s="1"/>
      <c r="B1070" s="14" t="s">
        <v>1933</v>
      </c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"/>
    </row>
    <row r="1071">
      <c r="A1071" s="1"/>
      <c r="B1071" s="4" t="s">
        <v>1935</v>
      </c>
      <c r="D1071" s="9"/>
      <c r="E1071" s="17" t="s">
        <v>14</v>
      </c>
      <c r="F1071" s="1"/>
      <c r="G1071" s="1"/>
      <c r="H1071" s="1"/>
      <c r="I1071" s="1"/>
      <c r="J1071" s="1"/>
      <c r="K1071" s="1"/>
      <c r="L1071" s="1"/>
      <c r="M1071" s="1"/>
      <c r="N1071" s="1"/>
    </row>
    <row r="1072">
      <c r="A1072" s="1"/>
      <c r="B1072" s="14" t="s">
        <v>1936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"/>
    </row>
    <row r="1073">
      <c r="A1073" s="1"/>
      <c r="B1073" s="4" t="s">
        <v>1938</v>
      </c>
      <c r="D1073" s="9"/>
      <c r="E1073" s="17" t="s">
        <v>14</v>
      </c>
      <c r="F1073" s="1"/>
      <c r="G1073" s="1"/>
      <c r="H1073" s="1"/>
      <c r="I1073" s="1"/>
      <c r="J1073" s="1"/>
      <c r="K1073" s="1"/>
      <c r="L1073" s="1"/>
      <c r="M1073" s="1"/>
      <c r="N1073" s="1"/>
    </row>
    <row r="1074">
      <c r="A1074" s="1"/>
      <c r="B1074" s="14" t="s">
        <v>1940</v>
      </c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"/>
    </row>
    <row r="1075">
      <c r="A1075" s="1"/>
      <c r="B1075" s="4" t="s">
        <v>1941</v>
      </c>
      <c r="D1075" s="9"/>
      <c r="E1075" s="17" t="s">
        <v>14</v>
      </c>
      <c r="F1075" s="1"/>
      <c r="G1075" s="1"/>
      <c r="H1075" s="1"/>
      <c r="I1075" s="1"/>
      <c r="J1075" s="1"/>
      <c r="K1075" s="1"/>
      <c r="L1075" s="1"/>
      <c r="M1075" s="1"/>
      <c r="N1075" s="1"/>
    </row>
    <row r="1076">
      <c r="A1076" s="1"/>
      <c r="B1076" s="14" t="s">
        <v>1942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"/>
    </row>
    <row r="1077">
      <c r="A1077" s="1"/>
      <c r="B1077" s="4" t="s">
        <v>1943</v>
      </c>
      <c r="D1077" s="9"/>
      <c r="E1077" s="17" t="s">
        <v>14</v>
      </c>
      <c r="F1077" s="1"/>
      <c r="G1077" s="1"/>
      <c r="H1077" s="1"/>
      <c r="I1077" s="1"/>
      <c r="J1077" s="1"/>
      <c r="K1077" s="1"/>
      <c r="L1077" s="1"/>
      <c r="M1077" s="1"/>
      <c r="N1077" s="1"/>
    </row>
    <row r="1078">
      <c r="A1078" s="1"/>
      <c r="B1078" s="14" t="s">
        <v>1945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"/>
    </row>
    <row r="1079">
      <c r="A1079" s="1"/>
      <c r="B1079" s="4" t="s">
        <v>1947</v>
      </c>
      <c r="D1079" s="9"/>
      <c r="E1079" s="17" t="s">
        <v>14</v>
      </c>
      <c r="F1079" s="1"/>
      <c r="G1079" s="1"/>
      <c r="H1079" s="1"/>
      <c r="I1079" s="1"/>
      <c r="J1079" s="1"/>
      <c r="K1079" s="1"/>
      <c r="L1079" s="1"/>
      <c r="M1079" s="1"/>
      <c r="N1079" s="1"/>
    </row>
    <row r="1080">
      <c r="A1080" s="1"/>
      <c r="B1080" s="14" t="s">
        <v>1950</v>
      </c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"/>
    </row>
    <row r="1081">
      <c r="A1081" s="1"/>
      <c r="B1081" s="4" t="s">
        <v>1952</v>
      </c>
      <c r="D1081" s="9"/>
      <c r="E1081" s="17" t="s">
        <v>14</v>
      </c>
      <c r="F1081" s="1"/>
      <c r="G1081" s="1"/>
      <c r="H1081" s="1"/>
      <c r="I1081" s="1"/>
      <c r="J1081" s="1"/>
      <c r="K1081" s="1"/>
      <c r="L1081" s="1"/>
      <c r="M1081" s="1"/>
      <c r="N1081" s="1"/>
    </row>
    <row r="1082">
      <c r="A1082" s="1"/>
      <c r="B1082" s="14" t="s">
        <v>1953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"/>
    </row>
    <row r="1083">
      <c r="A1083" s="1"/>
      <c r="B1083" s="4" t="s">
        <v>1954</v>
      </c>
      <c r="D1083" s="9"/>
      <c r="E1083" s="17" t="s">
        <v>14</v>
      </c>
      <c r="F1083" s="1"/>
      <c r="G1083" s="1"/>
      <c r="H1083" s="1"/>
      <c r="I1083" s="1"/>
      <c r="J1083" s="1"/>
      <c r="K1083" s="1"/>
      <c r="L1083" s="1"/>
      <c r="M1083" s="1"/>
      <c r="N1083" s="1"/>
    </row>
    <row r="1084">
      <c r="A1084" s="1"/>
      <c r="B1084" s="14" t="s">
        <v>1955</v>
      </c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"/>
    </row>
    <row r="1085">
      <c r="A1085" s="1"/>
      <c r="B1085" s="4" t="s">
        <v>1956</v>
      </c>
      <c r="D1085" s="9"/>
      <c r="E1085" s="17" t="s">
        <v>14</v>
      </c>
      <c r="F1085" s="1"/>
      <c r="G1085" s="1"/>
      <c r="H1085" s="1"/>
      <c r="I1085" s="1"/>
      <c r="J1085" s="1"/>
      <c r="K1085" s="1"/>
      <c r="L1085" s="1"/>
      <c r="M1085" s="1"/>
      <c r="N1085" s="1"/>
    </row>
    <row r="1086">
      <c r="A1086" s="1"/>
      <c r="B1086" s="14" t="s">
        <v>1957</v>
      </c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"/>
    </row>
    <row r="1087">
      <c r="A1087" s="1"/>
      <c r="B1087" s="4" t="s">
        <v>1958</v>
      </c>
      <c r="D1087" s="9"/>
      <c r="E1087" s="17" t="s">
        <v>14</v>
      </c>
      <c r="F1087" s="1"/>
      <c r="G1087" s="1"/>
      <c r="H1087" s="1"/>
      <c r="I1087" s="1"/>
      <c r="J1087" s="1"/>
      <c r="K1087" s="1"/>
      <c r="L1087" s="1"/>
      <c r="M1087" s="1"/>
      <c r="N1087" s="1"/>
    </row>
    <row r="1088">
      <c r="A1088" s="1"/>
      <c r="B1088" s="14" t="s">
        <v>1959</v>
      </c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"/>
    </row>
    <row r="1089">
      <c r="A1089" s="1"/>
      <c r="B1089" s="4" t="s">
        <v>1961</v>
      </c>
      <c r="D1089" s="9"/>
      <c r="E1089" s="17" t="s">
        <v>14</v>
      </c>
      <c r="F1089" s="1"/>
      <c r="G1089" s="1"/>
      <c r="H1089" s="1"/>
      <c r="I1089" s="1"/>
      <c r="J1089" s="1"/>
      <c r="K1089" s="1"/>
      <c r="L1089" s="1"/>
      <c r="M1089" s="1"/>
      <c r="N1089" s="1"/>
    </row>
    <row r="1090">
      <c r="A1090" s="1"/>
      <c r="B1090" s="14" t="s">
        <v>1963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"/>
    </row>
    <row r="1091">
      <c r="A1091" s="1"/>
      <c r="B1091" s="4" t="s">
        <v>1965</v>
      </c>
      <c r="D1091" s="9"/>
      <c r="E1091" s="17" t="s">
        <v>14</v>
      </c>
      <c r="F1091" s="1"/>
      <c r="G1091" s="1"/>
      <c r="H1091" s="1"/>
      <c r="I1091" s="1"/>
      <c r="J1091" s="1"/>
      <c r="K1091" s="1"/>
      <c r="L1091" s="1"/>
      <c r="M1091" s="1"/>
      <c r="N1091" s="1"/>
    </row>
    <row r="1092">
      <c r="A1092" s="1"/>
      <c r="B1092" s="14" t="s">
        <v>1967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"/>
    </row>
    <row r="1093">
      <c r="A1093" s="1"/>
      <c r="B1093" s="4" t="s">
        <v>1968</v>
      </c>
      <c r="D1093" s="9"/>
      <c r="E1093" s="17" t="s">
        <v>14</v>
      </c>
      <c r="F1093" s="1"/>
      <c r="G1093" s="1"/>
      <c r="H1093" s="1"/>
      <c r="I1093" s="1"/>
      <c r="J1093" s="1"/>
      <c r="K1093" s="1"/>
      <c r="L1093" s="1"/>
      <c r="M1093" s="1"/>
      <c r="N1093" s="1"/>
    </row>
    <row r="1094">
      <c r="A1094" s="1"/>
      <c r="B1094" s="14" t="s">
        <v>1969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"/>
    </row>
    <row r="1095">
      <c r="A1095" s="1"/>
      <c r="B1095" s="4" t="s">
        <v>1970</v>
      </c>
      <c r="D1095" s="9"/>
      <c r="E1095" s="17" t="s">
        <v>14</v>
      </c>
      <c r="F1095" s="1"/>
      <c r="G1095" s="1"/>
      <c r="H1095" s="1"/>
      <c r="I1095" s="1"/>
      <c r="J1095" s="1"/>
      <c r="K1095" s="1"/>
      <c r="L1095" s="1"/>
      <c r="M1095" s="1"/>
      <c r="N1095" s="1"/>
    </row>
    <row r="1096">
      <c r="A1096" s="1"/>
      <c r="B1096" s="14" t="s">
        <v>1971</v>
      </c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"/>
    </row>
    <row r="1097">
      <c r="A1097" s="1"/>
      <c r="B1097" s="4" t="s">
        <v>1972</v>
      </c>
      <c r="D1097" s="9"/>
      <c r="E1097" s="17" t="s">
        <v>14</v>
      </c>
      <c r="F1097" s="18" t="str">
        <f>HYPERLINK("https://www.youtube.com/watch?v=sRMsvnTVmUU",'Players&gt;List'!$B18)</f>
        <v>[HGB]</v>
      </c>
      <c r="G1097" s="18" t="str">
        <f>HYPERLINK("https://www.youtube.com/watch?v=l_UqyHYDvVE&amp;t=0s&amp;list=PLbU6uWaIKemqNvTeRxK-Ay6PRg9iwCKVi&amp;index=44",'Players&gt;List'!$B19)</f>
        <v>[HIT]</v>
      </c>
      <c r="H1097" s="18" t="str">
        <f>HYPERLINK("https://www.youtube.com/watch?v=AI84-9otprM",'Players&gt;List'!$B28)</f>
        <v>[SUN]</v>
      </c>
      <c r="I1097" s="1"/>
      <c r="J1097" s="1"/>
      <c r="K1097" s="1"/>
      <c r="L1097" s="1"/>
      <c r="M1097" s="1"/>
      <c r="N1097" s="1"/>
    </row>
    <row r="1098">
      <c r="A1098" s="1"/>
      <c r="B1098" s="14" t="s">
        <v>1977</v>
      </c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"/>
    </row>
    <row r="1099">
      <c r="A1099" s="1"/>
      <c r="B1099" s="4" t="s">
        <v>1978</v>
      </c>
      <c r="D1099" s="9"/>
      <c r="E1099" s="17" t="s">
        <v>14</v>
      </c>
      <c r="F1099" s="1"/>
      <c r="G1099" s="1"/>
      <c r="H1099" s="1"/>
      <c r="I1099" s="1"/>
      <c r="J1099" s="1"/>
      <c r="K1099" s="1"/>
      <c r="L1099" s="1"/>
      <c r="M1099" s="1"/>
      <c r="N1099" s="1"/>
    </row>
    <row r="1100">
      <c r="A1100" s="1"/>
      <c r="B1100" s="14" t="s">
        <v>1979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"/>
    </row>
    <row r="1101">
      <c r="A1101" s="1"/>
      <c r="B1101" s="4" t="s">
        <v>1982</v>
      </c>
      <c r="D1101" s="9"/>
      <c r="E1101" s="17" t="s">
        <v>14</v>
      </c>
      <c r="F1101" s="1"/>
      <c r="G1101" s="1"/>
      <c r="H1101" s="1"/>
      <c r="I1101" s="1"/>
      <c r="J1101" s="1"/>
      <c r="K1101" s="1"/>
      <c r="L1101" s="1"/>
      <c r="M1101" s="1"/>
      <c r="N1101" s="1"/>
    </row>
    <row r="1102">
      <c r="A1102" s="1"/>
      <c r="B1102" s="14" t="s">
        <v>1983</v>
      </c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"/>
    </row>
    <row r="1103">
      <c r="A1103" s="1"/>
      <c r="B1103" s="4" t="s">
        <v>1986</v>
      </c>
      <c r="D1103" s="9"/>
      <c r="E1103" s="17" t="s">
        <v>14</v>
      </c>
      <c r="F1103" s="1"/>
      <c r="G1103" s="1"/>
      <c r="H1103" s="1"/>
      <c r="I1103" s="1"/>
      <c r="J1103" s="1"/>
      <c r="K1103" s="1"/>
      <c r="L1103" s="1"/>
      <c r="M1103" s="1"/>
      <c r="N1103" s="1"/>
    </row>
    <row r="1104">
      <c r="A1104" s="1"/>
      <c r="B1104" s="14" t="s">
        <v>1987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"/>
    </row>
    <row r="1105">
      <c r="A1105" s="1"/>
      <c r="B1105" s="4" t="s">
        <v>1988</v>
      </c>
      <c r="D1105" s="9"/>
      <c r="E1105" s="17" t="s">
        <v>14</v>
      </c>
      <c r="F1105" s="1"/>
      <c r="G1105" s="1"/>
      <c r="H1105" s="1"/>
      <c r="I1105" s="1"/>
      <c r="J1105" s="1"/>
      <c r="K1105" s="1"/>
      <c r="L1105" s="1"/>
      <c r="M1105" s="1"/>
      <c r="N1105" s="1"/>
    </row>
    <row r="1106">
      <c r="A1106" s="1"/>
      <c r="B1106" s="14" t="s">
        <v>1989</v>
      </c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"/>
    </row>
    <row r="1107">
      <c r="A1107" s="1"/>
      <c r="B1107" s="4" t="s">
        <v>1990</v>
      </c>
      <c r="D1107" s="9"/>
      <c r="E1107" s="17" t="s">
        <v>14</v>
      </c>
      <c r="F1107" s="18" t="str">
        <f>HYPERLINK("https://www.youtube.com/watch?v=dZhOjQyI9WU",'Players&gt;List'!$B18)</f>
        <v>[HGB]</v>
      </c>
      <c r="G1107" s="1"/>
      <c r="H1107" s="1"/>
      <c r="I1107" s="1"/>
      <c r="J1107" s="1"/>
      <c r="K1107" s="1"/>
      <c r="L1107" s="1"/>
      <c r="M1107" s="1"/>
      <c r="N1107" s="1"/>
    </row>
    <row r="1108">
      <c r="A1108" s="1"/>
      <c r="B1108" s="14" t="s">
        <v>1993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"/>
    </row>
    <row r="1109">
      <c r="A1109" s="1"/>
      <c r="B1109" s="4" t="s">
        <v>1996</v>
      </c>
      <c r="D1109" s="9"/>
      <c r="E1109" s="17" t="s">
        <v>14</v>
      </c>
      <c r="F1109" s="1"/>
      <c r="G1109" s="1"/>
      <c r="H1109" s="1"/>
      <c r="I1109" s="1"/>
      <c r="J1109" s="1"/>
      <c r="K1109" s="1"/>
      <c r="L1109" s="1"/>
      <c r="M1109" s="1"/>
      <c r="N1109" s="1"/>
    </row>
    <row r="1110">
      <c r="A1110" s="1"/>
      <c r="B1110" s="14" t="s">
        <v>1997</v>
      </c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"/>
    </row>
    <row r="1111">
      <c r="A1111" s="1"/>
      <c r="B1111" s="4" t="s">
        <v>1998</v>
      </c>
      <c r="D1111" s="9"/>
      <c r="E1111" s="17" t="s">
        <v>14</v>
      </c>
      <c r="F1111" s="1"/>
      <c r="G1111" s="1"/>
      <c r="H1111" s="1"/>
      <c r="I1111" s="1"/>
      <c r="J1111" s="1"/>
      <c r="K1111" s="1"/>
      <c r="L1111" s="1"/>
      <c r="M1111" s="1"/>
      <c r="N1111" s="1"/>
    </row>
    <row r="1112">
      <c r="A1112" s="1"/>
      <c r="B1112" s="14" t="s">
        <v>1999</v>
      </c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"/>
    </row>
    <row r="1113">
      <c r="A1113" s="1"/>
      <c r="B1113" s="4" t="s">
        <v>2001</v>
      </c>
      <c r="D1113" s="9"/>
      <c r="E1113" s="17" t="s">
        <v>14</v>
      </c>
      <c r="F1113" s="1"/>
      <c r="G1113" s="1"/>
      <c r="H1113" s="1"/>
      <c r="I1113" s="1"/>
      <c r="J1113" s="1"/>
      <c r="K1113" s="1"/>
      <c r="L1113" s="1"/>
      <c r="M1113" s="1"/>
      <c r="N1113" s="1"/>
    </row>
    <row r="1114">
      <c r="A1114" s="1"/>
      <c r="B1114" s="14" t="s">
        <v>2003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"/>
    </row>
    <row r="1115">
      <c r="A1115" s="1"/>
      <c r="B1115" s="4" t="s">
        <v>2004</v>
      </c>
      <c r="D1115" s="9"/>
      <c r="E1115" s="17" t="s">
        <v>14</v>
      </c>
      <c r="F1115" s="1"/>
      <c r="G1115" s="1"/>
      <c r="H1115" s="1"/>
      <c r="I1115" s="1"/>
      <c r="J1115" s="1"/>
      <c r="K1115" s="1"/>
      <c r="L1115" s="1"/>
      <c r="M1115" s="1"/>
      <c r="N1115" s="1"/>
    </row>
    <row r="1116">
      <c r="A1116" s="1"/>
      <c r="B1116" s="14" t="s">
        <v>2005</v>
      </c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"/>
    </row>
    <row r="1117">
      <c r="A1117" s="1"/>
      <c r="B1117" s="4" t="s">
        <v>2006</v>
      </c>
      <c r="D1117" s="9"/>
      <c r="E1117" s="17" t="s">
        <v>14</v>
      </c>
      <c r="F1117" s="1"/>
      <c r="G1117" s="1"/>
      <c r="H1117" s="1"/>
      <c r="I1117" s="1"/>
      <c r="J1117" s="1"/>
      <c r="K1117" s="1"/>
      <c r="L1117" s="1"/>
      <c r="M1117" s="1"/>
      <c r="N1117" s="1"/>
    </row>
    <row r="1118">
      <c r="A1118" s="1"/>
      <c r="B1118" s="14" t="s">
        <v>2008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"/>
    </row>
    <row r="1119">
      <c r="A1119" s="1"/>
      <c r="B1119" s="4" t="s">
        <v>2010</v>
      </c>
      <c r="D1119" s="9"/>
      <c r="E1119" s="17" t="s">
        <v>14</v>
      </c>
      <c r="F1119" s="1"/>
      <c r="G1119" s="1"/>
      <c r="H1119" s="1"/>
      <c r="I1119" s="1"/>
      <c r="J1119" s="1"/>
      <c r="K1119" s="1"/>
      <c r="L1119" s="1"/>
      <c r="M1119" s="1"/>
      <c r="N1119" s="1"/>
    </row>
    <row r="1120">
      <c r="A1120" s="1"/>
      <c r="B1120" s="14" t="s">
        <v>2011</v>
      </c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"/>
    </row>
    <row r="1121">
      <c r="A1121" s="1"/>
      <c r="B1121" s="4" t="s">
        <v>2012</v>
      </c>
      <c r="D1121" s="9"/>
      <c r="E1121" s="17" t="s">
        <v>14</v>
      </c>
      <c r="F1121" s="1"/>
      <c r="G1121" s="1"/>
      <c r="H1121" s="1"/>
      <c r="I1121" s="1"/>
      <c r="J1121" s="1"/>
      <c r="K1121" s="1"/>
      <c r="L1121" s="1"/>
      <c r="M1121" s="1"/>
      <c r="N1121" s="1"/>
    </row>
    <row r="1122">
      <c r="A1122" s="1"/>
      <c r="B1122" s="14" t="s">
        <v>2013</v>
      </c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"/>
    </row>
    <row r="1123">
      <c r="A1123" s="1"/>
      <c r="B1123" s="4" t="s">
        <v>2015</v>
      </c>
      <c r="D1123" s="9"/>
      <c r="E1123" s="17" t="s">
        <v>14</v>
      </c>
      <c r="F1123" s="1"/>
      <c r="G1123" s="1"/>
      <c r="H1123" s="1"/>
      <c r="I1123" s="1"/>
      <c r="J1123" s="1"/>
      <c r="K1123" s="1"/>
      <c r="L1123" s="1"/>
      <c r="M1123" s="1"/>
      <c r="N1123" s="1"/>
    </row>
    <row r="1124">
      <c r="A1124" s="1"/>
      <c r="B1124" s="14" t="s">
        <v>2017</v>
      </c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"/>
    </row>
    <row r="1125">
      <c r="A1125" s="1"/>
      <c r="B1125" s="4" t="s">
        <v>2018</v>
      </c>
      <c r="D1125" s="9"/>
      <c r="E1125" s="17" t="s">
        <v>14</v>
      </c>
      <c r="F1125" s="1"/>
      <c r="G1125" s="1"/>
      <c r="H1125" s="1"/>
      <c r="I1125" s="1"/>
      <c r="J1125" s="1"/>
      <c r="K1125" s="1"/>
      <c r="L1125" s="1"/>
      <c r="M1125" s="1"/>
      <c r="N1125" s="1"/>
    </row>
    <row r="1126">
      <c r="A1126" s="1"/>
      <c r="B1126" s="14" t="s">
        <v>2019</v>
      </c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"/>
    </row>
    <row r="1127">
      <c r="A1127" s="1"/>
      <c r="B1127" s="4" t="s">
        <v>2020</v>
      </c>
      <c r="D1127" s="9"/>
      <c r="E1127" s="17" t="s">
        <v>14</v>
      </c>
      <c r="F1127" s="1"/>
      <c r="G1127" s="1"/>
      <c r="H1127" s="1"/>
      <c r="I1127" s="1"/>
      <c r="J1127" s="1"/>
      <c r="K1127" s="1"/>
      <c r="L1127" s="1"/>
      <c r="M1127" s="1"/>
      <c r="N1127" s="1"/>
    </row>
    <row r="1128">
      <c r="A1128" s="1"/>
      <c r="B1128" s="14" t="s">
        <v>2021</v>
      </c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"/>
    </row>
    <row r="1129">
      <c r="A1129" s="1"/>
      <c r="B1129" s="4" t="s">
        <v>2023</v>
      </c>
      <c r="D1129" s="9"/>
      <c r="E1129" s="17" t="s">
        <v>14</v>
      </c>
      <c r="F1129" s="1"/>
      <c r="G1129" s="1"/>
      <c r="H1129" s="1"/>
      <c r="I1129" s="1"/>
      <c r="J1129" s="1"/>
      <c r="K1129" s="1"/>
      <c r="L1129" s="1"/>
      <c r="M1129" s="1"/>
      <c r="N1129" s="1"/>
    </row>
    <row r="1130">
      <c r="A1130" s="1"/>
      <c r="B1130" s="14" t="s">
        <v>2025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"/>
    </row>
    <row r="1131">
      <c r="A1131" s="1"/>
      <c r="B1131" s="4" t="s">
        <v>2026</v>
      </c>
      <c r="D1131" s="9"/>
      <c r="E1131" s="17" t="s">
        <v>14</v>
      </c>
      <c r="F1131" s="1"/>
      <c r="G1131" s="1"/>
      <c r="H1131" s="1"/>
      <c r="I1131" s="1"/>
      <c r="J1131" s="1"/>
      <c r="K1131" s="1"/>
      <c r="L1131" s="1"/>
      <c r="M1131" s="1"/>
      <c r="N1131" s="1"/>
    </row>
    <row r="1132">
      <c r="A1132" s="1"/>
      <c r="B1132" s="14" t="s">
        <v>2027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"/>
    </row>
    <row r="1133">
      <c r="A1133" s="1"/>
      <c r="B1133" s="4" t="s">
        <v>2028</v>
      </c>
      <c r="D1133" s="9"/>
      <c r="E1133" s="17" t="s">
        <v>14</v>
      </c>
      <c r="F1133" s="1"/>
      <c r="G1133" s="1"/>
      <c r="H1133" s="1"/>
      <c r="I1133" s="1"/>
      <c r="J1133" s="1"/>
      <c r="K1133" s="1"/>
      <c r="L1133" s="1"/>
      <c r="M1133" s="1"/>
      <c r="N1133" s="1"/>
    </row>
    <row r="1134">
      <c r="A1134" s="1"/>
      <c r="B1134" s="14" t="s">
        <v>2030</v>
      </c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"/>
    </row>
    <row r="1135">
      <c r="A1135" s="1"/>
      <c r="B1135" s="4" t="s">
        <v>2033</v>
      </c>
      <c r="D1135" s="9"/>
      <c r="E1135" s="17" t="s">
        <v>14</v>
      </c>
      <c r="F1135" s="1"/>
      <c r="G1135" s="1"/>
      <c r="H1135" s="1"/>
      <c r="I1135" s="1"/>
      <c r="J1135" s="1"/>
      <c r="K1135" s="1"/>
      <c r="L1135" s="1"/>
      <c r="M1135" s="1"/>
      <c r="N1135" s="1"/>
    </row>
    <row r="1136">
      <c r="A1136" s="1"/>
      <c r="B1136" s="14" t="s">
        <v>2034</v>
      </c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"/>
    </row>
    <row r="1137">
      <c r="A1137" s="1"/>
      <c r="B1137" s="4" t="s">
        <v>2036</v>
      </c>
      <c r="D1137" s="9"/>
      <c r="E1137" s="17" t="s">
        <v>14</v>
      </c>
      <c r="F1137" s="1"/>
      <c r="G1137" s="1"/>
      <c r="H1137" s="1"/>
      <c r="I1137" s="1"/>
      <c r="J1137" s="1"/>
      <c r="K1137" s="1"/>
      <c r="L1137" s="1"/>
      <c r="M1137" s="1"/>
      <c r="N1137" s="1"/>
    </row>
    <row r="1138">
      <c r="A1138" s="1"/>
      <c r="B1138" s="14" t="s">
        <v>2037</v>
      </c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"/>
    </row>
    <row r="1139">
      <c r="A1139" s="1"/>
      <c r="B1139" s="4" t="s">
        <v>2039</v>
      </c>
      <c r="D1139" s="9"/>
      <c r="E1139" s="17" t="s">
        <v>14</v>
      </c>
      <c r="F1139" s="1"/>
      <c r="G1139" s="1"/>
      <c r="H1139" s="1"/>
      <c r="I1139" s="1"/>
      <c r="J1139" s="1"/>
      <c r="K1139" s="1"/>
      <c r="L1139" s="1"/>
      <c r="M1139" s="1"/>
      <c r="N1139" s="1"/>
    </row>
    <row r="1140">
      <c r="A1140" s="1"/>
      <c r="B1140" s="14" t="s">
        <v>2041</v>
      </c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"/>
    </row>
    <row r="1141">
      <c r="A1141" s="1"/>
      <c r="B1141" s="4" t="s">
        <v>2042</v>
      </c>
      <c r="D1141" s="9"/>
      <c r="E1141" s="17" t="s">
        <v>14</v>
      </c>
      <c r="F1141" s="1"/>
      <c r="G1141" s="1"/>
      <c r="H1141" s="1"/>
      <c r="I1141" s="1"/>
      <c r="J1141" s="1"/>
      <c r="K1141" s="1"/>
      <c r="L1141" s="1"/>
      <c r="M1141" s="1"/>
      <c r="N1141" s="1"/>
    </row>
    <row r="1142">
      <c r="A1142" s="1"/>
      <c r="B1142" s="14" t="s">
        <v>2043</v>
      </c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"/>
    </row>
    <row r="1143">
      <c r="A1143" s="1"/>
      <c r="B1143" s="4" t="s">
        <v>2045</v>
      </c>
      <c r="D1143" s="9"/>
      <c r="E1143" s="17" t="s">
        <v>14</v>
      </c>
      <c r="F1143" s="1"/>
      <c r="G1143" s="1"/>
      <c r="H1143" s="1"/>
      <c r="I1143" s="1"/>
      <c r="J1143" s="1"/>
      <c r="K1143" s="1"/>
      <c r="L1143" s="1"/>
      <c r="M1143" s="1"/>
      <c r="N1143" s="1"/>
    </row>
    <row r="1144">
      <c r="A1144" s="1"/>
      <c r="B1144" s="14" t="s">
        <v>2048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"/>
    </row>
    <row r="1145">
      <c r="A1145" s="1"/>
      <c r="B1145" s="4" t="s">
        <v>2050</v>
      </c>
      <c r="D1145" s="9"/>
      <c r="E1145" s="17" t="s">
        <v>14</v>
      </c>
      <c r="F1145" s="1"/>
      <c r="G1145" s="1"/>
      <c r="H1145" s="1"/>
      <c r="I1145" s="1"/>
      <c r="J1145" s="1"/>
      <c r="K1145" s="1"/>
      <c r="L1145" s="1"/>
      <c r="M1145" s="1"/>
      <c r="N1145" s="1"/>
    </row>
    <row r="1146">
      <c r="A1146" s="1"/>
      <c r="B1146" s="14" t="s">
        <v>2051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"/>
    </row>
    <row r="1147">
      <c r="A1147" s="1"/>
      <c r="B1147" s="4" t="s">
        <v>2052</v>
      </c>
      <c r="D1147" s="9"/>
      <c r="E1147" s="17" t="s">
        <v>14</v>
      </c>
      <c r="F1147" s="1"/>
      <c r="G1147" s="1"/>
      <c r="H1147" s="1"/>
      <c r="I1147" s="1"/>
      <c r="J1147" s="1"/>
      <c r="K1147" s="1"/>
      <c r="L1147" s="1"/>
      <c r="M1147" s="1"/>
      <c r="N1147" s="1"/>
    </row>
    <row r="1148">
      <c r="A1148" s="1"/>
      <c r="B1148" s="14" t="s">
        <v>2053</v>
      </c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"/>
    </row>
    <row r="1149">
      <c r="A1149" s="1"/>
      <c r="B1149" s="4" t="s">
        <v>2055</v>
      </c>
      <c r="D1149" s="9"/>
      <c r="E1149" s="17" t="s">
        <v>14</v>
      </c>
      <c r="F1149" s="1"/>
      <c r="G1149" s="1"/>
      <c r="H1149" s="1"/>
      <c r="I1149" s="1"/>
      <c r="J1149" s="1"/>
      <c r="K1149" s="1"/>
      <c r="L1149" s="1"/>
      <c r="M1149" s="1"/>
      <c r="N1149" s="1"/>
    </row>
    <row r="1150">
      <c r="A1150" s="1"/>
      <c r="B1150" s="14" t="s">
        <v>2056</v>
      </c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"/>
    </row>
    <row r="1151">
      <c r="A1151" s="1"/>
      <c r="B1151" s="4" t="s">
        <v>2059</v>
      </c>
      <c r="D1151" s="9"/>
      <c r="E1151" s="17" t="s">
        <v>14</v>
      </c>
      <c r="F1151" s="1"/>
      <c r="G1151" s="1"/>
      <c r="H1151" s="1"/>
      <c r="I1151" s="1"/>
      <c r="J1151" s="1"/>
      <c r="K1151" s="1"/>
      <c r="L1151" s="1"/>
      <c r="M1151" s="1"/>
      <c r="N1151" s="1"/>
    </row>
    <row r="1152">
      <c r="A1152" s="1"/>
      <c r="B1152" s="14" t="s">
        <v>2060</v>
      </c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"/>
    </row>
    <row r="1153">
      <c r="A1153" s="1"/>
      <c r="B1153" s="4" t="s">
        <v>2061</v>
      </c>
      <c r="D1153" s="9"/>
      <c r="E1153" s="17" t="s">
        <v>14</v>
      </c>
      <c r="F1153" s="1"/>
      <c r="G1153" s="1"/>
      <c r="H1153" s="1"/>
      <c r="I1153" s="1"/>
      <c r="J1153" s="1"/>
      <c r="K1153" s="1"/>
      <c r="L1153" s="1"/>
      <c r="M1153" s="1"/>
      <c r="N1153" s="1"/>
    </row>
    <row r="1154">
      <c r="A1154" s="1"/>
      <c r="B1154" s="14" t="s">
        <v>2063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"/>
    </row>
    <row r="1155">
      <c r="A1155" s="1"/>
      <c r="B1155" s="4" t="s">
        <v>2065</v>
      </c>
      <c r="D1155" s="9"/>
      <c r="E1155" s="17" t="s">
        <v>14</v>
      </c>
      <c r="F1155" s="18" t="str">
        <f>HYPERLINK("https://www.youtube.com/watch?v=90_rmgwhmZc",'Players&gt;List'!$B18)</f>
        <v>[HGB]</v>
      </c>
      <c r="G1155" s="18" t="str">
        <f>HYPERLINK("https://www.youtube.com/watch?v=iz9PoNrTDTM",'Players&gt;List'!$B14)</f>
        <v>[ESP]</v>
      </c>
      <c r="H1155" s="18" t="str">
        <f>HYPERLINK("https://www.youtube.com/watch?v=DoGxOdhATAg&amp;t=0s&amp;list=PLbU6uWaIKemqNvTeRxK-Ay6PRg9iwCKVi&amp;index=45",'Players&gt;List'!$B19)</f>
        <v>[HIT]</v>
      </c>
      <c r="I1155" s="1"/>
      <c r="J1155" s="1"/>
      <c r="K1155" s="1"/>
      <c r="L1155" s="1"/>
      <c r="M1155" s="1"/>
      <c r="N1155" s="1"/>
    </row>
    <row r="1156">
      <c r="A1156" s="1"/>
      <c r="B1156" s="14" t="s">
        <v>2069</v>
      </c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"/>
    </row>
    <row r="1157">
      <c r="A1157" s="1"/>
      <c r="B1157" s="4" t="s">
        <v>2070</v>
      </c>
      <c r="D1157" s="9"/>
      <c r="E1157" s="17" t="s">
        <v>14</v>
      </c>
      <c r="F1157" s="1"/>
      <c r="G1157" s="1"/>
      <c r="H1157" s="1"/>
      <c r="I1157" s="1"/>
      <c r="J1157" s="1"/>
      <c r="K1157" s="1"/>
      <c r="L1157" s="1"/>
      <c r="M1157" s="1"/>
      <c r="N1157" s="1"/>
    </row>
    <row r="1158">
      <c r="A1158" s="1"/>
      <c r="B1158" s="14" t="s">
        <v>2071</v>
      </c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"/>
    </row>
    <row r="1159">
      <c r="A1159" s="1"/>
      <c r="B1159" s="4" t="s">
        <v>2073</v>
      </c>
      <c r="D1159" s="9"/>
      <c r="E1159" s="17" t="s">
        <v>14</v>
      </c>
      <c r="F1159" s="1"/>
      <c r="G1159" s="1"/>
      <c r="H1159" s="1"/>
      <c r="I1159" s="1"/>
      <c r="J1159" s="1"/>
      <c r="K1159" s="1"/>
      <c r="L1159" s="1"/>
      <c r="M1159" s="1"/>
      <c r="N1159" s="1"/>
    </row>
    <row r="1160">
      <c r="A1160" s="1"/>
      <c r="B1160" s="14" t="s">
        <v>2075</v>
      </c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"/>
    </row>
    <row r="1161">
      <c r="A1161" s="1"/>
      <c r="B1161" s="4" t="s">
        <v>2076</v>
      </c>
      <c r="D1161" s="9"/>
      <c r="E1161" s="17" t="s">
        <v>14</v>
      </c>
      <c r="F1161" s="1"/>
      <c r="G1161" s="1"/>
      <c r="H1161" s="1"/>
      <c r="I1161" s="1"/>
      <c r="J1161" s="1"/>
      <c r="K1161" s="1"/>
      <c r="L1161" s="1"/>
      <c r="M1161" s="1"/>
      <c r="N1161" s="1"/>
    </row>
    <row r="1162">
      <c r="A1162" s="1"/>
      <c r="B1162" s="14" t="s">
        <v>2078</v>
      </c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"/>
    </row>
    <row r="1163">
      <c r="A1163" s="1"/>
      <c r="B1163" s="4" t="s">
        <v>2079</v>
      </c>
      <c r="D1163" s="9"/>
      <c r="E1163" s="17" t="s">
        <v>14</v>
      </c>
      <c r="F1163" s="1"/>
      <c r="G1163" s="1"/>
      <c r="H1163" s="1"/>
      <c r="I1163" s="1"/>
      <c r="J1163" s="1"/>
      <c r="K1163" s="1"/>
      <c r="L1163" s="1"/>
      <c r="M1163" s="1"/>
      <c r="N1163" s="1"/>
    </row>
    <row r="1164">
      <c r="A1164" s="1"/>
      <c r="B1164" s="14" t="s">
        <v>2082</v>
      </c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"/>
    </row>
    <row r="1165">
      <c r="A1165" s="1"/>
      <c r="B1165" s="4" t="s">
        <v>2084</v>
      </c>
      <c r="D1165" s="9"/>
      <c r="E1165" s="17" t="s">
        <v>14</v>
      </c>
      <c r="F1165" s="1"/>
      <c r="G1165" s="1"/>
      <c r="H1165" s="1"/>
      <c r="I1165" s="1"/>
      <c r="J1165" s="1"/>
      <c r="K1165" s="1"/>
      <c r="L1165" s="1"/>
      <c r="M1165" s="1"/>
      <c r="N1165" s="1"/>
    </row>
    <row r="1166">
      <c r="A1166" s="1"/>
      <c r="B1166" s="14" t="s">
        <v>2085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"/>
    </row>
    <row r="1167">
      <c r="A1167" s="1"/>
      <c r="B1167" s="4" t="s">
        <v>2086</v>
      </c>
      <c r="D1167" s="9"/>
      <c r="E1167" s="17" t="s">
        <v>14</v>
      </c>
      <c r="F1167" s="1"/>
      <c r="G1167" s="1"/>
      <c r="H1167" s="1"/>
      <c r="I1167" s="1"/>
      <c r="J1167" s="1"/>
      <c r="K1167" s="1"/>
      <c r="L1167" s="1"/>
      <c r="M1167" s="1"/>
      <c r="N1167" s="1"/>
    </row>
    <row r="1168">
      <c r="A1168" s="1"/>
      <c r="B1168" s="14" t="s">
        <v>2087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"/>
    </row>
    <row r="1169">
      <c r="A1169" s="1"/>
      <c r="B1169" s="4" t="s">
        <v>2088</v>
      </c>
      <c r="D1169" s="9"/>
      <c r="E1169" s="17" t="s">
        <v>14</v>
      </c>
      <c r="F1169" s="1"/>
      <c r="G1169" s="1"/>
      <c r="H1169" s="1"/>
      <c r="I1169" s="1"/>
      <c r="J1169" s="1"/>
      <c r="K1169" s="1"/>
      <c r="L1169" s="1"/>
      <c r="M1169" s="1"/>
      <c r="N1169" s="1"/>
    </row>
    <row r="1170">
      <c r="A1170" s="1"/>
      <c r="B1170" s="14" t="s">
        <v>2090</v>
      </c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"/>
    </row>
    <row r="1171">
      <c r="A1171" s="1"/>
      <c r="B1171" s="4" t="s">
        <v>2092</v>
      </c>
      <c r="D1171" s="9"/>
      <c r="E1171" s="17" t="s">
        <v>14</v>
      </c>
      <c r="F1171" s="1"/>
      <c r="G1171" s="1"/>
      <c r="H1171" s="1"/>
      <c r="I1171" s="1"/>
      <c r="J1171" s="1"/>
      <c r="K1171" s="1"/>
      <c r="L1171" s="1"/>
      <c r="M1171" s="1"/>
      <c r="N1171" s="1"/>
    </row>
    <row r="1172">
      <c r="A1172" s="1"/>
      <c r="B1172" s="14" t="s">
        <v>2094</v>
      </c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"/>
    </row>
    <row r="1173">
      <c r="A1173" s="1"/>
      <c r="B1173" s="4" t="s">
        <v>2096</v>
      </c>
      <c r="D1173" s="9"/>
      <c r="E1173" s="17" t="s">
        <v>14</v>
      </c>
      <c r="F1173" s="1"/>
      <c r="G1173" s="1"/>
      <c r="H1173" s="1"/>
      <c r="I1173" s="1"/>
      <c r="J1173" s="1"/>
      <c r="K1173" s="1"/>
      <c r="L1173" s="1"/>
      <c r="M1173" s="1"/>
      <c r="N1173" s="1"/>
    </row>
    <row r="1174">
      <c r="A1174" s="1"/>
      <c r="B1174" s="14" t="s">
        <v>2098</v>
      </c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"/>
    </row>
    <row r="1175">
      <c r="A1175" s="1"/>
      <c r="B1175" s="4" t="s">
        <v>2100</v>
      </c>
      <c r="D1175" s="9"/>
      <c r="E1175" s="17" t="s">
        <v>14</v>
      </c>
      <c r="F1175" s="1"/>
      <c r="G1175" s="1"/>
      <c r="H1175" s="1"/>
      <c r="I1175" s="1"/>
      <c r="J1175" s="1"/>
      <c r="K1175" s="1"/>
      <c r="L1175" s="1"/>
      <c r="M1175" s="1"/>
      <c r="N1175" s="1"/>
    </row>
    <row r="1176">
      <c r="A1176" s="1"/>
      <c r="B1176" s="14" t="s">
        <v>2101</v>
      </c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"/>
    </row>
    <row r="1177">
      <c r="A1177" s="1"/>
      <c r="B1177" s="4" t="s">
        <v>2102</v>
      </c>
      <c r="D1177" s="9"/>
      <c r="E1177" s="17" t="s">
        <v>14</v>
      </c>
      <c r="F1177" s="1"/>
      <c r="G1177" s="1"/>
      <c r="H1177" s="1"/>
      <c r="I1177" s="1"/>
      <c r="J1177" s="1"/>
      <c r="K1177" s="1"/>
      <c r="L1177" s="1"/>
      <c r="M1177" s="1"/>
      <c r="N1177" s="1"/>
    </row>
    <row r="1178">
      <c r="A1178" s="1"/>
      <c r="B1178" s="14" t="s">
        <v>2103</v>
      </c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"/>
    </row>
    <row r="1179">
      <c r="A1179" s="1"/>
      <c r="B1179" s="4" t="s">
        <v>2106</v>
      </c>
      <c r="D1179" s="9"/>
      <c r="E1179" s="17" t="s">
        <v>14</v>
      </c>
      <c r="F1179" s="1"/>
      <c r="G1179" s="1"/>
      <c r="H1179" s="1"/>
      <c r="I1179" s="1"/>
      <c r="J1179" s="1"/>
      <c r="K1179" s="1"/>
      <c r="L1179" s="1"/>
      <c r="M1179" s="1"/>
      <c r="N1179" s="1"/>
    </row>
    <row r="1180">
      <c r="A1180" s="1"/>
      <c r="B1180" s="14" t="s">
        <v>2108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"/>
    </row>
    <row r="1181">
      <c r="A1181" s="1"/>
      <c r="B1181" s="4" t="s">
        <v>2110</v>
      </c>
      <c r="D1181" s="9"/>
      <c r="E1181" s="17" t="s">
        <v>14</v>
      </c>
      <c r="F1181" s="1"/>
      <c r="G1181" s="1"/>
      <c r="H1181" s="1"/>
      <c r="I1181" s="1"/>
      <c r="J1181" s="1"/>
      <c r="K1181" s="1"/>
      <c r="L1181" s="1"/>
      <c r="M1181" s="1"/>
      <c r="N1181" s="1"/>
    </row>
    <row r="1182">
      <c r="A1182" s="1"/>
      <c r="B1182" s="14" t="s">
        <v>2111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"/>
    </row>
    <row r="1183">
      <c r="A1183" s="1"/>
      <c r="B1183" s="4" t="s">
        <v>2112</v>
      </c>
      <c r="D1183" s="9"/>
      <c r="E1183" s="17" t="s">
        <v>14</v>
      </c>
      <c r="F1183" s="1"/>
      <c r="G1183" s="1"/>
      <c r="H1183" s="1"/>
      <c r="I1183" s="1"/>
      <c r="J1183" s="1"/>
      <c r="K1183" s="1"/>
      <c r="L1183" s="1"/>
      <c r="M1183" s="1"/>
      <c r="N1183" s="1"/>
    </row>
    <row r="1184">
      <c r="A1184" s="1"/>
      <c r="B1184" s="14" t="s">
        <v>2113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"/>
    </row>
    <row r="1185">
      <c r="A1185" s="1"/>
      <c r="B1185" s="4" t="s">
        <v>2114</v>
      </c>
      <c r="D1185" s="9"/>
      <c r="E1185" s="17" t="s">
        <v>14</v>
      </c>
      <c r="F1185" s="18" t="str">
        <f>HYPERLINK("https://www.twitch.tv/videos/99359906",'Players&gt;List'!$B17)</f>
        <v>[GOL]</v>
      </c>
      <c r="G1185" s="18" t="str">
        <f>HYPERLINK("https://www.youtube.com/watch?v=Wb0P3Te78vU&amp;index=2&amp;list=PLbVGARhZL4D0faVs8Z-bqi5q_S0lFim2X",'Players&gt;List'!$B10)</f>
        <v>[CAM]</v>
      </c>
      <c r="H1185" s="18" t="str">
        <f>HYPERLINK("https://www.youtube.com/watch?v=K-msl8IiSA0&amp;index=2&amp;t=0s&amp;list=PLbVGARhZL4D0faVs8Z-bqi5q_S0lFim2X",'Players&gt;List'!$B19)</f>
        <v>[HIT]</v>
      </c>
      <c r="I1185" s="18" t="str">
        <f>HYPERLINK("https://www.youtube.com/watch?v=MW2Ngg9le58&amp;index=4&amp;list=PLbVGARhZL4D0faVs8Z-bqi5q_S0lFim2X",'Players&gt;List'!$B18)</f>
        <v>[HGB]</v>
      </c>
      <c r="J1185" s="18" t="str">
        <f>HYPERLINK("https://www.youtube.com/watch?v=XzVZpB9sDm4&amp;list=PLbVGARhZL4D0faVs8Z-bqi5q_S0lFim2X&amp;index=3",'Players&gt;List'!$B16)</f>
        <v>[GEA]</v>
      </c>
      <c r="K1185" s="1"/>
      <c r="L1185" s="1"/>
      <c r="M1185" s="1"/>
      <c r="N1185" s="1"/>
    </row>
    <row r="1186">
      <c r="A1186" s="1"/>
      <c r="B1186" s="14" t="s">
        <v>2123</v>
      </c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"/>
    </row>
    <row r="1187">
      <c r="A1187" s="1"/>
      <c r="B1187" s="4" t="s">
        <v>2124</v>
      </c>
      <c r="D1187" s="9"/>
      <c r="E1187" s="17" t="s">
        <v>14</v>
      </c>
      <c r="F1187" s="1"/>
      <c r="G1187" s="1"/>
      <c r="H1187" s="1"/>
      <c r="I1187" s="1"/>
      <c r="J1187" s="1"/>
      <c r="K1187" s="1"/>
      <c r="L1187" s="1"/>
      <c r="M1187" s="1"/>
      <c r="N1187" s="1"/>
    </row>
    <row r="1188">
      <c r="A1188" s="1"/>
      <c r="B1188" s="14" t="s">
        <v>2125</v>
      </c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"/>
    </row>
    <row r="1189">
      <c r="A1189" s="1"/>
      <c r="B1189" s="4" t="s">
        <v>2126</v>
      </c>
      <c r="D1189" s="9"/>
      <c r="E1189" s="17" t="s">
        <v>14</v>
      </c>
      <c r="F1189" s="1"/>
      <c r="G1189" s="1"/>
      <c r="H1189" s="1"/>
      <c r="I1189" s="1"/>
      <c r="J1189" s="1"/>
      <c r="K1189" s="1"/>
      <c r="L1189" s="1"/>
      <c r="M1189" s="1"/>
      <c r="N1189" s="1"/>
    </row>
    <row r="1190">
      <c r="A1190" s="1"/>
      <c r="B1190" s="14" t="s">
        <v>2128</v>
      </c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"/>
    </row>
    <row r="1191">
      <c r="A1191" s="1"/>
      <c r="B1191" s="4" t="s">
        <v>2131</v>
      </c>
      <c r="D1191" s="9"/>
      <c r="E1191" s="17" t="s">
        <v>14</v>
      </c>
      <c r="F1191" s="1"/>
      <c r="G1191" s="1"/>
      <c r="H1191" s="1"/>
      <c r="I1191" s="1"/>
      <c r="J1191" s="1"/>
      <c r="K1191" s="1"/>
      <c r="L1191" s="1"/>
      <c r="M1191" s="1"/>
      <c r="N1191" s="1"/>
    </row>
    <row r="1192">
      <c r="A1192" s="1"/>
      <c r="B1192" s="14" t="s">
        <v>2132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"/>
    </row>
    <row r="1193">
      <c r="A1193" s="1"/>
      <c r="B1193" s="4" t="s">
        <v>2134</v>
      </c>
      <c r="D1193" s="9"/>
      <c r="E1193" s="17" t="s">
        <v>14</v>
      </c>
      <c r="F1193" s="1"/>
      <c r="G1193" s="1"/>
      <c r="H1193" s="1"/>
      <c r="I1193" s="1"/>
      <c r="J1193" s="1"/>
      <c r="K1193" s="1"/>
      <c r="L1193" s="1"/>
      <c r="M1193" s="1"/>
      <c r="N1193" s="1"/>
    </row>
    <row r="1194">
      <c r="A1194" s="1"/>
      <c r="B1194" s="14" t="s">
        <v>2135</v>
      </c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"/>
    </row>
    <row r="1195">
      <c r="A1195" s="1"/>
      <c r="B1195" s="4" t="s">
        <v>2138</v>
      </c>
      <c r="D1195" s="9"/>
      <c r="E1195" s="17" t="s">
        <v>14</v>
      </c>
      <c r="F1195" s="1"/>
      <c r="G1195" s="1"/>
      <c r="H1195" s="1"/>
      <c r="I1195" s="1"/>
      <c r="J1195" s="1"/>
      <c r="K1195" s="1"/>
      <c r="L1195" s="1"/>
      <c r="M1195" s="1"/>
      <c r="N1195" s="1"/>
    </row>
    <row r="1196">
      <c r="A1196" s="1"/>
      <c r="B1196" s="14" t="s">
        <v>2139</v>
      </c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"/>
    </row>
    <row r="1197">
      <c r="A1197" s="1"/>
      <c r="B1197" s="4" t="s">
        <v>2141</v>
      </c>
      <c r="D1197" s="9"/>
      <c r="E1197" s="17" t="s">
        <v>14</v>
      </c>
      <c r="F1197" s="18" t="str">
        <f>HYPERLINK("https://www.youtube.com/watch?v=GwAjOUAJAqk",'Players&gt;List'!$B18)</f>
        <v>[HGB]</v>
      </c>
      <c r="G1197" s="1"/>
      <c r="H1197" s="1"/>
      <c r="I1197" s="1"/>
      <c r="J1197" s="1"/>
      <c r="K1197" s="1"/>
      <c r="L1197" s="1"/>
      <c r="M1197" s="1"/>
      <c r="N1197" s="1"/>
    </row>
    <row r="1198">
      <c r="A1198" s="1"/>
      <c r="B1198" s="14" t="s">
        <v>2142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"/>
    </row>
    <row r="1199">
      <c r="A1199" s="1"/>
      <c r="B1199" s="4" t="s">
        <v>2143</v>
      </c>
      <c r="D1199" s="9"/>
      <c r="E1199" s="17" t="s">
        <v>14</v>
      </c>
      <c r="F1199" s="1"/>
      <c r="G1199" s="1"/>
      <c r="H1199" s="1"/>
      <c r="I1199" s="1"/>
      <c r="J1199" s="1"/>
      <c r="K1199" s="1"/>
      <c r="L1199" s="1"/>
      <c r="M1199" s="1"/>
      <c r="N1199" s="1"/>
    </row>
    <row r="1200">
      <c r="A1200" s="1"/>
      <c r="B1200" s="14" t="s">
        <v>2144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"/>
    </row>
    <row r="1201">
      <c r="A1201" s="1"/>
      <c r="B1201" s="4" t="s">
        <v>2145</v>
      </c>
      <c r="D1201" s="9"/>
      <c r="E1201" s="17" t="s">
        <v>14</v>
      </c>
      <c r="F1201" s="1"/>
      <c r="G1201" s="1"/>
      <c r="H1201" s="1"/>
      <c r="I1201" s="1"/>
      <c r="J1201" s="1"/>
      <c r="K1201" s="1"/>
      <c r="L1201" s="1"/>
      <c r="M1201" s="1"/>
      <c r="N1201" s="1"/>
    </row>
    <row r="1202">
      <c r="A1202" s="1"/>
      <c r="B1202" s="14" t="s">
        <v>2147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"/>
    </row>
    <row r="1203">
      <c r="A1203" s="1"/>
      <c r="B1203" s="4" t="s">
        <v>2149</v>
      </c>
      <c r="D1203" s="9"/>
      <c r="E1203" s="17" t="s">
        <v>14</v>
      </c>
      <c r="F1203" s="1"/>
      <c r="G1203" s="1"/>
      <c r="H1203" s="1"/>
      <c r="I1203" s="1"/>
      <c r="J1203" s="1"/>
      <c r="K1203" s="1"/>
      <c r="L1203" s="1"/>
      <c r="M1203" s="1"/>
      <c r="N1203" s="1"/>
    </row>
    <row r="1204">
      <c r="A1204" s="1"/>
      <c r="B1204" s="14" t="s">
        <v>2151</v>
      </c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"/>
    </row>
    <row r="1205">
      <c r="A1205" s="1"/>
      <c r="B1205" s="4" t="s">
        <v>2152</v>
      </c>
      <c r="D1205" s="9"/>
      <c r="E1205" s="17" t="s">
        <v>14</v>
      </c>
      <c r="F1205" s="18" t="str">
        <f>HYPERLINK("https://www.youtube.com/watch?v=ooFdOwdJjeo",'Players&gt;List'!$B9)</f>
        <v>[AWE]</v>
      </c>
      <c r="G1205" s="18" t="str">
        <f>HYPERLINK("https://www.youtube.com/watch?v=QevjhBjlfAI&amp;t=0s&amp;list=PLbU6uWaIKemqNvTeRxK-Ay6PRg9iwCKVi&amp;index=9",'Players&gt;List'!$B19)</f>
        <v>[HIT]</v>
      </c>
      <c r="H1205" s="1"/>
      <c r="I1205" s="1"/>
      <c r="J1205" s="1"/>
      <c r="K1205" s="1"/>
      <c r="L1205" s="1"/>
      <c r="M1205" s="1"/>
      <c r="N1205" s="1"/>
    </row>
    <row r="1206">
      <c r="A1206" s="1"/>
      <c r="B1206" s="23"/>
      <c r="C1206" s="23"/>
      <c r="D1206" s="23"/>
      <c r="E1206" s="9"/>
      <c r="F1206" s="1"/>
      <c r="G1206" s="1"/>
      <c r="H1206" s="1"/>
      <c r="I1206" s="1"/>
      <c r="J1206" s="1"/>
      <c r="K1206" s="1"/>
      <c r="L1206" s="1"/>
      <c r="M1206" s="1"/>
      <c r="N1206" s="1"/>
    </row>
  </sheetData>
  <mergeCells count="1207">
    <mergeCell ref="B464:M464"/>
    <mergeCell ref="B465:C465"/>
    <mergeCell ref="B467:C467"/>
    <mergeCell ref="B449:C449"/>
    <mergeCell ref="B451:C451"/>
    <mergeCell ref="B459:C459"/>
    <mergeCell ref="B455:C455"/>
    <mergeCell ref="B461:C461"/>
    <mergeCell ref="B457:C457"/>
    <mergeCell ref="B456:M456"/>
    <mergeCell ref="B452:M452"/>
    <mergeCell ref="B454:M454"/>
    <mergeCell ref="B366:M366"/>
    <mergeCell ref="B360:M360"/>
    <mergeCell ref="B362:M362"/>
    <mergeCell ref="B364:M364"/>
    <mergeCell ref="B358:M358"/>
    <mergeCell ref="B468:M468"/>
    <mergeCell ref="B378:M378"/>
    <mergeCell ref="B399:C399"/>
    <mergeCell ref="B397:C397"/>
    <mergeCell ref="B384:M384"/>
    <mergeCell ref="B401:C401"/>
    <mergeCell ref="B395:C395"/>
    <mergeCell ref="B393:C393"/>
    <mergeCell ref="B391:C391"/>
    <mergeCell ref="B392:M392"/>
    <mergeCell ref="B394:M394"/>
    <mergeCell ref="B503:C503"/>
    <mergeCell ref="B495:C495"/>
    <mergeCell ref="B501:C501"/>
    <mergeCell ref="B497:C497"/>
    <mergeCell ref="B499:C499"/>
    <mergeCell ref="B489:C489"/>
    <mergeCell ref="B479:C479"/>
    <mergeCell ref="B481:C481"/>
    <mergeCell ref="B485:C485"/>
    <mergeCell ref="B487:C487"/>
    <mergeCell ref="B483:C483"/>
    <mergeCell ref="B559:C559"/>
    <mergeCell ref="B557:C557"/>
    <mergeCell ref="B549:C549"/>
    <mergeCell ref="B553:C553"/>
    <mergeCell ref="B551:C551"/>
    <mergeCell ref="B491:C491"/>
    <mergeCell ref="B493:C493"/>
    <mergeCell ref="B515:C515"/>
    <mergeCell ref="B527:C527"/>
    <mergeCell ref="B517:C517"/>
    <mergeCell ref="B475:C475"/>
    <mergeCell ref="B477:C477"/>
    <mergeCell ref="B441:C441"/>
    <mergeCell ref="B439:C439"/>
    <mergeCell ref="B513:C513"/>
    <mergeCell ref="B509:C509"/>
    <mergeCell ref="B505:C505"/>
    <mergeCell ref="B511:C511"/>
    <mergeCell ref="B507:C507"/>
    <mergeCell ref="B444:M444"/>
    <mergeCell ref="B446:M446"/>
    <mergeCell ref="B413:C413"/>
    <mergeCell ref="B411:C411"/>
    <mergeCell ref="B437:C437"/>
    <mergeCell ref="B435:C435"/>
    <mergeCell ref="B419:C419"/>
    <mergeCell ref="B409:C409"/>
    <mergeCell ref="B556:M556"/>
    <mergeCell ref="B554:M554"/>
    <mergeCell ref="B484:M484"/>
    <mergeCell ref="B494:M494"/>
    <mergeCell ref="B500:M500"/>
    <mergeCell ref="B498:M498"/>
    <mergeCell ref="B496:M496"/>
    <mergeCell ref="B490:M490"/>
    <mergeCell ref="B488:M488"/>
    <mergeCell ref="B486:M486"/>
    <mergeCell ref="B476:M476"/>
    <mergeCell ref="B472:M472"/>
    <mergeCell ref="B474:M474"/>
    <mergeCell ref="B473:C473"/>
    <mergeCell ref="B471:C471"/>
    <mergeCell ref="B478:M478"/>
    <mergeCell ref="B482:M482"/>
    <mergeCell ref="B480:M480"/>
    <mergeCell ref="B715:C715"/>
    <mergeCell ref="B698:M698"/>
    <mergeCell ref="B699:C699"/>
    <mergeCell ref="B703:C703"/>
    <mergeCell ref="B705:C705"/>
    <mergeCell ref="B711:C711"/>
    <mergeCell ref="B714:M714"/>
    <mergeCell ref="B905:C905"/>
    <mergeCell ref="B907:C907"/>
    <mergeCell ref="B908:M908"/>
    <mergeCell ref="B906:M906"/>
    <mergeCell ref="B904:M904"/>
    <mergeCell ref="B784:M784"/>
    <mergeCell ref="B662:M662"/>
    <mergeCell ref="B676:M676"/>
    <mergeCell ref="B776:M776"/>
    <mergeCell ref="B861:C861"/>
    <mergeCell ref="B747:C747"/>
    <mergeCell ref="B749:C749"/>
    <mergeCell ref="B727:C727"/>
    <mergeCell ref="B722:M722"/>
    <mergeCell ref="B726:M726"/>
    <mergeCell ref="B724:M724"/>
    <mergeCell ref="B718:M718"/>
    <mergeCell ref="B720:M720"/>
    <mergeCell ref="B731:C731"/>
    <mergeCell ref="B732:M732"/>
    <mergeCell ref="B791:C791"/>
    <mergeCell ref="B733:C733"/>
    <mergeCell ref="B741:C741"/>
    <mergeCell ref="B751:C751"/>
    <mergeCell ref="B716:M716"/>
    <mergeCell ref="B730:M730"/>
    <mergeCell ref="B701:C701"/>
    <mergeCell ref="B702:M702"/>
    <mergeCell ref="B535:C535"/>
    <mergeCell ref="B533:C533"/>
    <mergeCell ref="B545:C545"/>
    <mergeCell ref="B519:C519"/>
    <mergeCell ref="B521:C521"/>
    <mergeCell ref="B523:C523"/>
    <mergeCell ref="B567:C567"/>
    <mergeCell ref="B569:C569"/>
    <mergeCell ref="B587:C587"/>
    <mergeCell ref="B572:M572"/>
    <mergeCell ref="B578:M578"/>
    <mergeCell ref="B584:M584"/>
    <mergeCell ref="B580:M580"/>
    <mergeCell ref="B582:M582"/>
    <mergeCell ref="B546:M546"/>
    <mergeCell ref="B544:M544"/>
    <mergeCell ref="B594:M594"/>
    <mergeCell ref="B592:M592"/>
    <mergeCell ref="B586:M586"/>
    <mergeCell ref="B596:M596"/>
    <mergeCell ref="B598:M598"/>
    <mergeCell ref="B588:M588"/>
    <mergeCell ref="B621:C621"/>
    <mergeCell ref="B625:C625"/>
    <mergeCell ref="B623:C623"/>
    <mergeCell ref="B599:C599"/>
    <mergeCell ref="B597:C597"/>
    <mergeCell ref="B617:C617"/>
    <mergeCell ref="B619:C619"/>
    <mergeCell ref="B613:C613"/>
    <mergeCell ref="B615:C615"/>
    <mergeCell ref="B631:C631"/>
    <mergeCell ref="B671:C671"/>
    <mergeCell ref="B713:C713"/>
    <mergeCell ref="B709:C709"/>
    <mergeCell ref="B707:C707"/>
    <mergeCell ref="B543:C543"/>
    <mergeCell ref="B541:C541"/>
    <mergeCell ref="B425:C425"/>
    <mergeCell ref="B423:C423"/>
    <mergeCell ref="B429:C429"/>
    <mergeCell ref="B427:C427"/>
    <mergeCell ref="B415:C415"/>
    <mergeCell ref="B417:C417"/>
    <mergeCell ref="B589:C589"/>
    <mergeCell ref="B591:C591"/>
    <mergeCell ref="B629:C629"/>
    <mergeCell ref="B627:C627"/>
    <mergeCell ref="B633:C633"/>
    <mergeCell ref="B626:M626"/>
    <mergeCell ref="B624:M624"/>
    <mergeCell ref="B600:M600"/>
    <mergeCell ref="B616:M616"/>
    <mergeCell ref="B614:M614"/>
    <mergeCell ref="B618:M618"/>
    <mergeCell ref="B620:M620"/>
    <mergeCell ref="B622:M622"/>
    <mergeCell ref="B602:M602"/>
    <mergeCell ref="B542:M542"/>
    <mergeCell ref="B540:M540"/>
    <mergeCell ref="B442:M442"/>
    <mergeCell ref="B414:M414"/>
    <mergeCell ref="B524:M524"/>
    <mergeCell ref="B516:M516"/>
    <mergeCell ref="B514:M514"/>
    <mergeCell ref="B528:M528"/>
    <mergeCell ref="B526:M526"/>
    <mergeCell ref="B752:M752"/>
    <mergeCell ref="B762:M762"/>
    <mergeCell ref="B753:C753"/>
    <mergeCell ref="B757:C757"/>
    <mergeCell ref="B759:C759"/>
    <mergeCell ref="B729:C729"/>
    <mergeCell ref="B728:M728"/>
    <mergeCell ref="B700:M700"/>
    <mergeCell ref="B706:M706"/>
    <mergeCell ref="B708:M708"/>
    <mergeCell ref="B710:M710"/>
    <mergeCell ref="B704:M704"/>
    <mergeCell ref="B712:M712"/>
    <mergeCell ref="B632:M632"/>
    <mergeCell ref="B634:M634"/>
    <mergeCell ref="B630:M630"/>
    <mergeCell ref="B628:M628"/>
    <mergeCell ref="B802:M802"/>
    <mergeCell ref="B804:M804"/>
    <mergeCell ref="B803:C803"/>
    <mergeCell ref="B800:M800"/>
    <mergeCell ref="B812:M812"/>
    <mergeCell ref="B814:M814"/>
    <mergeCell ref="B816:M816"/>
    <mergeCell ref="B818:M818"/>
    <mergeCell ref="B808:M808"/>
    <mergeCell ref="B806:M806"/>
    <mergeCell ref="B801:C801"/>
    <mergeCell ref="B678:M678"/>
    <mergeCell ref="B688:M688"/>
    <mergeCell ref="B684:M684"/>
    <mergeCell ref="B687:C687"/>
    <mergeCell ref="B697:C697"/>
    <mergeCell ref="B725:C725"/>
    <mergeCell ref="B717:C717"/>
    <mergeCell ref="B719:C719"/>
    <mergeCell ref="B721:C721"/>
    <mergeCell ref="B723:C723"/>
    <mergeCell ref="B739:C739"/>
    <mergeCell ref="B738:M738"/>
    <mergeCell ref="B740:M740"/>
    <mergeCell ref="B736:M736"/>
    <mergeCell ref="B737:C737"/>
    <mergeCell ref="B734:M734"/>
    <mergeCell ref="B735:C735"/>
    <mergeCell ref="B675:C675"/>
    <mergeCell ref="B673:C673"/>
    <mergeCell ref="B689:C689"/>
    <mergeCell ref="B693:C693"/>
    <mergeCell ref="B834:M834"/>
    <mergeCell ref="B832:M832"/>
    <mergeCell ref="B858:M858"/>
    <mergeCell ref="B810:M810"/>
    <mergeCell ref="B824:M824"/>
    <mergeCell ref="B828:M828"/>
    <mergeCell ref="B838:M838"/>
    <mergeCell ref="B827:C827"/>
    <mergeCell ref="B815:C815"/>
    <mergeCell ref="B670:M670"/>
    <mergeCell ref="B668:M668"/>
    <mergeCell ref="B664:M664"/>
    <mergeCell ref="B674:M674"/>
    <mergeCell ref="B672:M672"/>
    <mergeCell ref="B666:M666"/>
    <mergeCell ref="B682:M682"/>
    <mergeCell ref="B680:M680"/>
    <mergeCell ref="B681:C681"/>
    <mergeCell ref="B677:C677"/>
    <mergeCell ref="B679:C679"/>
    <mergeCell ref="B695:C695"/>
    <mergeCell ref="B685:C685"/>
    <mergeCell ref="B683:C683"/>
    <mergeCell ref="B785:C785"/>
    <mergeCell ref="B767:C767"/>
    <mergeCell ref="B777:C777"/>
    <mergeCell ref="B769:C769"/>
    <mergeCell ref="B771:C771"/>
    <mergeCell ref="B773:C773"/>
    <mergeCell ref="B768:M768"/>
    <mergeCell ref="B765:C765"/>
    <mergeCell ref="B764:M764"/>
    <mergeCell ref="B758:M758"/>
    <mergeCell ref="B761:C761"/>
    <mergeCell ref="B763:C763"/>
    <mergeCell ref="B756:M756"/>
    <mergeCell ref="B754:M754"/>
    <mergeCell ref="B755:C755"/>
    <mergeCell ref="B750:M750"/>
    <mergeCell ref="B748:M748"/>
    <mergeCell ref="B744:M744"/>
    <mergeCell ref="B746:M746"/>
    <mergeCell ref="B742:M742"/>
    <mergeCell ref="B743:C743"/>
    <mergeCell ref="B745:C745"/>
    <mergeCell ref="B690:M690"/>
    <mergeCell ref="B692:M692"/>
    <mergeCell ref="B534:M534"/>
    <mergeCell ref="B532:M532"/>
    <mergeCell ref="B530:M530"/>
    <mergeCell ref="B558:M558"/>
    <mergeCell ref="B536:M536"/>
    <mergeCell ref="B552:M552"/>
    <mergeCell ref="B548:M548"/>
    <mergeCell ref="B550:M550"/>
    <mergeCell ref="B538:M538"/>
    <mergeCell ref="B407:C407"/>
    <mergeCell ref="B453:C453"/>
    <mergeCell ref="B781:C781"/>
    <mergeCell ref="B779:C779"/>
    <mergeCell ref="B783:C783"/>
    <mergeCell ref="B669:C669"/>
    <mergeCell ref="B775:C775"/>
    <mergeCell ref="B421:C421"/>
    <mergeCell ref="B555:C555"/>
    <mergeCell ref="B525:C525"/>
    <mergeCell ref="B531:C531"/>
    <mergeCell ref="B529:C529"/>
    <mergeCell ref="B539:C539"/>
    <mergeCell ref="B537:C537"/>
    <mergeCell ref="B547:C547"/>
    <mergeCell ref="B566:M566"/>
    <mergeCell ref="B568:M568"/>
    <mergeCell ref="B565:C565"/>
    <mergeCell ref="B561:C561"/>
    <mergeCell ref="B576:M576"/>
    <mergeCell ref="B560:M560"/>
    <mergeCell ref="B562:M562"/>
    <mergeCell ref="B570:M570"/>
    <mergeCell ref="B577:C577"/>
    <mergeCell ref="B508:M508"/>
    <mergeCell ref="B512:M512"/>
    <mergeCell ref="B510:M510"/>
    <mergeCell ref="B492:M492"/>
    <mergeCell ref="B522:M522"/>
    <mergeCell ref="B518:M518"/>
    <mergeCell ref="B520:M520"/>
    <mergeCell ref="B504:M504"/>
    <mergeCell ref="B506:M506"/>
    <mergeCell ref="B502:M502"/>
    <mergeCell ref="B563:C563"/>
    <mergeCell ref="B564:M564"/>
    <mergeCell ref="B575:C575"/>
    <mergeCell ref="B574:M574"/>
    <mergeCell ref="B571:C571"/>
    <mergeCell ref="B573:C573"/>
    <mergeCell ref="B585:C585"/>
    <mergeCell ref="B583:C583"/>
    <mergeCell ref="B579:C579"/>
    <mergeCell ref="B581:C581"/>
    <mergeCell ref="B593:C593"/>
    <mergeCell ref="B603:C603"/>
    <mergeCell ref="B605:C605"/>
    <mergeCell ref="B595:C595"/>
    <mergeCell ref="B590:M590"/>
    <mergeCell ref="B993:C993"/>
    <mergeCell ref="B979:C979"/>
    <mergeCell ref="B987:C987"/>
    <mergeCell ref="B985:C985"/>
    <mergeCell ref="B989:C989"/>
    <mergeCell ref="B991:C991"/>
    <mergeCell ref="B981:C981"/>
    <mergeCell ref="B983:C983"/>
    <mergeCell ref="B977:C977"/>
    <mergeCell ref="B969:C969"/>
    <mergeCell ref="B973:C973"/>
    <mergeCell ref="B971:C971"/>
    <mergeCell ref="B975:C975"/>
    <mergeCell ref="B967:C967"/>
    <mergeCell ref="B974:M974"/>
    <mergeCell ref="B970:M970"/>
    <mergeCell ref="B972:M972"/>
    <mergeCell ref="B968:M968"/>
    <mergeCell ref="B976:M976"/>
    <mergeCell ref="B978:M978"/>
    <mergeCell ref="B980:M980"/>
    <mergeCell ref="B982:M982"/>
    <mergeCell ref="B984:M984"/>
    <mergeCell ref="B986:M986"/>
    <mergeCell ref="B988:M988"/>
    <mergeCell ref="B990:M990"/>
    <mergeCell ref="B957:C957"/>
    <mergeCell ref="B958:M958"/>
    <mergeCell ref="B955:C955"/>
    <mergeCell ref="B953:C953"/>
    <mergeCell ref="B961:C961"/>
    <mergeCell ref="B959:C959"/>
    <mergeCell ref="B963:C963"/>
    <mergeCell ref="B965:C965"/>
    <mergeCell ref="B995:C995"/>
    <mergeCell ref="B964:M964"/>
    <mergeCell ref="B960:M960"/>
    <mergeCell ref="B954:M954"/>
    <mergeCell ref="B956:M956"/>
    <mergeCell ref="B952:M952"/>
    <mergeCell ref="B966:M966"/>
    <mergeCell ref="B925:C925"/>
    <mergeCell ref="B924:M924"/>
    <mergeCell ref="B926:M926"/>
    <mergeCell ref="B922:M922"/>
    <mergeCell ref="B914:M914"/>
    <mergeCell ref="B916:M916"/>
    <mergeCell ref="B915:C915"/>
    <mergeCell ref="B918:M918"/>
    <mergeCell ref="B919:C919"/>
    <mergeCell ref="B934:M934"/>
    <mergeCell ref="B936:M936"/>
    <mergeCell ref="B942:M942"/>
    <mergeCell ref="B938:M938"/>
    <mergeCell ref="B940:M940"/>
    <mergeCell ref="B939:C939"/>
    <mergeCell ref="B951:C951"/>
    <mergeCell ref="B947:C947"/>
    <mergeCell ref="B909:C909"/>
    <mergeCell ref="B910:M910"/>
    <mergeCell ref="B949:C949"/>
    <mergeCell ref="B933:C933"/>
    <mergeCell ref="B935:C935"/>
    <mergeCell ref="B928:M928"/>
    <mergeCell ref="B932:M932"/>
    <mergeCell ref="B911:C911"/>
    <mergeCell ref="B912:M912"/>
    <mergeCell ref="B817:C817"/>
    <mergeCell ref="B821:C821"/>
    <mergeCell ref="B637:C637"/>
    <mergeCell ref="B635:C635"/>
    <mergeCell ref="B645:C645"/>
    <mergeCell ref="B647:C647"/>
    <mergeCell ref="B641:C641"/>
    <mergeCell ref="B639:C639"/>
    <mergeCell ref="B819:C819"/>
    <mergeCell ref="B831:C831"/>
    <mergeCell ref="B833:C833"/>
    <mergeCell ref="B836:M836"/>
    <mergeCell ref="B852:M852"/>
    <mergeCell ref="B850:M850"/>
    <mergeCell ref="B844:M844"/>
    <mergeCell ref="B837:C837"/>
    <mergeCell ref="B778:M778"/>
    <mergeCell ref="B780:M780"/>
    <mergeCell ref="B686:M686"/>
    <mergeCell ref="B691:C691"/>
    <mergeCell ref="B646:M646"/>
    <mergeCell ref="B644:M644"/>
    <mergeCell ref="B876:M876"/>
    <mergeCell ref="B874:M874"/>
    <mergeCell ref="B610:M610"/>
    <mergeCell ref="B611:C611"/>
    <mergeCell ref="B601:C601"/>
    <mergeCell ref="B612:M612"/>
    <mergeCell ref="B608:M608"/>
    <mergeCell ref="B606:M606"/>
    <mergeCell ref="B604:M604"/>
    <mergeCell ref="B609:C609"/>
    <mergeCell ref="B607:C607"/>
    <mergeCell ref="B992:M992"/>
    <mergeCell ref="B962:M962"/>
    <mergeCell ref="B927:C927"/>
    <mergeCell ref="B929:C929"/>
    <mergeCell ref="B930:M930"/>
    <mergeCell ref="B994:M994"/>
    <mergeCell ref="B920:M920"/>
    <mergeCell ref="B901:C901"/>
    <mergeCell ref="B917:C917"/>
    <mergeCell ref="B946:M946"/>
    <mergeCell ref="B944:M944"/>
    <mergeCell ref="B945:C945"/>
    <mergeCell ref="B894:M894"/>
    <mergeCell ref="B896:M896"/>
    <mergeCell ref="B903:C903"/>
    <mergeCell ref="B913:C913"/>
    <mergeCell ref="B923:C923"/>
    <mergeCell ref="B921:C921"/>
    <mergeCell ref="B931:C931"/>
    <mergeCell ref="B937:C937"/>
    <mergeCell ref="B941:C941"/>
    <mergeCell ref="B943:C943"/>
    <mergeCell ref="B948:M948"/>
    <mergeCell ref="B950:M950"/>
    <mergeCell ref="B242:M242"/>
    <mergeCell ref="B240:M240"/>
    <mergeCell ref="B244:M244"/>
    <mergeCell ref="B246:M246"/>
    <mergeCell ref="B220:M220"/>
    <mergeCell ref="B224:M224"/>
    <mergeCell ref="B222:M222"/>
    <mergeCell ref="B223:C223"/>
    <mergeCell ref="B252:M252"/>
    <mergeCell ref="B254:M254"/>
    <mergeCell ref="B259:C259"/>
    <mergeCell ref="B247:C247"/>
    <mergeCell ref="B256:M256"/>
    <mergeCell ref="B258:M258"/>
    <mergeCell ref="B216:M216"/>
    <mergeCell ref="B231:C231"/>
    <mergeCell ref="B230:M230"/>
    <mergeCell ref="B218:M218"/>
    <mergeCell ref="B229:C229"/>
    <mergeCell ref="B225:C225"/>
    <mergeCell ref="B199:C199"/>
    <mergeCell ref="B201:C201"/>
    <mergeCell ref="B217:C217"/>
    <mergeCell ref="B211:C211"/>
    <mergeCell ref="B213:C213"/>
    <mergeCell ref="B197:C197"/>
    <mergeCell ref="B205:C205"/>
    <mergeCell ref="B207:C207"/>
    <mergeCell ref="B215:C215"/>
    <mergeCell ref="B203:C203"/>
    <mergeCell ref="B181:C181"/>
    <mergeCell ref="B180:M180"/>
    <mergeCell ref="B178:M178"/>
    <mergeCell ref="B177:C177"/>
    <mergeCell ref="B175:C175"/>
    <mergeCell ref="B174:M174"/>
    <mergeCell ref="B176:M176"/>
    <mergeCell ref="B179:C179"/>
    <mergeCell ref="B169:C169"/>
    <mergeCell ref="B167:C167"/>
    <mergeCell ref="B166:M166"/>
    <mergeCell ref="B165:C165"/>
    <mergeCell ref="B168:M168"/>
    <mergeCell ref="B172:M172"/>
    <mergeCell ref="B170:M170"/>
    <mergeCell ref="B171:C171"/>
    <mergeCell ref="B173:C173"/>
    <mergeCell ref="B140:M140"/>
    <mergeCell ref="B142:M142"/>
    <mergeCell ref="B141:C141"/>
    <mergeCell ref="B131:C131"/>
    <mergeCell ref="B133:C133"/>
    <mergeCell ref="B148:M148"/>
    <mergeCell ref="B144:M144"/>
    <mergeCell ref="B146:M146"/>
    <mergeCell ref="B132:M132"/>
    <mergeCell ref="B130:M130"/>
    <mergeCell ref="B139:C139"/>
    <mergeCell ref="B137:C137"/>
    <mergeCell ref="B135:C135"/>
    <mergeCell ref="B196:M196"/>
    <mergeCell ref="B194:M194"/>
    <mergeCell ref="B195:C195"/>
    <mergeCell ref="B183:C183"/>
    <mergeCell ref="B184:M184"/>
    <mergeCell ref="B191:C191"/>
    <mergeCell ref="B185:C185"/>
    <mergeCell ref="B192:M192"/>
    <mergeCell ref="B186:M186"/>
    <mergeCell ref="B198:M198"/>
    <mergeCell ref="B182:M182"/>
    <mergeCell ref="B188:M188"/>
    <mergeCell ref="B200:M200"/>
    <mergeCell ref="B190:M190"/>
    <mergeCell ref="B193:C193"/>
    <mergeCell ref="B250:M250"/>
    <mergeCell ref="B248:M248"/>
    <mergeCell ref="B253:C253"/>
    <mergeCell ref="B255:C255"/>
    <mergeCell ref="B160:M160"/>
    <mergeCell ref="B158:M158"/>
    <mergeCell ref="B162:M162"/>
    <mergeCell ref="B159:C159"/>
    <mergeCell ref="B161:C161"/>
    <mergeCell ref="B164:M164"/>
    <mergeCell ref="B163:C163"/>
    <mergeCell ref="B153:C153"/>
    <mergeCell ref="B157:C157"/>
    <mergeCell ref="B150:M150"/>
    <mergeCell ref="B128:M128"/>
    <mergeCell ref="B155:C155"/>
    <mergeCell ref="B143:C143"/>
    <mergeCell ref="B129:C129"/>
    <mergeCell ref="B151:C151"/>
    <mergeCell ref="B149:C149"/>
    <mergeCell ref="B147:C147"/>
    <mergeCell ref="B145:C145"/>
    <mergeCell ref="B125:C125"/>
    <mergeCell ref="B127:C127"/>
    <mergeCell ref="B187:C187"/>
    <mergeCell ref="B189:C189"/>
    <mergeCell ref="B204:M204"/>
    <mergeCell ref="B202:M202"/>
    <mergeCell ref="B271:C271"/>
    <mergeCell ref="B269:C269"/>
    <mergeCell ref="B273:C273"/>
    <mergeCell ref="B279:C279"/>
    <mergeCell ref="B277:C277"/>
    <mergeCell ref="B257:C257"/>
    <mergeCell ref="B243:C243"/>
    <mergeCell ref="B249:C249"/>
    <mergeCell ref="B245:C245"/>
    <mergeCell ref="B251:C251"/>
    <mergeCell ref="B285:C285"/>
    <mergeCell ref="B288:M288"/>
    <mergeCell ref="B260:M260"/>
    <mergeCell ref="B293:C293"/>
    <mergeCell ref="B291:C291"/>
    <mergeCell ref="B294:M294"/>
    <mergeCell ref="B346:M346"/>
    <mergeCell ref="B348:M348"/>
    <mergeCell ref="B311:C311"/>
    <mergeCell ref="B313:C313"/>
    <mergeCell ref="B297:C297"/>
    <mergeCell ref="B320:M320"/>
    <mergeCell ref="B322:M322"/>
    <mergeCell ref="B319:C319"/>
    <mergeCell ref="B324:M324"/>
    <mergeCell ref="B326:M326"/>
    <mergeCell ref="B323:C323"/>
    <mergeCell ref="B344:M344"/>
    <mergeCell ref="B342:M342"/>
    <mergeCell ref="B302:M302"/>
    <mergeCell ref="B303:C303"/>
    <mergeCell ref="B300:M300"/>
    <mergeCell ref="B289:C289"/>
    <mergeCell ref="B309:C309"/>
    <mergeCell ref="B287:C287"/>
    <mergeCell ref="B304:M304"/>
    <mergeCell ref="B330:M330"/>
    <mergeCell ref="B332:M332"/>
    <mergeCell ref="B336:M336"/>
    <mergeCell ref="B334:M334"/>
    <mergeCell ref="B328:M328"/>
    <mergeCell ref="B221:C221"/>
    <mergeCell ref="B219:C219"/>
    <mergeCell ref="B239:C239"/>
    <mergeCell ref="B241:C241"/>
    <mergeCell ref="B238:M238"/>
    <mergeCell ref="B237:C237"/>
    <mergeCell ref="B236:M236"/>
    <mergeCell ref="B235:C235"/>
    <mergeCell ref="B234:M234"/>
    <mergeCell ref="B232:M232"/>
    <mergeCell ref="B233:C233"/>
    <mergeCell ref="B371:C371"/>
    <mergeCell ref="B367:C367"/>
    <mergeCell ref="B369:C369"/>
    <mergeCell ref="B363:C363"/>
    <mergeCell ref="B365:C365"/>
    <mergeCell ref="B361:C361"/>
    <mergeCell ref="B359:C359"/>
    <mergeCell ref="B357:C357"/>
    <mergeCell ref="B338:M338"/>
    <mergeCell ref="B340:M340"/>
    <mergeCell ref="B354:M354"/>
    <mergeCell ref="B356:M356"/>
    <mergeCell ref="B353:C353"/>
    <mergeCell ref="B355:C355"/>
    <mergeCell ref="B351:C351"/>
    <mergeCell ref="B349:C349"/>
    <mergeCell ref="B298:M298"/>
    <mergeCell ref="B312:M312"/>
    <mergeCell ref="B299:C299"/>
    <mergeCell ref="B301:C301"/>
    <mergeCell ref="B292:M292"/>
    <mergeCell ref="B290:M290"/>
    <mergeCell ref="B296:M296"/>
    <mergeCell ref="B295:C295"/>
    <mergeCell ref="B350:M350"/>
    <mergeCell ref="B352:M352"/>
    <mergeCell ref="B331:C331"/>
    <mergeCell ref="B310:M310"/>
    <mergeCell ref="B306:M306"/>
    <mergeCell ref="B308:M308"/>
    <mergeCell ref="B307:C307"/>
    <mergeCell ref="B314:M314"/>
    <mergeCell ref="B318:M318"/>
    <mergeCell ref="B316:M316"/>
    <mergeCell ref="B341:C341"/>
    <mergeCell ref="B343:C343"/>
    <mergeCell ref="B327:C327"/>
    <mergeCell ref="B325:C325"/>
    <mergeCell ref="B335:C335"/>
    <mergeCell ref="B337:C337"/>
    <mergeCell ref="B305:C305"/>
    <mergeCell ref="B339:C339"/>
    <mergeCell ref="B329:C329"/>
    <mergeCell ref="B317:C317"/>
    <mergeCell ref="B315:C315"/>
    <mergeCell ref="B333:C333"/>
    <mergeCell ref="B321:C321"/>
    <mergeCell ref="B347:C347"/>
    <mergeCell ref="B345:C345"/>
    <mergeCell ref="B106:M106"/>
    <mergeCell ref="B111:C111"/>
    <mergeCell ref="B109:C109"/>
    <mergeCell ref="B107:C107"/>
    <mergeCell ref="B78:M78"/>
    <mergeCell ref="B80:M80"/>
    <mergeCell ref="B71:C71"/>
    <mergeCell ref="B72:M72"/>
    <mergeCell ref="B70:M70"/>
    <mergeCell ref="B68:M68"/>
    <mergeCell ref="B64:M64"/>
    <mergeCell ref="B66:M66"/>
    <mergeCell ref="B116:M116"/>
    <mergeCell ref="B118:M118"/>
    <mergeCell ref="B62:M62"/>
    <mergeCell ref="B86:M86"/>
    <mergeCell ref="B103:C103"/>
    <mergeCell ref="B76:M76"/>
    <mergeCell ref="B74:M74"/>
    <mergeCell ref="B98:M98"/>
    <mergeCell ref="B79:C79"/>
    <mergeCell ref="B81:C81"/>
    <mergeCell ref="B77:C77"/>
    <mergeCell ref="B73:C73"/>
    <mergeCell ref="B75:C75"/>
    <mergeCell ref="B65:C65"/>
    <mergeCell ref="B67:C67"/>
    <mergeCell ref="B69:C69"/>
    <mergeCell ref="B63:C63"/>
    <mergeCell ref="B87:C87"/>
    <mergeCell ref="B85:C85"/>
    <mergeCell ref="B95:C95"/>
    <mergeCell ref="B97:C97"/>
    <mergeCell ref="B117:C117"/>
    <mergeCell ref="B113:C113"/>
    <mergeCell ref="B99:C99"/>
    <mergeCell ref="B101:C101"/>
    <mergeCell ref="B104:M104"/>
    <mergeCell ref="B105:C105"/>
    <mergeCell ref="B112:M112"/>
    <mergeCell ref="B110:M110"/>
    <mergeCell ref="B102:M102"/>
    <mergeCell ref="B108:M108"/>
    <mergeCell ref="B100:M100"/>
    <mergeCell ref="B126:M126"/>
    <mergeCell ref="B122:M122"/>
    <mergeCell ref="B123:C123"/>
    <mergeCell ref="B124:M124"/>
    <mergeCell ref="B84:M84"/>
    <mergeCell ref="B83:C83"/>
    <mergeCell ref="B92:M92"/>
    <mergeCell ref="B94:M94"/>
    <mergeCell ref="B90:M90"/>
    <mergeCell ref="B88:M88"/>
    <mergeCell ref="B96:M96"/>
    <mergeCell ref="B82:M82"/>
    <mergeCell ref="B93:C93"/>
    <mergeCell ref="B89:C89"/>
    <mergeCell ref="B91:C91"/>
    <mergeCell ref="B51:C51"/>
    <mergeCell ref="B49:C49"/>
    <mergeCell ref="B45:C45"/>
    <mergeCell ref="B47:C47"/>
    <mergeCell ref="B48:M48"/>
    <mergeCell ref="B44:M44"/>
    <mergeCell ref="B46:M46"/>
    <mergeCell ref="B30:M30"/>
    <mergeCell ref="B22:M22"/>
    <mergeCell ref="B24:M24"/>
    <mergeCell ref="B36:M36"/>
    <mergeCell ref="B50:M50"/>
    <mergeCell ref="B28:M28"/>
    <mergeCell ref="B26:M26"/>
    <mergeCell ref="B114:M114"/>
    <mergeCell ref="B115:C115"/>
    <mergeCell ref="B121:C121"/>
    <mergeCell ref="B119:C119"/>
    <mergeCell ref="B156:M156"/>
    <mergeCell ref="B154:M154"/>
    <mergeCell ref="B152:M152"/>
    <mergeCell ref="B134:M134"/>
    <mergeCell ref="B138:M138"/>
    <mergeCell ref="B136:M136"/>
    <mergeCell ref="B120:M120"/>
    <mergeCell ref="B265:C265"/>
    <mergeCell ref="B263:C263"/>
    <mergeCell ref="B261:C261"/>
    <mergeCell ref="B262:M262"/>
    <mergeCell ref="B266:M266"/>
    <mergeCell ref="B267:C267"/>
    <mergeCell ref="B264:M264"/>
    <mergeCell ref="B272:M272"/>
    <mergeCell ref="B270:M270"/>
    <mergeCell ref="B276:M276"/>
    <mergeCell ref="B275:C275"/>
    <mergeCell ref="B283:C283"/>
    <mergeCell ref="B281:C281"/>
    <mergeCell ref="B268:M268"/>
    <mergeCell ref="B278:M278"/>
    <mergeCell ref="B280:M280"/>
    <mergeCell ref="B274:M274"/>
    <mergeCell ref="B286:M286"/>
    <mergeCell ref="B284:M284"/>
    <mergeCell ref="B282:M282"/>
    <mergeCell ref="B208:M208"/>
    <mergeCell ref="B209:C209"/>
    <mergeCell ref="B226:M226"/>
    <mergeCell ref="B228:M228"/>
    <mergeCell ref="B227:C227"/>
    <mergeCell ref="B210:M210"/>
    <mergeCell ref="B212:M212"/>
    <mergeCell ref="B206:M206"/>
    <mergeCell ref="B214:M214"/>
    <mergeCell ref="B368:M368"/>
    <mergeCell ref="B370:M370"/>
    <mergeCell ref="B463:C463"/>
    <mergeCell ref="B462:M462"/>
    <mergeCell ref="B382:M382"/>
    <mergeCell ref="B380:M380"/>
    <mergeCell ref="B377:C377"/>
    <mergeCell ref="B376:M376"/>
    <mergeCell ref="B372:M372"/>
    <mergeCell ref="B389:C389"/>
    <mergeCell ref="B375:C375"/>
    <mergeCell ref="B390:M390"/>
    <mergeCell ref="B386:M386"/>
    <mergeCell ref="B388:M388"/>
    <mergeCell ref="B373:C373"/>
    <mergeCell ref="B374:M374"/>
    <mergeCell ref="B447:C447"/>
    <mergeCell ref="B445:C445"/>
    <mergeCell ref="B466:M466"/>
    <mergeCell ref="B436:M436"/>
    <mergeCell ref="B438:M438"/>
    <mergeCell ref="B440:M440"/>
    <mergeCell ref="B448:M448"/>
    <mergeCell ref="B450:M450"/>
    <mergeCell ref="B443:C443"/>
    <mergeCell ref="B431:C431"/>
    <mergeCell ref="B433:C433"/>
    <mergeCell ref="B405:C405"/>
    <mergeCell ref="B404:M404"/>
    <mergeCell ref="B406:M406"/>
    <mergeCell ref="B410:M410"/>
    <mergeCell ref="B408:M408"/>
    <mergeCell ref="B422:M422"/>
    <mergeCell ref="B396:M396"/>
    <mergeCell ref="B398:M398"/>
    <mergeCell ref="B402:M402"/>
    <mergeCell ref="B400:M400"/>
    <mergeCell ref="B420:M420"/>
    <mergeCell ref="B412:M412"/>
    <mergeCell ref="B33:C33"/>
    <mergeCell ref="B35:C35"/>
    <mergeCell ref="B31:C31"/>
    <mergeCell ref="B29:C29"/>
    <mergeCell ref="B15:C15"/>
    <mergeCell ref="B13:C13"/>
    <mergeCell ref="B7:C7"/>
    <mergeCell ref="B9:C9"/>
    <mergeCell ref="B11:C11"/>
    <mergeCell ref="B37:C37"/>
    <mergeCell ref="B39:C39"/>
    <mergeCell ref="B43:C43"/>
    <mergeCell ref="B19:C19"/>
    <mergeCell ref="B17:C17"/>
    <mergeCell ref="B25:C25"/>
    <mergeCell ref="B21:C21"/>
    <mergeCell ref="B23:C23"/>
    <mergeCell ref="B41:C41"/>
    <mergeCell ref="B27:C27"/>
    <mergeCell ref="B60:M60"/>
    <mergeCell ref="B56:M56"/>
    <mergeCell ref="B58:M58"/>
    <mergeCell ref="B59:C59"/>
    <mergeCell ref="B57:C57"/>
    <mergeCell ref="B55:C55"/>
    <mergeCell ref="B61:C61"/>
    <mergeCell ref="B54:M54"/>
    <mergeCell ref="B53:C53"/>
    <mergeCell ref="B42:M42"/>
    <mergeCell ref="B38:M38"/>
    <mergeCell ref="B40:M40"/>
    <mergeCell ref="B52:M52"/>
    <mergeCell ref="B32:M32"/>
    <mergeCell ref="B34:M34"/>
    <mergeCell ref="B18:M18"/>
    <mergeCell ref="B20:M20"/>
    <mergeCell ref="F4:G4"/>
    <mergeCell ref="B4:C4"/>
    <mergeCell ref="D4:E4"/>
    <mergeCell ref="B12:M12"/>
    <mergeCell ref="B14:M14"/>
    <mergeCell ref="B16:M16"/>
    <mergeCell ref="B8:M8"/>
    <mergeCell ref="B6:M6"/>
    <mergeCell ref="J4:K4"/>
    <mergeCell ref="L4:M4"/>
    <mergeCell ref="B10:M10"/>
    <mergeCell ref="H4:I4"/>
    <mergeCell ref="B1:M3"/>
    <mergeCell ref="B786:M786"/>
    <mergeCell ref="B790:M790"/>
    <mergeCell ref="B788:M788"/>
    <mergeCell ref="B789:C789"/>
    <mergeCell ref="B787:C787"/>
    <mergeCell ref="B792:M792"/>
    <mergeCell ref="B794:M794"/>
    <mergeCell ref="B793:C793"/>
    <mergeCell ref="B799:C799"/>
    <mergeCell ref="B797:C797"/>
    <mergeCell ref="B795:C795"/>
    <mergeCell ref="B879:C879"/>
    <mergeCell ref="B835:C835"/>
    <mergeCell ref="B883:C883"/>
    <mergeCell ref="B865:C865"/>
    <mergeCell ref="B869:C869"/>
    <mergeCell ref="B843:C843"/>
    <mergeCell ref="B839:C839"/>
    <mergeCell ref="B841:C841"/>
    <mergeCell ref="B870:M870"/>
    <mergeCell ref="B860:M860"/>
    <mergeCell ref="B868:M868"/>
    <mergeCell ref="B854:M854"/>
    <mergeCell ref="B856:M856"/>
    <mergeCell ref="B846:M846"/>
    <mergeCell ref="B848:M848"/>
    <mergeCell ref="B840:M840"/>
    <mergeCell ref="B842:M842"/>
    <mergeCell ref="B820:M820"/>
    <mergeCell ref="B822:M822"/>
    <mergeCell ref="B895:C895"/>
    <mergeCell ref="B893:C893"/>
    <mergeCell ref="B884:M884"/>
    <mergeCell ref="B898:M898"/>
    <mergeCell ref="B899:C899"/>
    <mergeCell ref="B897:C897"/>
    <mergeCell ref="B887:C887"/>
    <mergeCell ref="B900:M900"/>
    <mergeCell ref="B902:M902"/>
    <mergeCell ref="B892:M892"/>
    <mergeCell ref="B885:C885"/>
    <mergeCell ref="B888:M888"/>
    <mergeCell ref="B886:M886"/>
    <mergeCell ref="B891:C891"/>
    <mergeCell ref="B890:M890"/>
    <mergeCell ref="B889:C889"/>
    <mergeCell ref="B878:M878"/>
    <mergeCell ref="B829:C829"/>
    <mergeCell ref="B830:M830"/>
    <mergeCell ref="B862:M862"/>
    <mergeCell ref="B864:M864"/>
    <mergeCell ref="B866:M866"/>
    <mergeCell ref="B872:M872"/>
    <mergeCell ref="B859:C859"/>
    <mergeCell ref="B857:C857"/>
    <mergeCell ref="B855:C855"/>
    <mergeCell ref="B863:C863"/>
    <mergeCell ref="B867:C867"/>
    <mergeCell ref="B871:C871"/>
    <mergeCell ref="B877:C877"/>
    <mergeCell ref="B875:C875"/>
    <mergeCell ref="B873:C873"/>
    <mergeCell ref="B853:C853"/>
    <mergeCell ref="B845:C845"/>
    <mergeCell ref="B847:C847"/>
    <mergeCell ref="B849:C849"/>
    <mergeCell ref="B851:C851"/>
    <mergeCell ref="B825:C825"/>
    <mergeCell ref="B823:C823"/>
    <mergeCell ref="B826:M826"/>
    <mergeCell ref="B798:M798"/>
    <mergeCell ref="B805:C805"/>
    <mergeCell ref="B807:C807"/>
    <mergeCell ref="B809:C809"/>
    <mergeCell ref="B813:C813"/>
    <mergeCell ref="B811:C811"/>
    <mergeCell ref="B469:C469"/>
    <mergeCell ref="B470:M470"/>
    <mergeCell ref="B880:M880"/>
    <mergeCell ref="B882:M882"/>
    <mergeCell ref="B881:C881"/>
    <mergeCell ref="B796:M796"/>
    <mergeCell ref="B782:M782"/>
    <mergeCell ref="B649:C649"/>
    <mergeCell ref="B653:C653"/>
    <mergeCell ref="B651:C651"/>
    <mergeCell ref="B643:C643"/>
    <mergeCell ref="B659:C659"/>
    <mergeCell ref="B657:C657"/>
    <mergeCell ref="B655:C655"/>
    <mergeCell ref="B663:C663"/>
    <mergeCell ref="B661:C661"/>
    <mergeCell ref="B665:C665"/>
    <mergeCell ref="B667:C667"/>
    <mergeCell ref="B642:M642"/>
    <mergeCell ref="B640:M640"/>
    <mergeCell ref="B650:M650"/>
    <mergeCell ref="B652:M652"/>
    <mergeCell ref="B654:M654"/>
    <mergeCell ref="B638:M638"/>
    <mergeCell ref="B1183:C1183"/>
    <mergeCell ref="B1186:M1186"/>
    <mergeCell ref="B1184:M1184"/>
    <mergeCell ref="B1175:C1175"/>
    <mergeCell ref="B1177:C1177"/>
    <mergeCell ref="B1170:M1170"/>
    <mergeCell ref="B1172:M1172"/>
    <mergeCell ref="B1171:C1171"/>
    <mergeCell ref="B1187:C1187"/>
    <mergeCell ref="B1188:M1188"/>
    <mergeCell ref="B1190:M1190"/>
    <mergeCell ref="B1189:C1189"/>
    <mergeCell ref="B1193:C1193"/>
    <mergeCell ref="B1192:M1192"/>
    <mergeCell ref="B1181:C1181"/>
    <mergeCell ref="B1191:C1191"/>
    <mergeCell ref="B1179:C1179"/>
    <mergeCell ref="B1151:C1151"/>
    <mergeCell ref="B1153:C1153"/>
    <mergeCell ref="B1154:M1154"/>
    <mergeCell ref="B1148:M1148"/>
    <mergeCell ref="B1156:M1156"/>
    <mergeCell ref="B1157:C1157"/>
    <mergeCell ref="B1150:M1150"/>
    <mergeCell ref="B1149:C1149"/>
    <mergeCell ref="B1152:M1152"/>
    <mergeCell ref="B1197:C1197"/>
    <mergeCell ref="B1195:C1195"/>
    <mergeCell ref="B1199:C1199"/>
    <mergeCell ref="B1201:C1201"/>
    <mergeCell ref="B1205:C1205"/>
    <mergeCell ref="B1203:C1203"/>
    <mergeCell ref="B1202:M1202"/>
    <mergeCell ref="B1204:M1204"/>
    <mergeCell ref="B1168:M1168"/>
    <mergeCell ref="B1160:M1160"/>
    <mergeCell ref="B1159:C1159"/>
    <mergeCell ref="B1185:C1185"/>
    <mergeCell ref="B1182:M1182"/>
    <mergeCell ref="B1110:M1110"/>
    <mergeCell ref="B1108:M1108"/>
    <mergeCell ref="B1109:C1109"/>
    <mergeCell ref="B1099:C1099"/>
    <mergeCell ref="B1105:C1105"/>
    <mergeCell ref="B1103:C1103"/>
    <mergeCell ref="B1107:C1107"/>
    <mergeCell ref="B1113:C1113"/>
    <mergeCell ref="B1111:C1111"/>
    <mergeCell ref="B1104:M1104"/>
    <mergeCell ref="B1106:M1106"/>
    <mergeCell ref="B1102:M1102"/>
    <mergeCell ref="B1100:M1100"/>
    <mergeCell ref="B1112:M1112"/>
    <mergeCell ref="B1116:M1116"/>
    <mergeCell ref="B1118:M1118"/>
    <mergeCell ref="B1098:M1098"/>
    <mergeCell ref="B1115:C1115"/>
    <mergeCell ref="B1114:M1114"/>
    <mergeCell ref="B1141:C1141"/>
    <mergeCell ref="B1139:C1139"/>
    <mergeCell ref="B1131:C1131"/>
    <mergeCell ref="B1127:C1127"/>
    <mergeCell ref="B1129:C1129"/>
    <mergeCell ref="B1133:C1133"/>
    <mergeCell ref="B1135:C1135"/>
    <mergeCell ref="B1122:M1122"/>
    <mergeCell ref="B1126:M1126"/>
    <mergeCell ref="B1124:M1124"/>
    <mergeCell ref="B1125:C1125"/>
    <mergeCell ref="B1146:M1146"/>
    <mergeCell ref="B1143:C1143"/>
    <mergeCell ref="B1144:M1144"/>
    <mergeCell ref="B1142:M1142"/>
    <mergeCell ref="B1140:M1140"/>
    <mergeCell ref="B1138:M1138"/>
    <mergeCell ref="B1137:C1137"/>
    <mergeCell ref="B1089:C1089"/>
    <mergeCell ref="B1081:C1081"/>
    <mergeCell ref="B1117:C1117"/>
    <mergeCell ref="B1095:C1095"/>
    <mergeCell ref="B1097:C1097"/>
    <mergeCell ref="B1069:C1069"/>
    <mergeCell ref="B1057:C1057"/>
    <mergeCell ref="B1059:C1059"/>
    <mergeCell ref="B1121:C1121"/>
    <mergeCell ref="B1119:C1119"/>
    <mergeCell ref="B1123:C1123"/>
    <mergeCell ref="B1061:C1061"/>
    <mergeCell ref="B1067:C1067"/>
    <mergeCell ref="B1065:C1065"/>
    <mergeCell ref="B1058:M1058"/>
    <mergeCell ref="B1062:M1062"/>
    <mergeCell ref="B1060:M1060"/>
    <mergeCell ref="B1075:C1075"/>
    <mergeCell ref="B1077:C1077"/>
    <mergeCell ref="B1173:C1173"/>
    <mergeCell ref="B1169:C1169"/>
    <mergeCell ref="B1155:C1155"/>
    <mergeCell ref="B1147:C1147"/>
    <mergeCell ref="B1145:C1145"/>
    <mergeCell ref="B1096:M1096"/>
    <mergeCell ref="B1094:M1094"/>
    <mergeCell ref="B1092:M1092"/>
    <mergeCell ref="B1090:M1090"/>
    <mergeCell ref="B1091:C1091"/>
    <mergeCell ref="B1120:M1120"/>
    <mergeCell ref="B1101:C1101"/>
    <mergeCell ref="B1093:C1093"/>
    <mergeCell ref="B1085:C1085"/>
    <mergeCell ref="B1083:C1083"/>
    <mergeCell ref="B1078:M1078"/>
    <mergeCell ref="B1076:M1076"/>
    <mergeCell ref="B1086:M1086"/>
    <mergeCell ref="B1088:M1088"/>
    <mergeCell ref="B1082:M1082"/>
    <mergeCell ref="B1084:M1084"/>
    <mergeCell ref="B1087:C1087"/>
    <mergeCell ref="B656:M656"/>
    <mergeCell ref="B648:M648"/>
    <mergeCell ref="B460:M460"/>
    <mergeCell ref="B458:M458"/>
    <mergeCell ref="B658:M658"/>
    <mergeCell ref="B660:M660"/>
    <mergeCell ref="B766:M766"/>
    <mergeCell ref="B760:M760"/>
    <mergeCell ref="B636:M636"/>
    <mergeCell ref="B1051:C1051"/>
    <mergeCell ref="B1050:M1050"/>
    <mergeCell ref="B1049:C1049"/>
    <mergeCell ref="B1053:C1053"/>
    <mergeCell ref="B1044:M1044"/>
    <mergeCell ref="B1046:M1046"/>
    <mergeCell ref="B1048:M1048"/>
    <mergeCell ref="B1052:M1052"/>
    <mergeCell ref="B1047:C1047"/>
    <mergeCell ref="B1045:C1045"/>
    <mergeCell ref="B1054:M1054"/>
    <mergeCell ref="B1035:C1035"/>
    <mergeCell ref="B1034:M1034"/>
    <mergeCell ref="B1041:C1041"/>
    <mergeCell ref="B1040:M1040"/>
    <mergeCell ref="B1033:C1033"/>
    <mergeCell ref="B1030:M1030"/>
    <mergeCell ref="B1031:C1031"/>
    <mergeCell ref="B1032:M1032"/>
    <mergeCell ref="B1043:C1043"/>
    <mergeCell ref="B1042:M1042"/>
    <mergeCell ref="B1025:C1025"/>
    <mergeCell ref="B1027:C1027"/>
    <mergeCell ref="B1023:C1023"/>
    <mergeCell ref="B1022:M1022"/>
    <mergeCell ref="B1020:M1020"/>
    <mergeCell ref="B1018:M1018"/>
    <mergeCell ref="B1016:M1016"/>
    <mergeCell ref="B1021:C1021"/>
    <mergeCell ref="B1019:C1019"/>
    <mergeCell ref="B1017:C1017"/>
    <mergeCell ref="B1026:M1026"/>
    <mergeCell ref="B1024:M1024"/>
    <mergeCell ref="B1039:C1039"/>
    <mergeCell ref="B1036:M1036"/>
    <mergeCell ref="B1038:M1038"/>
    <mergeCell ref="B1028:M1028"/>
    <mergeCell ref="B1029:C1029"/>
    <mergeCell ref="B1037:C1037"/>
    <mergeCell ref="B1068:M1068"/>
    <mergeCell ref="B1064:M1064"/>
    <mergeCell ref="B1066:M1066"/>
    <mergeCell ref="B1073:C1073"/>
    <mergeCell ref="B1079:C1079"/>
    <mergeCell ref="B1072:M1072"/>
    <mergeCell ref="B1070:M1070"/>
    <mergeCell ref="B1071:C1071"/>
    <mergeCell ref="B1080:M1080"/>
    <mergeCell ref="B1056:M1056"/>
    <mergeCell ref="B1063:C1063"/>
    <mergeCell ref="B1074:M1074"/>
    <mergeCell ref="B1055:C1055"/>
    <mergeCell ref="B1162:M1162"/>
    <mergeCell ref="B1163:C1163"/>
    <mergeCell ref="B1130:M1130"/>
    <mergeCell ref="B1132:M1132"/>
    <mergeCell ref="B1134:M1134"/>
    <mergeCell ref="B1128:M1128"/>
    <mergeCell ref="B1136:M1136"/>
    <mergeCell ref="B1158:M1158"/>
    <mergeCell ref="B1164:M1164"/>
    <mergeCell ref="B1161:C1161"/>
    <mergeCell ref="B1180:M1180"/>
    <mergeCell ref="B1174:M1174"/>
    <mergeCell ref="B1176:M1176"/>
    <mergeCell ref="B1178:M1178"/>
    <mergeCell ref="B1166:M1166"/>
    <mergeCell ref="B1167:C1167"/>
    <mergeCell ref="B1165:C1165"/>
    <mergeCell ref="B1200:M1200"/>
    <mergeCell ref="B1196:M1196"/>
    <mergeCell ref="B1198:M1198"/>
    <mergeCell ref="B1194:M1194"/>
    <mergeCell ref="B1005:C1005"/>
    <mergeCell ref="B1006:M1006"/>
    <mergeCell ref="B1003:C1003"/>
    <mergeCell ref="B1004:M1004"/>
    <mergeCell ref="B999:C999"/>
    <mergeCell ref="B997:C997"/>
    <mergeCell ref="B998:M998"/>
    <mergeCell ref="B1000:M1000"/>
    <mergeCell ref="B996:M996"/>
    <mergeCell ref="B1001:C1001"/>
    <mergeCell ref="B1002:M1002"/>
    <mergeCell ref="B383:C383"/>
    <mergeCell ref="B403:C403"/>
    <mergeCell ref="B385:C385"/>
    <mergeCell ref="B387:C387"/>
    <mergeCell ref="B434:M434"/>
    <mergeCell ref="B424:M424"/>
    <mergeCell ref="B432:M432"/>
    <mergeCell ref="B426:M426"/>
    <mergeCell ref="B428:M428"/>
    <mergeCell ref="B430:M430"/>
    <mergeCell ref="B379:C379"/>
    <mergeCell ref="B381:C381"/>
    <mergeCell ref="B418:M418"/>
    <mergeCell ref="B416:M416"/>
    <mergeCell ref="B770:M770"/>
    <mergeCell ref="B774:M774"/>
    <mergeCell ref="B772:M772"/>
    <mergeCell ref="B694:M694"/>
    <mergeCell ref="B696:M696"/>
    <mergeCell ref="B1009:C1009"/>
    <mergeCell ref="B1008:M1008"/>
    <mergeCell ref="B1007:C1007"/>
    <mergeCell ref="B1011:C1011"/>
    <mergeCell ref="B1013:C1013"/>
    <mergeCell ref="B1012:M1012"/>
    <mergeCell ref="B1010:M1010"/>
    <mergeCell ref="B1014:M1014"/>
    <mergeCell ref="B1015:C1015"/>
  </mergeCells>
  <hyperlinks>
    <hyperlink display="N++&gt;Solo&gt;Levels" location="Main Menu!A1" ref="B1"/>
    <hyperlink display="Intro" location="Solo&gt;Levels&gt;Intro!A1" ref="B4"/>
    <hyperlink display="N++" location="Solo&gt;Levels&gt;N++!A1" ref="D4"/>
    <hyperlink display="Ultimate" location="Solo&gt;Levels&gt;Ultimate!A1" ref="F4"/>
    <hyperlink display="?" location="Solo&gt;Levels&gt;!A1" ref="J4"/>
    <hyperlink display="!" location="Solo&gt;Levels&gt;!!A1" ref="L4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1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7" t="s">
        <v>3</v>
      </c>
      <c r="E4" s="6"/>
      <c r="F4" s="8" t="s">
        <v>4</v>
      </c>
      <c r="G4" s="6"/>
      <c r="H4" s="7" t="s">
        <v>5</v>
      </c>
      <c r="I4" s="6"/>
      <c r="J4" s="5" t="s">
        <v>6</v>
      </c>
      <c r="K4" s="6"/>
      <c r="L4" s="7" t="s">
        <v>7</v>
      </c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2198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2200</v>
      </c>
      <c r="D7" s="9"/>
      <c r="E7" s="17" t="s">
        <v>14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25" t="s">
        <v>2201</v>
      </c>
      <c r="E8" s="26" t="s">
        <v>380</v>
      </c>
      <c r="F8" s="18" t="str">
        <f>HYPERLINK("https://www.youtube.com/watch?v=4wyD6oD6e1Y",'Players&gt;List'!$B11)</f>
        <v>[CHB]</v>
      </c>
      <c r="G8" s="18" t="str">
        <f>HYPERLINK("https://www.youtube.com/watch?v=pI0MEhdb9fM",'Players&gt;List'!$B16)</f>
        <v>[GEA]</v>
      </c>
      <c r="H8" s="18" t="str">
        <f>HYPERLINK("https://www.twitch.tv/videos/323048537",'Players&gt;List'!$B24)</f>
        <v>[NIM]</v>
      </c>
      <c r="I8" s="1"/>
      <c r="J8" s="1"/>
      <c r="K8" s="1"/>
      <c r="L8" s="1"/>
      <c r="M8" s="1"/>
      <c r="N8" s="1"/>
    </row>
    <row r="9">
      <c r="A9" s="1"/>
      <c r="B9" s="25" t="s">
        <v>149</v>
      </c>
      <c r="E9" s="26" t="s">
        <v>147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25" t="s">
        <v>2206</v>
      </c>
      <c r="E10" s="26" t="s">
        <v>1418</v>
      </c>
      <c r="F10" s="18" t="str">
        <f>HYPERLINK("https://youtu.be/pI0MEhdb9fM?t=77",'Players&gt;List'!$B16)</f>
        <v>[GEA]</v>
      </c>
      <c r="G10" s="18" t="str">
        <f>HYPERLINK("https://www.youtube.com/watch?v=W7eB0xPYyYg",'Players&gt;List'!$B11)</f>
        <v>[CHB]</v>
      </c>
      <c r="H10" s="1"/>
      <c r="I10" s="1"/>
      <c r="J10" s="1"/>
      <c r="K10" s="1"/>
      <c r="L10" s="1"/>
      <c r="M10" s="1"/>
      <c r="N10" s="1"/>
    </row>
    <row r="11">
      <c r="A11" s="1"/>
      <c r="B11" s="25" t="s">
        <v>2177</v>
      </c>
      <c r="E11" s="26" t="s">
        <v>1418</v>
      </c>
      <c r="F11" s="18" t="str">
        <f>HYPERLINK("https://www.twitch.tv/videos/86267187",'Players&gt;List'!$B32)</f>
        <v>[XEL]</v>
      </c>
      <c r="G11" s="18" t="str">
        <f>HYPERLINK("https://www.youtube.com/watch?v=vwF5rvA-mOo",'Players&gt;List'!$B23)</f>
        <v>[MOL]</v>
      </c>
      <c r="H11" s="18" t="str">
        <f>HYPERLINK("https://youtu.be/pI0MEhdb9fM?t=107",'Players&gt;List'!$B16)</f>
        <v>[GEA]</v>
      </c>
      <c r="I11" s="18" t="str">
        <f>HYPERLINK("https://www.youtube.com/watch?v=QJxKJBx-4Qg",'Players&gt;List'!$B11)</f>
        <v>[CHB]</v>
      </c>
      <c r="J11" s="1"/>
      <c r="K11" s="1"/>
      <c r="L11" s="1"/>
      <c r="M11" s="1"/>
      <c r="N11" s="1"/>
    </row>
    <row r="12">
      <c r="A12" s="1"/>
      <c r="B12" s="14" t="s">
        <v>2212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2215</v>
      </c>
      <c r="D13" s="9"/>
      <c r="E13" s="17" t="s">
        <v>14</v>
      </c>
      <c r="F13" s="18" t="str">
        <f>HYPERLINK("https://www.youtube.com/watch?v=_L23z1mQm-E",'Players&gt;List'!$B28)</f>
        <v>[SUN]</v>
      </c>
      <c r="G13" s="1"/>
      <c r="H13" s="1"/>
      <c r="I13" s="1"/>
      <c r="J13" s="1"/>
      <c r="K13" s="1"/>
      <c r="L13" s="1"/>
      <c r="M13" s="1"/>
      <c r="N13" s="1"/>
    </row>
    <row r="14">
      <c r="A14" s="1"/>
      <c r="B14" s="25" t="s">
        <v>117</v>
      </c>
      <c r="E14" s="26" t="s">
        <v>110</v>
      </c>
      <c r="F14" s="18" t="str">
        <f>HYPERLINK("https://www.youtube.com/watch?v=gMhwpym7y78",'Players&gt;List'!$B28)</f>
        <v>[SUN]</v>
      </c>
      <c r="G14" s="18" t="str">
        <f>HYPERLINK("https://www.youtube.com/watch?v=CAvevL4rNU0",'Players&gt;List'!$B11)</f>
        <v>[CHB]</v>
      </c>
      <c r="H14" s="18" t="str">
        <f>HYPERLINK("https://www.youtube.com/watch?v=8lRzY48X-t0",'Players&gt;List'!$B16)</f>
        <v>[GEA]</v>
      </c>
      <c r="I14" s="18" t="str">
        <f>HYPERLINK("https://www.twitch.tv/videos/323048540",'Players&gt;List'!$B24)</f>
        <v>[NIM]</v>
      </c>
      <c r="J14" s="1"/>
      <c r="K14" s="1"/>
      <c r="L14" s="1"/>
      <c r="M14" s="1"/>
      <c r="N14" s="1"/>
    </row>
    <row r="15">
      <c r="A15" s="1"/>
      <c r="B15" s="25" t="s">
        <v>149</v>
      </c>
      <c r="E15" s="26" t="s">
        <v>147</v>
      </c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25" t="s">
        <v>1861</v>
      </c>
      <c r="E16" s="26" t="s">
        <v>358</v>
      </c>
      <c r="F16" s="18" t="str">
        <f>HYPERLINK("https://www.youtube.com/watch?v=JfcXWKCajY4",'Players&gt;List'!$B28)</f>
        <v>[SUN]</v>
      </c>
      <c r="G16" s="18" t="str">
        <f>HYPERLINK("https://www.youtube.com/watch?v=aWS_Hl-1v7k",'Players&gt;List'!$B11)</f>
        <v>[CHB]</v>
      </c>
      <c r="H16" s="18" t="str">
        <f>HYPERLINK("https://youtu.be/8lRzY48X-t0?t=75",'Players&gt;List'!$B16)</f>
        <v>[GEA]</v>
      </c>
      <c r="I16" s="18" t="str">
        <f>HYPERLINK("https://www.twitch.tv/videos/323048542",'Players&gt;List'!$B24)</f>
        <v>[NIM]</v>
      </c>
      <c r="J16" s="1"/>
      <c r="K16" s="1"/>
      <c r="L16" s="1"/>
      <c r="M16" s="1"/>
      <c r="N16" s="1"/>
    </row>
    <row r="17">
      <c r="A17" s="1"/>
      <c r="B17" s="25" t="s">
        <v>2226</v>
      </c>
      <c r="E17" s="26" t="s">
        <v>358</v>
      </c>
      <c r="F17" s="18" t="str">
        <f>HYPERLINK("https://www.youtube.com/watch?v=JIjPWdfz4cc",'Players&gt;List'!$B28)</f>
        <v>[SUN]</v>
      </c>
      <c r="G17" s="18" t="str">
        <f>HYPERLINK("https://www.youtube.com/watch?v=7aynqw9Lacs",'Players&gt;List'!$B11)</f>
        <v>[CHB]</v>
      </c>
      <c r="H17" s="18" t="str">
        <f>HYPERLINK("https://youtu.be/8lRzY48X-t0?t=186",'Players&gt;List'!$B16)</f>
        <v>[GEA]</v>
      </c>
      <c r="I17" s="18" t="str">
        <f>HYPERLINK("https://www.twitch.tv/videos/395215539",'Players&gt;List'!$B30)</f>
        <v>[TST]</v>
      </c>
      <c r="J17" s="1"/>
      <c r="K17" s="1"/>
      <c r="L17" s="1"/>
      <c r="M17" s="1"/>
      <c r="N17" s="1"/>
    </row>
    <row r="18">
      <c r="A18" s="1"/>
      <c r="B18" s="25" t="s">
        <v>157</v>
      </c>
      <c r="E18" s="26" t="s">
        <v>132</v>
      </c>
      <c r="F18" s="18" t="str">
        <f>HYPERLINK("https://www.youtube.com/watch?v=5m3IDtRwmSw",'Players&gt;List'!$B28)</f>
        <v>[SUN]</v>
      </c>
      <c r="G18" s="18" t="str">
        <f>HYPERLINK("https://www.youtube.com/watch?v=QTBh6qV2STk",'Players&gt;List'!$B11)</f>
        <v>[CHB]</v>
      </c>
      <c r="H18" s="18" t="str">
        <f>HYPERLINK("https://youtu.be/8lRzY48X-t0?t=209",'Players&gt;List'!$B16)</f>
        <v>[GEA]</v>
      </c>
      <c r="I18" s="18" t="str">
        <f>HYPERLINK("https://www.twitch.tv/videos/323048539",'Players&gt;List'!$B24)</f>
        <v>[NIM]</v>
      </c>
      <c r="J18" s="1"/>
      <c r="K18" s="1"/>
      <c r="L18" s="1"/>
      <c r="M18" s="1"/>
      <c r="N18" s="1"/>
    </row>
    <row r="19">
      <c r="A19" s="1"/>
      <c r="B19" s="25" t="s">
        <v>1951</v>
      </c>
      <c r="E19" s="26" t="s">
        <v>358</v>
      </c>
      <c r="F19" s="18" t="str">
        <f>HYPERLINK("https://www.youtube.com/watch?v=QVSfGcaWk64",'Players&gt;List'!$B28)</f>
        <v>[SUN]</v>
      </c>
      <c r="G19" s="18" t="str">
        <f>HYPERLINK("https://www.youtube.com/watch?v=gpL0swatAuw",'Players&gt;List'!$B11)</f>
        <v>[CHB]</v>
      </c>
      <c r="H19" s="18" t="str">
        <f>HYPERLINK("https://youtu.be/8lRzY48X-t0?t=261",'Players&gt;List'!$B16)</f>
        <v>[GEA]</v>
      </c>
      <c r="I19" s="18" t="str">
        <f>HYPERLINK("https://www.twitch.tv/videos/323048538",'Players&gt;List'!$B24)</f>
        <v>[NIM]</v>
      </c>
      <c r="J19" s="1"/>
      <c r="K19" s="1"/>
      <c r="L19" s="1"/>
      <c r="M19" s="1"/>
      <c r="N19" s="1"/>
    </row>
    <row r="20">
      <c r="A20" s="1"/>
      <c r="B20" s="14" t="s">
        <v>2235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"/>
    </row>
    <row r="21">
      <c r="A21" s="1"/>
      <c r="B21" s="4" t="s">
        <v>2237</v>
      </c>
      <c r="D21" s="9"/>
      <c r="E21" s="17" t="s">
        <v>14</v>
      </c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25" t="s">
        <v>131</v>
      </c>
      <c r="E22" s="26" t="s">
        <v>110</v>
      </c>
      <c r="F22" s="18" t="str">
        <f>HYPERLINK("https://www.youtube.com/watch?v=f6RFLAyhwPQ&amp;t=0s&amp;list=PLbU6uWaIKemqNvTeRxK-Ay6PRg9iwCKVi&amp;index=18",'Players&gt;List'!$B19)</f>
        <v>[HIT]</v>
      </c>
      <c r="G22" s="18" t="str">
        <f>HYPERLINK("https://www.youtube.com/watch?v=g5uqD-wWfxk",'Players&gt;List'!$B11)</f>
        <v>[CHB]</v>
      </c>
      <c r="H22" s="18" t="str">
        <f>HYPERLINK("https://www.youtube.com/watch?v=bqExzAmpnng",'Players&gt;List'!$B16)</f>
        <v>[GEA]</v>
      </c>
      <c r="I22" s="1"/>
      <c r="J22" s="1"/>
      <c r="K22" s="1"/>
      <c r="L22" s="1"/>
      <c r="M22" s="1"/>
      <c r="N22" s="1"/>
    </row>
    <row r="23">
      <c r="A23" s="1"/>
      <c r="B23" s="25" t="s">
        <v>149</v>
      </c>
      <c r="E23" s="26" t="s">
        <v>147</v>
      </c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4" t="s">
        <v>2242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4"/>
    </row>
    <row r="25">
      <c r="A25" s="1"/>
      <c r="B25" s="4" t="s">
        <v>2245</v>
      </c>
      <c r="D25" s="9"/>
      <c r="E25" s="17" t="s">
        <v>14</v>
      </c>
      <c r="F25" s="18" t="str">
        <f>HYPERLINK("https://www.youtube.com/watch?v=DgBSfMlLdaI",'Players&gt;List'!$B18)</f>
        <v>[HGB]</v>
      </c>
      <c r="G25" s="18" t="str">
        <f>HYPERLINK("https://www.twitch.tv/videos/126757751",'Players&gt;List'!$B17)</f>
        <v>[GOL]</v>
      </c>
      <c r="H25" s="18" t="str">
        <f>HYPERLINK("https://youtu.be/67vCAgnMLvE",'Players&gt;List'!$B16)</f>
        <v>[GEA]</v>
      </c>
      <c r="I25" s="18" t="str">
        <f>HYPERLINK("https://www.youtube.com/watch?v=VAcdzoevx_Q",'Players&gt;List'!$B21)</f>
        <v>[MAE]</v>
      </c>
      <c r="J25" s="1"/>
      <c r="K25" s="1"/>
      <c r="L25" s="1"/>
      <c r="M25" s="1"/>
      <c r="N25" s="1"/>
    </row>
    <row r="26">
      <c r="A26" s="1"/>
      <c r="B26" s="25" t="s">
        <v>2251</v>
      </c>
      <c r="E26" s="26" t="s">
        <v>234</v>
      </c>
      <c r="F26" s="18" t="str">
        <f>HYPERLINK("https://www.youtube.com/watch?v=fqDowORPmOk&amp;t=0s&amp;list=PLbU6uWaIKemqNvTeRxK-Ay6PRg9iwCKVi&amp;index=53",'Players&gt;List'!$B19)</f>
        <v>[HIT]</v>
      </c>
      <c r="G26" s="18" t="str">
        <f>HYPERLINK("https://www.youtube.com/watch?v=spdZPr50aUM",'Players&gt;List'!$B14)</f>
        <v>[ESP]</v>
      </c>
      <c r="H26" s="18" t="str">
        <f>HYPERLINK("https://www.youtube.com/watch?v=K2ca3Uh299s",'Players&gt;List'!$B11)</f>
        <v>[CHB]</v>
      </c>
      <c r="I26" s="18" t="str">
        <f>HYPERLINK("https://www.youtube.com/watch?v=lWxeCHYimYM",'Players&gt;List'!$B16)</f>
        <v>[GEA]</v>
      </c>
      <c r="J26" s="1"/>
      <c r="K26" s="1"/>
      <c r="L26" s="1"/>
      <c r="M26" s="1"/>
      <c r="N26" s="1"/>
    </row>
    <row r="27">
      <c r="A27" s="1"/>
      <c r="B27" s="25" t="s">
        <v>649</v>
      </c>
      <c r="E27" s="26" t="s">
        <v>147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25" t="s">
        <v>2213</v>
      </c>
      <c r="E28" s="26" t="s">
        <v>147</v>
      </c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4" t="s">
        <v>2258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4"/>
    </row>
    <row r="30">
      <c r="A30" s="1"/>
      <c r="B30" s="4" t="s">
        <v>2260</v>
      </c>
      <c r="D30" s="9"/>
      <c r="E30" s="17" t="s">
        <v>14</v>
      </c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25" t="s">
        <v>117</v>
      </c>
      <c r="E31" s="26" t="s">
        <v>110</v>
      </c>
      <c r="F31" s="18" t="str">
        <f>HYPERLINK("https://www.youtube.com/watch?v=dnWp-NgRfBA",'Players&gt;List'!$B23)</f>
        <v>[MOL]</v>
      </c>
      <c r="G31" s="18" t="str">
        <f>HYPERLINK("https://www.youtube.com/watch?v=P0Xlt05kyV8&amp;index=110&amp;list=PLbU6uWaIKemqNvTeRxK-Ay6PRg9iwCKVi&amp;t=0s",'Players&gt;List'!$B19)</f>
        <v>[HIT]</v>
      </c>
      <c r="H31" s="18" t="str">
        <f>HYPERLINK("https://www.youtube.com/watch?v=-dtFy1ghN80",'Players&gt;List'!$B16)</f>
        <v>[GEA]</v>
      </c>
      <c r="I31" s="18" t="str">
        <f>HYPERLINK("https://www.youtube.com/watch?v=WLdifbRAUlk",'Players&gt;List'!$B11)</f>
        <v>[CHB]</v>
      </c>
      <c r="J31" s="18" t="str">
        <f>HYPERLINK("https://www.youtube.com/watch?v=3DgoHO6rKyA",'Players&gt;List'!$B8)</f>
        <v>[ABA]</v>
      </c>
      <c r="K31" s="1"/>
      <c r="L31" s="1"/>
      <c r="M31" s="1"/>
      <c r="N31" s="1"/>
    </row>
    <row r="32">
      <c r="A32" s="1"/>
      <c r="B32" s="25" t="s">
        <v>108</v>
      </c>
      <c r="E32" s="26" t="s">
        <v>132</v>
      </c>
      <c r="F32" s="18" t="str">
        <f>HYPERLINK("https://www.youtube.com/watch?v=dhtfW_Xc7nk",'Players&gt;List'!$B28)</f>
        <v>[SUN]</v>
      </c>
      <c r="G32" s="18" t="str">
        <f>HYPERLINK("https://www.youtube.com/watch?v=tqY2HM_rooc",'Players&gt;List'!$B11)</f>
        <v>[CHB]</v>
      </c>
      <c r="H32" s="18" t="str">
        <f>HYPERLINK("https://youtu.be/-dtFy1ghN80?t=76",'Players&gt;List'!$B16)</f>
        <v>[GEA]</v>
      </c>
      <c r="I32" s="1"/>
      <c r="J32" s="1"/>
      <c r="K32" s="1"/>
      <c r="L32" s="1"/>
      <c r="M32" s="1"/>
      <c r="N32" s="1"/>
    </row>
    <row r="33">
      <c r="A33" s="1"/>
      <c r="B33" s="25" t="s">
        <v>157</v>
      </c>
      <c r="E33" s="26" t="s">
        <v>132</v>
      </c>
      <c r="F33" s="18" t="str">
        <f>HYPERLINK("https://www.youtube.com/watch?v=3l3ZBNGKl2k",'Players&gt;List'!$B28)</f>
        <v>[SUN]</v>
      </c>
      <c r="G33" s="18" t="str">
        <f>HYPERLINK("https://www.youtube.com/watch?v=HwbUIeaFVns",'Players&gt;List'!$B11)</f>
        <v>[CHB]</v>
      </c>
      <c r="H33" s="18" t="str">
        <f>HYPERLINK("https://youtu.be/-dtFy1ghN80?t=122",'Players&gt;List'!$B16)</f>
        <v>[GEA]</v>
      </c>
      <c r="I33" s="1"/>
      <c r="J33" s="1"/>
      <c r="K33" s="1"/>
      <c r="L33" s="1"/>
      <c r="M33" s="1"/>
      <c r="N33" s="1"/>
    </row>
    <row r="34">
      <c r="A34" s="1"/>
      <c r="B34" s="25" t="s">
        <v>131</v>
      </c>
      <c r="E34" s="26" t="s">
        <v>132</v>
      </c>
      <c r="F34" s="18" t="str">
        <f>HYPERLINK("https://www.youtube.com/watch?v=at8SKQT96wk&amp;index=111&amp;list=PLbU6uWaIKemqNvTeRxK-Ay6PRg9iwCKVi&amp;t=0s",'Players&gt;List'!$B19)</f>
        <v>[HIT]</v>
      </c>
      <c r="G34" s="18" t="str">
        <f>HYPERLINK("https://www.youtube.com/watch?v=3dHQLtKCBuw",'Players&gt;List'!$B28)</f>
        <v>[SUN]</v>
      </c>
      <c r="H34" s="18" t="str">
        <f>HYPERLINK("https://youtu.be/-dtFy1ghN80?t=184",'Players&gt;List'!$B16)</f>
        <v>[GEA]</v>
      </c>
      <c r="I34" s="18" t="str">
        <f>HYPERLINK("https://www.youtube.com/watch?v=dBY3o4OYWeM",'Players&gt;List'!$B11)</f>
        <v>[CHB]</v>
      </c>
      <c r="J34" s="1"/>
      <c r="K34" s="1"/>
      <c r="L34" s="1"/>
      <c r="M34" s="1"/>
      <c r="N34" s="1"/>
    </row>
    <row r="35">
      <c r="A35" s="1"/>
      <c r="B35" s="14" t="s">
        <v>2276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4"/>
    </row>
    <row r="36">
      <c r="A36" s="1"/>
      <c r="B36" s="4" t="s">
        <v>2278</v>
      </c>
      <c r="D36" s="9"/>
      <c r="E36" s="17" t="s">
        <v>14</v>
      </c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25" t="s">
        <v>117</v>
      </c>
      <c r="E37" s="26" t="s">
        <v>110</v>
      </c>
      <c r="F37" s="18" t="str">
        <f>HYPERLINK("https://www.youtube.com/watch?v=dxVMctK6FIM",'Players&gt;List'!$B11)</f>
        <v>[CHB]</v>
      </c>
      <c r="G37" s="1"/>
      <c r="H37" s="1"/>
      <c r="I37" s="1"/>
      <c r="J37" s="1"/>
      <c r="K37" s="1"/>
      <c r="L37" s="1"/>
      <c r="M37" s="1"/>
      <c r="N37" s="1"/>
    </row>
    <row r="38">
      <c r="A38" s="1"/>
      <c r="B38" s="25" t="s">
        <v>1861</v>
      </c>
      <c r="E38" s="26" t="s">
        <v>358</v>
      </c>
      <c r="F38" s="18" t="str">
        <f>HYPERLINK("https://www.youtube.com/watch?v=saQL94SJUU8",'Players&gt;List'!$B11)</f>
        <v>[CHB]</v>
      </c>
      <c r="G38" s="1"/>
      <c r="H38" s="1"/>
      <c r="I38" s="1"/>
      <c r="J38" s="1"/>
      <c r="K38" s="1"/>
      <c r="L38" s="1"/>
      <c r="M38" s="1"/>
      <c r="N38" s="1"/>
    </row>
    <row r="39">
      <c r="A39" s="1"/>
      <c r="B39" s="25" t="s">
        <v>335</v>
      </c>
      <c r="E39" s="26" t="s">
        <v>147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25" t="s">
        <v>88</v>
      </c>
      <c r="E40" s="26" t="s">
        <v>147</v>
      </c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25" t="s">
        <v>444</v>
      </c>
      <c r="E41" s="26" t="s">
        <v>147</v>
      </c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25" t="s">
        <v>439</v>
      </c>
      <c r="E42" s="26" t="s">
        <v>132</v>
      </c>
      <c r="F42" s="18" t="str">
        <f>HYPERLINK("https://www.youtube.com/watch?v=Z9cZ-_P3PI4",'Players&gt;List'!$B11)</f>
        <v>[CHB]</v>
      </c>
      <c r="G42" s="1"/>
      <c r="H42" s="1"/>
      <c r="I42" s="1"/>
      <c r="J42" s="1"/>
      <c r="K42" s="1"/>
      <c r="L42" s="1"/>
      <c r="M42" s="1"/>
      <c r="N42" s="1"/>
    </row>
    <row r="43">
      <c r="A43" s="1"/>
      <c r="B43" s="14" t="s">
        <v>2284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4"/>
    </row>
    <row r="44">
      <c r="A44" s="1"/>
      <c r="B44" s="4" t="s">
        <v>2287</v>
      </c>
      <c r="D44" s="9"/>
      <c r="E44" s="17" t="s">
        <v>14</v>
      </c>
      <c r="F44" s="18" t="str">
        <f>HYPERLINK("https://www.youtube.com/watch?v=QM99EHzblNM",'Players&gt;List'!$B18)</f>
        <v>[HGB]</v>
      </c>
      <c r="G44" s="1"/>
      <c r="H44" s="1"/>
      <c r="I44" s="1"/>
      <c r="J44" s="1"/>
      <c r="K44" s="1"/>
      <c r="L44" s="1"/>
      <c r="M44" s="1"/>
      <c r="N44" s="1"/>
    </row>
    <row r="45">
      <c r="A45" s="1"/>
      <c r="B45" s="25" t="s">
        <v>649</v>
      </c>
      <c r="E45" s="26" t="s">
        <v>90</v>
      </c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25" t="s">
        <v>131</v>
      </c>
      <c r="E46" s="26" t="s">
        <v>132</v>
      </c>
      <c r="F46" s="18" t="str">
        <f>HYPERLINK("https://www.youtube.com/watch?v=h355IGakp2s",'Players&gt;List'!$B11)</f>
        <v>[CHB]</v>
      </c>
      <c r="G46" s="1"/>
      <c r="H46" s="1"/>
      <c r="I46" s="1"/>
      <c r="J46" s="1"/>
      <c r="K46" s="1"/>
      <c r="L46" s="1"/>
      <c r="M46" s="1"/>
      <c r="N46" s="1"/>
    </row>
    <row r="47">
      <c r="A47" s="1"/>
      <c r="B47" s="25" t="s">
        <v>157</v>
      </c>
      <c r="E47" s="26" t="s">
        <v>132</v>
      </c>
      <c r="F47" s="18" t="str">
        <f>HYPERLINK("https://www.youtube.com/watch?v=qk07BnWZIcc",'Players&gt;List'!$B11)</f>
        <v>[CHB]</v>
      </c>
      <c r="G47" s="1"/>
      <c r="H47" s="1"/>
      <c r="I47" s="1"/>
      <c r="J47" s="1"/>
      <c r="K47" s="1"/>
      <c r="L47" s="1"/>
      <c r="M47" s="1"/>
      <c r="N47" s="1"/>
    </row>
    <row r="48">
      <c r="A48" s="1"/>
      <c r="B48" s="25" t="s">
        <v>117</v>
      </c>
      <c r="E48" s="26" t="s">
        <v>132</v>
      </c>
      <c r="F48" s="18" t="str">
        <f>HYPERLINK("https://www.youtube.com/watch?v=Yg-hlk12nT4",'Players&gt;List'!$B11)</f>
        <v>[CHB]</v>
      </c>
      <c r="G48" s="1"/>
      <c r="H48" s="1"/>
      <c r="I48" s="1"/>
      <c r="J48" s="1"/>
      <c r="K48" s="1"/>
      <c r="L48" s="1"/>
      <c r="M48" s="1"/>
      <c r="N48" s="1"/>
    </row>
    <row r="49">
      <c r="A49" s="1"/>
      <c r="B49" s="25" t="s">
        <v>108</v>
      </c>
      <c r="E49" s="26" t="s">
        <v>132</v>
      </c>
      <c r="F49" s="18" t="str">
        <f>HYPERLINK("https://www.youtube.com/watch?v=bUsWmQh9Fz0",'Players&gt;List'!$B28)</f>
        <v>[SUN]</v>
      </c>
      <c r="G49" s="18" t="str">
        <f>HYPERLINK("https://www.youtube.com/watch?v=izhzo_2BKHw",'Players&gt;List'!$B11)</f>
        <v>[CHB]</v>
      </c>
      <c r="H49" s="1"/>
      <c r="I49" s="1"/>
      <c r="J49" s="1"/>
      <c r="K49" s="1"/>
      <c r="L49" s="1"/>
      <c r="M49" s="1"/>
      <c r="N49" s="1"/>
    </row>
    <row r="50">
      <c r="A50" s="1"/>
      <c r="B50" s="25" t="s">
        <v>2293</v>
      </c>
      <c r="E50" s="26" t="s">
        <v>132</v>
      </c>
      <c r="F50" s="18" t="str">
        <f>HYPERLINK("https://www.youtube.com/watch?v=bUsWmQh9Fz0",'Players&gt;List'!$B28)</f>
        <v>[SUN]</v>
      </c>
      <c r="G50" s="18" t="str">
        <f>HYPERLINK("https://www.youtube.com/watch?v=vpQjq8-4WnQ",'Players&gt;List'!$B11)</f>
        <v>[CHB]</v>
      </c>
      <c r="H50" s="1"/>
      <c r="I50" s="1"/>
      <c r="J50" s="1"/>
      <c r="K50" s="1"/>
      <c r="L50" s="1"/>
      <c r="M50" s="1"/>
      <c r="N50" s="1"/>
    </row>
    <row r="51">
      <c r="A51" s="1"/>
      <c r="B51" s="14" t="s">
        <v>2297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4"/>
    </row>
    <row r="52">
      <c r="A52" s="1"/>
      <c r="B52" s="4" t="s">
        <v>2298</v>
      </c>
      <c r="D52" s="9"/>
      <c r="E52" s="17" t="s">
        <v>14</v>
      </c>
      <c r="F52" s="18" t="str">
        <f>HYPERLINK("https://www.youtube.com/watch?v=NNE0-ugVThg",'Players&gt;List'!$B18)</f>
        <v>[HGB]</v>
      </c>
      <c r="G52" s="1"/>
      <c r="H52" s="1"/>
      <c r="I52" s="1"/>
      <c r="J52" s="1"/>
      <c r="K52" s="1"/>
      <c r="L52" s="1"/>
      <c r="M52" s="1"/>
      <c r="N52" s="1"/>
    </row>
    <row r="53">
      <c r="A53" s="1"/>
      <c r="B53" s="25" t="s">
        <v>166</v>
      </c>
      <c r="E53" s="26" t="s">
        <v>110</v>
      </c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25" t="s">
        <v>335</v>
      </c>
      <c r="E54" s="26" t="s">
        <v>147</v>
      </c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25" t="s">
        <v>2213</v>
      </c>
      <c r="E55" s="26" t="s">
        <v>147</v>
      </c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25" t="s">
        <v>2303</v>
      </c>
      <c r="E56" s="26" t="s">
        <v>132</v>
      </c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25" t="s">
        <v>2305</v>
      </c>
      <c r="E57" s="26" t="s">
        <v>358</v>
      </c>
      <c r="F57" s="18" t="str">
        <f>HYPERLINK("https://www.youtube.com/watch?v=Xd3XIABSbZM&amp;t=0s&amp;list=PLbU6uWaIKemqNvTeRxK-Ay6PRg9iwCKVi&amp;index=54",'Players&gt;List'!$B19)</f>
        <v>[HIT]</v>
      </c>
      <c r="G57" s="18" t="str">
        <f>HYPERLINK("https://www.youtube.com/watch?v=2uhf9OfDzNM",'Players&gt;List'!$B11)</f>
        <v>[CHB]</v>
      </c>
      <c r="H57" s="1"/>
      <c r="I57" s="1"/>
      <c r="J57" s="1"/>
      <c r="K57" s="1"/>
      <c r="L57" s="1"/>
      <c r="M57" s="1"/>
      <c r="N57" s="1"/>
    </row>
    <row r="58">
      <c r="A58" s="1"/>
      <c r="B58" s="14" t="s">
        <v>2308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2309</v>
      </c>
      <c r="D59" s="9"/>
      <c r="E59" s="17" t="s">
        <v>14</v>
      </c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25" t="s">
        <v>655</v>
      </c>
      <c r="E60" s="26" t="s">
        <v>234</v>
      </c>
      <c r="F60" s="18" t="str">
        <f>HYPERLINK("https://www.youtube.com/watch?v=xjvv52pIs4o",'Players&gt;List'!$B11)</f>
        <v>[CHB]</v>
      </c>
      <c r="G60" s="1"/>
      <c r="H60" s="1"/>
      <c r="I60" s="1"/>
      <c r="J60" s="1"/>
      <c r="K60" s="1"/>
      <c r="L60" s="1"/>
      <c r="M60" s="1"/>
      <c r="N60" s="1"/>
    </row>
    <row r="61">
      <c r="A61" s="1"/>
      <c r="B61" s="25" t="s">
        <v>117</v>
      </c>
      <c r="E61" s="26" t="s">
        <v>132</v>
      </c>
      <c r="F61" s="18" t="str">
        <f>HYPERLINK("https://www.twitch.tv/videos/296921475",'Players&gt;List'!$B24)</f>
        <v>[NIM]</v>
      </c>
      <c r="G61" s="18" t="str">
        <f>HYPERLINK("https://www.youtube.com/watch?v=P54jwmpx6bw",'Players&gt;List'!$B11)</f>
        <v>[CHB]</v>
      </c>
      <c r="H61" s="1"/>
      <c r="I61" s="1"/>
      <c r="J61" s="1"/>
      <c r="K61" s="1"/>
      <c r="L61" s="1"/>
      <c r="M61" s="1"/>
      <c r="N61" s="1"/>
    </row>
    <row r="62">
      <c r="A62" s="1"/>
      <c r="B62" s="25" t="s">
        <v>149</v>
      </c>
      <c r="E62" s="26" t="s">
        <v>147</v>
      </c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25" t="s">
        <v>973</v>
      </c>
      <c r="E63" s="26" t="s">
        <v>358</v>
      </c>
      <c r="F63" s="18" t="str">
        <f>HYPERLINK("https://www.youtube.com/watch?v=ew9N0NDR4kM",'Players&gt;List'!$B11)</f>
        <v>[CHB]</v>
      </c>
      <c r="G63" s="1"/>
      <c r="H63" s="1"/>
      <c r="I63" s="1"/>
      <c r="J63" s="1"/>
      <c r="K63" s="1"/>
      <c r="L63" s="1"/>
      <c r="M63" s="1"/>
      <c r="N63" s="1"/>
    </row>
    <row r="64">
      <c r="A64" s="1"/>
      <c r="B64" s="25" t="s">
        <v>1385</v>
      </c>
      <c r="E64" s="26" t="s">
        <v>132</v>
      </c>
      <c r="F64" s="18" t="str">
        <f>HYPERLINK("https://www.twitch.tv/videos/296921476",'Players&gt;List'!$B24)</f>
        <v>[NIM]</v>
      </c>
      <c r="G64" s="18" t="str">
        <f>HYPERLINK("https://www.youtube.com/watch?v=8tDtNzy98QY",'Players&gt;List'!$B11)</f>
        <v>[CHB]</v>
      </c>
      <c r="H64" s="1"/>
      <c r="I64" s="1"/>
      <c r="J64" s="1"/>
      <c r="K64" s="1"/>
      <c r="L64" s="1"/>
      <c r="M64" s="1"/>
      <c r="N64" s="1"/>
    </row>
    <row r="65">
      <c r="A65" s="1"/>
      <c r="B65" s="25" t="s">
        <v>400</v>
      </c>
      <c r="E65" s="26" t="s">
        <v>358</v>
      </c>
      <c r="F65" s="18" t="str">
        <f>HYPERLINK("https://www.twitch.tv/videos/296926889",'Players&gt;List'!$B24)</f>
        <v>[NIM]</v>
      </c>
      <c r="G65" s="18" t="str">
        <f>HYPERLINK("https://www.youtube.com/watch?v=Tqu5IKTvo58&amp;t=1s",'Players&gt;List'!$B11)</f>
        <v>[CHB]</v>
      </c>
      <c r="H65" s="1"/>
      <c r="I65" s="1"/>
      <c r="J65" s="1"/>
      <c r="K65" s="1"/>
      <c r="L65" s="1"/>
      <c r="M65" s="1"/>
      <c r="N65" s="1"/>
    </row>
    <row r="66">
      <c r="A66" s="1"/>
      <c r="B66" s="14" t="s">
        <v>2321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2323</v>
      </c>
      <c r="D67" s="9"/>
      <c r="E67" s="17" t="s">
        <v>14</v>
      </c>
      <c r="F67" s="18" t="str">
        <f>HYPERLINK("https://www.youtube.com/watch?v=1-nUpDyE75s",'Players&gt;List'!$B18)</f>
        <v>[HGB]</v>
      </c>
      <c r="G67" s="1"/>
      <c r="H67" s="1"/>
      <c r="I67" s="1"/>
      <c r="J67" s="1"/>
      <c r="K67" s="1"/>
      <c r="L67" s="1"/>
      <c r="M67" s="1"/>
      <c r="N67" s="1"/>
    </row>
    <row r="68">
      <c r="A68" s="1"/>
      <c r="B68" s="25" t="s">
        <v>1861</v>
      </c>
      <c r="E68" s="26" t="s">
        <v>234</v>
      </c>
      <c r="F68" s="18" t="str">
        <f>HYPERLINK("https://www.youtube.com/watch?v=1rOArxXxAl8",'Players&gt;List'!$B8)</f>
        <v>[ABA]</v>
      </c>
      <c r="G68" s="18" t="str">
        <f>HYPERLINK("https://www.youtube.com/watch?v=jllx7H6jTi4&amp;t=0s&amp;list=PLbU6uWaIKemqNvTeRxK-Ay6PRg9iwCKVi&amp;index=63",'Players&gt;List'!$B19)</f>
        <v>[HIT]</v>
      </c>
      <c r="H68" s="18" t="str">
        <f>HYPERLINK("https://www.youtube.com/watch?v=9XvSxRGblZY",'Players&gt;List'!$B11)</f>
        <v>[CHB]</v>
      </c>
      <c r="I68" s="1"/>
      <c r="J68" s="1"/>
      <c r="K68" s="1"/>
      <c r="L68" s="1"/>
      <c r="M68" s="1"/>
      <c r="N68" s="1"/>
    </row>
    <row r="69">
      <c r="A69" s="1"/>
      <c r="B69" s="25" t="s">
        <v>149</v>
      </c>
      <c r="E69" s="26" t="s">
        <v>147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25" t="s">
        <v>335</v>
      </c>
      <c r="E70" s="26" t="s">
        <v>147</v>
      </c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25" t="s">
        <v>444</v>
      </c>
      <c r="E71" s="26" t="s">
        <v>147</v>
      </c>
      <c r="F71" s="18" t="str">
        <f>HYPERLINK("https://www.youtube.com/watch?v=qRgWrs-7vGQ",'Players&gt;List'!$B11)</f>
        <v>[CHB]</v>
      </c>
      <c r="G71" s="1"/>
      <c r="H71" s="1"/>
      <c r="I71" s="1"/>
      <c r="J71" s="1"/>
      <c r="K71" s="1"/>
      <c r="L71" s="1"/>
      <c r="M71" s="1"/>
      <c r="N71" s="1"/>
    </row>
    <row r="72">
      <c r="A72" s="1"/>
      <c r="B72" s="14" t="s">
        <v>2333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4"/>
    </row>
    <row r="73">
      <c r="A73" s="1"/>
      <c r="B73" s="4" t="s">
        <v>2335</v>
      </c>
      <c r="D73" s="9"/>
      <c r="E73" s="17" t="s">
        <v>14</v>
      </c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25" t="s">
        <v>157</v>
      </c>
      <c r="E74" s="26" t="s">
        <v>110</v>
      </c>
      <c r="F74" s="18" t="str">
        <f>HYPERLINK("https://www.youtube.com/watch?v=Ot4ubtg0y9Y",'Players&gt;List'!$B11)</f>
        <v>[CHB]</v>
      </c>
      <c r="G74" s="1"/>
      <c r="H74" s="1"/>
      <c r="I74" s="1"/>
      <c r="J74" s="1"/>
      <c r="K74" s="1"/>
      <c r="L74" s="1"/>
      <c r="M74" s="1"/>
      <c r="N74" s="1"/>
    </row>
    <row r="75">
      <c r="A75" s="1"/>
      <c r="B75" s="25" t="s">
        <v>131</v>
      </c>
      <c r="E75" s="26" t="s">
        <v>132</v>
      </c>
      <c r="F75" s="18" t="str">
        <f>HYPERLINK("https://www.youtube.com/watch?v=iOc0xeLLUv8",'Players&gt;List'!$B11)</f>
        <v>[CHB]</v>
      </c>
      <c r="G75" s="1"/>
      <c r="H75" s="1"/>
      <c r="I75" s="1"/>
      <c r="J75" s="1"/>
      <c r="K75" s="1"/>
      <c r="L75" s="1"/>
      <c r="M75" s="1"/>
      <c r="N75" s="1"/>
    </row>
    <row r="76">
      <c r="A76" s="1"/>
      <c r="B76" s="25" t="s">
        <v>108</v>
      </c>
      <c r="E76" s="26" t="s">
        <v>132</v>
      </c>
      <c r="F76" s="18" t="str">
        <f>HYPERLINK("https://www.youtube.com/watch?v=zZblRJ4eSK4",'Players&gt;List'!$B11)</f>
        <v>[CHB]</v>
      </c>
      <c r="G76" s="1"/>
      <c r="H76" s="1"/>
      <c r="I76" s="1"/>
      <c r="J76" s="1"/>
      <c r="K76" s="1"/>
      <c r="L76" s="1"/>
      <c r="M76" s="1"/>
      <c r="N76" s="1"/>
    </row>
    <row r="77">
      <c r="A77" s="1"/>
      <c r="B77" s="25" t="s">
        <v>117</v>
      </c>
      <c r="E77" s="26" t="s">
        <v>132</v>
      </c>
      <c r="F77" s="18" t="str">
        <f>HYPERLINK("https://www.youtube.com/watch?v=zZblRJ4eSK4",'Players&gt;List'!$B11)</f>
        <v>[CHB]</v>
      </c>
      <c r="G77" s="1"/>
      <c r="H77" s="1"/>
      <c r="I77" s="1"/>
      <c r="J77" s="1"/>
      <c r="K77" s="1"/>
      <c r="L77" s="1"/>
      <c r="M77" s="1"/>
      <c r="N77" s="1"/>
    </row>
    <row r="78">
      <c r="A78" s="1"/>
      <c r="B78" s="14" t="s">
        <v>2339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2342</v>
      </c>
      <c r="D79" s="9"/>
      <c r="E79" s="17" t="s">
        <v>14</v>
      </c>
      <c r="F79" s="18" t="str">
        <f>HYPERLINK("https://www.youtube.com/watch?v=FWvEqBPCHsw",'Players&gt;List'!$B11)</f>
        <v>[CHB]</v>
      </c>
      <c r="G79" s="1"/>
      <c r="H79" s="1"/>
      <c r="I79" s="1"/>
      <c r="J79" s="1"/>
      <c r="K79" s="1"/>
      <c r="L79" s="1"/>
      <c r="M79" s="1"/>
      <c r="N79" s="1"/>
    </row>
    <row r="80">
      <c r="A80" s="1"/>
      <c r="B80" s="25" t="s">
        <v>88</v>
      </c>
      <c r="E80" s="26" t="s">
        <v>90</v>
      </c>
      <c r="F80" s="18" t="str">
        <f>HYPERLINK("https://www.youtube.com/watch?v=CHa2GuwhXs8",'Players&gt;List'!$B11)</f>
        <v>[CHB]</v>
      </c>
      <c r="G80" s="1"/>
      <c r="H80" s="1"/>
      <c r="I80" s="1"/>
      <c r="J80" s="1"/>
      <c r="K80" s="1"/>
      <c r="L80" s="1"/>
      <c r="M80" s="1"/>
      <c r="N80" s="1"/>
    </row>
    <row r="81">
      <c r="A81" s="1"/>
      <c r="B81" s="14" t="s">
        <v>2346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4"/>
    </row>
    <row r="82">
      <c r="A82" s="1"/>
      <c r="B82" s="4" t="s">
        <v>2348</v>
      </c>
      <c r="D82" s="9"/>
      <c r="E82" s="17" t="s">
        <v>14</v>
      </c>
      <c r="F82" s="18" t="str">
        <f>HYPERLINK("https://www.youtube.com/watch?v=5v6AKAvF2Mk",'Players&gt;List'!$B11)</f>
        <v>[CHB]</v>
      </c>
      <c r="G82" s="1"/>
      <c r="H82" s="1"/>
      <c r="I82" s="1"/>
      <c r="J82" s="1"/>
      <c r="K82" s="1"/>
      <c r="L82" s="1"/>
      <c r="M82" s="1"/>
      <c r="N82" s="1"/>
    </row>
    <row r="83">
      <c r="A83" s="1"/>
      <c r="B83" s="25" t="s">
        <v>649</v>
      </c>
      <c r="E83" s="26" t="s">
        <v>90</v>
      </c>
      <c r="F83" s="18" t="str">
        <f>HYPERLINK("https://youtu.be/mR3BgFsd0C4?t=5",'Players&gt;List'!$B26)</f>
        <v>[SCO]</v>
      </c>
      <c r="G83" s="18" t="str">
        <f>HYPERLINK("https://www.youtube.com/watch?v=mZZB8EMZl5Y",'Players&gt;List'!$B18)</f>
        <v>[HGB]</v>
      </c>
      <c r="H83" s="18" t="str">
        <f>HYPERLINK("https://www.youtube.com/watch?v=XxK1XeFnwaI",'Players&gt;List'!$B11)</f>
        <v>[CHB]</v>
      </c>
      <c r="I83" s="1"/>
      <c r="J83" s="1"/>
      <c r="K83" s="1"/>
      <c r="L83" s="1"/>
      <c r="M83" s="1"/>
      <c r="N83" s="1"/>
    </row>
    <row r="84">
      <c r="A84" s="1"/>
      <c r="B84" s="25" t="s">
        <v>117</v>
      </c>
      <c r="E84" s="26" t="s">
        <v>132</v>
      </c>
      <c r="F84" s="18" t="str">
        <f>HYPERLINK("https://youtu.be/mR3BgFsd0C4?t=5",'Players&gt;List'!$B26)</f>
        <v>[SCO]</v>
      </c>
      <c r="G84" s="18" t="str">
        <f>HYPERLINK("https://www.youtube.com/watch?v=XxK1XeFnwaI",'Players&gt;List'!$B11)</f>
        <v>[CHB]</v>
      </c>
      <c r="H84" s="1"/>
      <c r="I84" s="1"/>
      <c r="J84" s="1"/>
      <c r="K84" s="1"/>
      <c r="L84" s="1"/>
      <c r="M84" s="1"/>
      <c r="N84" s="1"/>
    </row>
    <row r="85">
      <c r="A85" s="1"/>
      <c r="B85" s="14" t="s">
        <v>2356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4"/>
    </row>
    <row r="86">
      <c r="A86" s="1"/>
      <c r="B86" s="4" t="s">
        <v>2358</v>
      </c>
      <c r="D86" s="9"/>
      <c r="E86" s="17" t="s">
        <v>14</v>
      </c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25" t="s">
        <v>1715</v>
      </c>
      <c r="E87" s="26" t="s">
        <v>234</v>
      </c>
      <c r="F87" s="18" t="str">
        <f>HYPERLINK("https://www.youtube.com/watch?v=gFtD-aVFHPg",'Players&gt;List'!$B11)</f>
        <v>[CHB]</v>
      </c>
      <c r="G87" s="1"/>
      <c r="H87" s="1"/>
      <c r="I87" s="1"/>
      <c r="J87" s="1"/>
      <c r="K87" s="1"/>
      <c r="L87" s="1"/>
      <c r="M87" s="1"/>
      <c r="N87" s="1"/>
    </row>
    <row r="88">
      <c r="A88" s="1"/>
      <c r="B88" s="25" t="s">
        <v>117</v>
      </c>
      <c r="E88" s="26" t="s">
        <v>132</v>
      </c>
      <c r="F88" s="18" t="str">
        <f>HYPERLINK("https://www.youtube.com/watch?v=P0XxCOQPADw",'Players&gt;List'!$B11)</f>
        <v>[CHB]</v>
      </c>
      <c r="G88" s="1"/>
      <c r="H88" s="1"/>
      <c r="I88" s="1"/>
      <c r="J88" s="1"/>
      <c r="K88" s="1"/>
      <c r="L88" s="1"/>
      <c r="M88" s="1"/>
      <c r="N88" s="1"/>
    </row>
    <row r="89">
      <c r="A89" s="1"/>
      <c r="B89" s="25" t="s">
        <v>149</v>
      </c>
      <c r="E89" s="26" t="s">
        <v>147</v>
      </c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25" t="s">
        <v>131</v>
      </c>
      <c r="E90" s="26" t="s">
        <v>132</v>
      </c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25" t="s">
        <v>88</v>
      </c>
      <c r="E91" s="26" t="s">
        <v>147</v>
      </c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25" t="s">
        <v>2296</v>
      </c>
      <c r="E92" s="26" t="s">
        <v>358</v>
      </c>
      <c r="F92" s="18" t="str">
        <f>HYPERLINK("https://www.youtube.com/watch?v=lREQ05EYaFA",'Players&gt;List'!$B11)</f>
        <v>[CHB]</v>
      </c>
      <c r="G92" s="1"/>
      <c r="H92" s="1"/>
      <c r="I92" s="1"/>
      <c r="J92" s="1"/>
      <c r="K92" s="1"/>
      <c r="L92" s="1"/>
      <c r="M92" s="1"/>
      <c r="N92" s="1"/>
    </row>
    <row r="93">
      <c r="A93" s="1"/>
      <c r="B93" s="14" t="s">
        <v>2363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4"/>
    </row>
    <row r="94">
      <c r="A94" s="1"/>
      <c r="B94" s="4" t="s">
        <v>2365</v>
      </c>
      <c r="D94" s="9"/>
      <c r="E94" s="17" t="s">
        <v>14</v>
      </c>
      <c r="F94" s="18" t="str">
        <f>HYPERLINK("https://www.youtube.com/watch?v=8AUtUfdvtSw",'Players&gt;List'!$B18)</f>
        <v>[HGB]</v>
      </c>
      <c r="G94" s="18" t="str">
        <f>HYPERLINK("https://www.twitch.tv/videos/393837243",'Players&gt;List'!$B30)</f>
        <v>[TST]</v>
      </c>
      <c r="H94" s="1"/>
      <c r="I94" s="1"/>
      <c r="J94" s="1"/>
      <c r="K94" s="1"/>
      <c r="L94" s="1"/>
      <c r="M94" s="1"/>
      <c r="N94" s="1"/>
    </row>
    <row r="95">
      <c r="A95" s="1"/>
      <c r="B95" s="25" t="s">
        <v>117</v>
      </c>
      <c r="E95" s="26" t="s">
        <v>110</v>
      </c>
      <c r="F95" s="18" t="str">
        <f>HYPERLINK("https://www.youtube.com/watch?v=_1S9To7AHtY&amp;index=32&amp;t=0s",'Players&gt;List'!$B23)</f>
        <v>[MOL]</v>
      </c>
      <c r="G95" s="18" t="str">
        <f>HYPERLINK("https://www.youtube.com/watch?v=2WpPHNxU2VI",'Players&gt;List'!$B11)</f>
        <v>[CHB]</v>
      </c>
      <c r="H95" s="18" t="str">
        <f>HYPERLINK("https://www.twitch.tv/videos/394324853",'Players&gt;List'!$B30)</f>
        <v>[TST]</v>
      </c>
      <c r="I95" s="1"/>
      <c r="J95" s="1"/>
      <c r="K95" s="1"/>
      <c r="L95" s="1"/>
      <c r="M95" s="1"/>
      <c r="N95" s="1"/>
    </row>
    <row r="96">
      <c r="A96" s="1"/>
      <c r="B96" s="25" t="s">
        <v>1715</v>
      </c>
      <c r="E96" s="26" t="s">
        <v>358</v>
      </c>
      <c r="F96" s="18" t="str">
        <f>HYPERLINK("https://www.youtube.com/watch?v=H2iz3sv6Qqk",'Players&gt;List'!$B11)</f>
        <v>[CHB]</v>
      </c>
      <c r="G96" s="18" t="str">
        <f>HYPERLINK("https://www.twitch.tv/videos/394323597",'Players&gt;List'!$B30)</f>
        <v>[TST]</v>
      </c>
      <c r="H96" s="1"/>
      <c r="I96" s="1"/>
      <c r="J96" s="1"/>
      <c r="K96" s="1"/>
      <c r="L96" s="1"/>
      <c r="M96" s="1"/>
      <c r="N96" s="1"/>
    </row>
    <row r="97">
      <c r="A97" s="1"/>
      <c r="B97" s="25" t="s">
        <v>88</v>
      </c>
      <c r="E97" s="26" t="s">
        <v>147</v>
      </c>
      <c r="F97" s="18" t="str">
        <f>HYPERLINK("https://www.twitch.tv/videos/394324242",'Players&gt;List'!$B30)</f>
        <v>[TST]</v>
      </c>
      <c r="G97" s="1"/>
      <c r="H97" s="1"/>
      <c r="I97" s="1"/>
      <c r="J97" s="1"/>
      <c r="K97" s="1"/>
      <c r="L97" s="1"/>
      <c r="M97" s="1"/>
      <c r="N97" s="1"/>
    </row>
    <row r="98">
      <c r="A98" s="1"/>
      <c r="B98" s="25" t="s">
        <v>149</v>
      </c>
      <c r="E98" s="26" t="s">
        <v>147</v>
      </c>
      <c r="F98" s="18" t="str">
        <f>HYPERLINK("https://www.twitch.tv/videos/394323104",'Players&gt;List'!$B30)</f>
        <v>[TST]</v>
      </c>
      <c r="G98" s="1"/>
      <c r="H98" s="1"/>
      <c r="I98" s="1"/>
      <c r="J98" s="1"/>
      <c r="K98" s="1"/>
      <c r="L98" s="1"/>
      <c r="M98" s="1"/>
      <c r="N98" s="1"/>
    </row>
    <row r="99">
      <c r="A99" s="1"/>
      <c r="B99" s="25" t="s">
        <v>2183</v>
      </c>
      <c r="E99" s="26" t="s">
        <v>1418</v>
      </c>
      <c r="F99" s="18" t="str">
        <f>HYPERLINK("https://www.youtube.com/watch?v=v3XQ72A2_HM",'Players&gt;List'!$B11)</f>
        <v>[CHB]</v>
      </c>
      <c r="G99" s="1"/>
      <c r="H99" s="1"/>
      <c r="I99" s="1"/>
      <c r="J99" s="1"/>
      <c r="K99" s="1"/>
      <c r="L99" s="1"/>
      <c r="M99" s="1"/>
      <c r="N99" s="1"/>
    </row>
    <row r="100">
      <c r="A100" s="1"/>
      <c r="B100" s="25" t="s">
        <v>335</v>
      </c>
      <c r="E100" s="26" t="s">
        <v>147</v>
      </c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4" t="s">
        <v>2376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4"/>
    </row>
    <row r="102">
      <c r="A102" s="1"/>
      <c r="B102" s="4" t="s">
        <v>2380</v>
      </c>
      <c r="D102" s="9"/>
      <c r="E102" s="17" t="s">
        <v>14</v>
      </c>
      <c r="F102" s="18" t="str">
        <f>HYPERLINK("https://www.youtube.com/watch?v=A0mv7HIb4xw",'Players&gt;List'!$B11)</f>
        <v>[CHB]</v>
      </c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25" t="s">
        <v>88</v>
      </c>
      <c r="E103" s="26" t="s">
        <v>90</v>
      </c>
      <c r="F103" s="18" t="str">
        <f>HYPERLINK("https://www.youtube.com/watch?v=vc_HlDl9ysg",'Players&gt;List'!$B11)</f>
        <v>[CHB]</v>
      </c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4" t="s">
        <v>2385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"/>
    </row>
    <row r="105">
      <c r="A105" s="1"/>
      <c r="B105" s="4" t="s">
        <v>2387</v>
      </c>
      <c r="D105" s="9"/>
      <c r="E105" s="17" t="s">
        <v>14</v>
      </c>
      <c r="F105" s="18" t="str">
        <f>HYPERLINK("https://www.youtube.com/watch?v=l59CyrIGH6I",'Players&gt;List'!$B11)</f>
        <v>[CHB]</v>
      </c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25" t="s">
        <v>117</v>
      </c>
      <c r="E106" s="26" t="s">
        <v>110</v>
      </c>
      <c r="F106" s="18" t="str">
        <f>HYPERLINK("https://www.youtube.com/watch?v=pHKaKohFbM0",'Players&gt;List'!$B11)</f>
        <v>[CHB]</v>
      </c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25" t="s">
        <v>149</v>
      </c>
      <c r="E107" s="26" t="s">
        <v>147</v>
      </c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25" t="s">
        <v>197</v>
      </c>
      <c r="E108" s="26" t="s">
        <v>147</v>
      </c>
      <c r="F108" s="18" t="str">
        <f>HYPERLINK("https://www.youtube.com/watch?v=_h-Jg2KNjKw",'Players&gt;List'!$B11)</f>
        <v>[CHB]</v>
      </c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4" t="s">
        <v>2392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4"/>
    </row>
    <row r="110">
      <c r="A110" s="1"/>
      <c r="B110" s="4" t="s">
        <v>2395</v>
      </c>
      <c r="D110" s="9"/>
      <c r="E110" s="17" t="s">
        <v>14</v>
      </c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25" t="s">
        <v>668</v>
      </c>
      <c r="E111" s="26" t="s">
        <v>234</v>
      </c>
      <c r="F111" s="18" t="str">
        <f>HYPERLINK("https://www.youtube.com/watch?v=ngsGjtIPZj4",'Players&gt;List'!$B23)</f>
        <v>[MOL]</v>
      </c>
      <c r="G111" s="18" t="str">
        <f>HYPERLINK("https://www.youtube.com/watch?v=qmSWCf4Mwzw",'Players&gt;List'!$B11)</f>
        <v>[CHB]</v>
      </c>
      <c r="H111" s="1"/>
      <c r="I111" s="1"/>
      <c r="J111" s="1"/>
      <c r="K111" s="1"/>
      <c r="L111" s="1"/>
      <c r="M111" s="1"/>
      <c r="N111" s="1"/>
    </row>
    <row r="112">
      <c r="A112" s="1"/>
      <c r="B112" s="25" t="s">
        <v>335</v>
      </c>
      <c r="E112" s="26" t="s">
        <v>147</v>
      </c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25" t="s">
        <v>444</v>
      </c>
      <c r="E113" s="26" t="s">
        <v>147</v>
      </c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25" t="s">
        <v>2182</v>
      </c>
      <c r="E114" s="26" t="s">
        <v>1418</v>
      </c>
      <c r="F114" s="18" t="str">
        <f>HYPERLINK("https://www.youtube.com/watch?v=M5l2HkpfjvM",'Players&gt;List'!$B11)</f>
        <v>[CHB]</v>
      </c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25" t="s">
        <v>2401</v>
      </c>
      <c r="E115" s="26" t="s">
        <v>358</v>
      </c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25" t="s">
        <v>2183</v>
      </c>
      <c r="E116" s="26" t="s">
        <v>1418</v>
      </c>
      <c r="F116" s="18" t="str">
        <f>HYPERLINK("https://www.youtube.com/watch?v=bc30ApKyRV4",'Players&gt;List'!$B11)</f>
        <v>[CHB]</v>
      </c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4" t="s">
        <v>2402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4"/>
    </row>
    <row r="118">
      <c r="A118" s="1"/>
      <c r="B118" s="4" t="s">
        <v>2404</v>
      </c>
      <c r="D118" s="9"/>
      <c r="E118" s="17" t="s">
        <v>14</v>
      </c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25" t="s">
        <v>655</v>
      </c>
      <c r="E119" s="26" t="s">
        <v>234</v>
      </c>
      <c r="F119" s="18" t="str">
        <f>HYPERLINK("https://www.youtube.com/watch?v=U8NMzov7X14",'Players&gt;List'!$B11)</f>
        <v>[CHB]</v>
      </c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25" t="s">
        <v>971</v>
      </c>
      <c r="E120" s="26" t="s">
        <v>358</v>
      </c>
      <c r="F120" s="18" t="str">
        <f>HYPERLINK("https://www.twitch.tv/videos/296926891",'Players&gt;List'!$B24)</f>
        <v>[NIM]</v>
      </c>
      <c r="G120" s="18" t="str">
        <f>HYPERLINK("https://www.youtube.com/watch?v=HswwCExn85I",'Players&gt;List'!$B11)</f>
        <v>[CHB]</v>
      </c>
      <c r="H120" s="1"/>
      <c r="I120" s="1"/>
      <c r="J120" s="1"/>
      <c r="K120" s="1"/>
      <c r="L120" s="1"/>
      <c r="M120" s="1"/>
      <c r="N120" s="1"/>
    </row>
    <row r="121">
      <c r="A121" s="1"/>
      <c r="B121" s="25" t="s">
        <v>387</v>
      </c>
      <c r="E121" s="26" t="s">
        <v>132</v>
      </c>
      <c r="F121" s="18" t="str">
        <f>HYPERLINK("https://www.youtube.com/watch?v=HgCa42unwFw",'Players&gt;List'!$B23)</f>
        <v>[MOL]</v>
      </c>
      <c r="G121" s="18" t="str">
        <f>HYPERLINK("https://www.youtube.com/watch?v=QjVGYnFWItg&amp;index=139&amp;list=PLbU6uWaIKemqNvTeRxK-Ay6PRg9iwCKVi&amp;t=0s",'Players&gt;List'!$B19)</f>
        <v>[HIT]</v>
      </c>
      <c r="H121" s="18" t="str">
        <f>HYPERLINK("https://www.youtube.com/watch?v=N2uSaWpc6_U",'Players&gt;List'!$B11)</f>
        <v>[CHB]</v>
      </c>
      <c r="I121" s="1"/>
      <c r="J121" s="1"/>
      <c r="K121" s="1"/>
      <c r="L121" s="1"/>
      <c r="M121" s="1"/>
      <c r="N121" s="1"/>
    </row>
    <row r="122">
      <c r="A122" s="1"/>
      <c r="B122" s="25" t="s">
        <v>649</v>
      </c>
      <c r="E122" s="26" t="s">
        <v>147</v>
      </c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25" t="s">
        <v>400</v>
      </c>
      <c r="E123" s="26" t="s">
        <v>358</v>
      </c>
      <c r="F123" s="18" t="str">
        <f>HYPERLINK("https://www.youtube.com/watch?v=8udRhCPjMAM",'Players&gt;List'!$B18)</f>
        <v>[HGB]</v>
      </c>
      <c r="G123" s="18" t="str">
        <f>HYPERLINK("https://www.twitch.tv/videos/296926890",'Players&gt;List'!$B24)</f>
        <v>[NIM]</v>
      </c>
      <c r="H123" s="18" t="str">
        <f>HYPERLINK("https://www.youtube.com/watch?v=vlTyqt942hk",'Players&gt;List'!$B11)</f>
        <v>[CHB]</v>
      </c>
      <c r="I123" s="1"/>
      <c r="J123" s="1"/>
      <c r="K123" s="1"/>
      <c r="L123" s="1"/>
      <c r="M123" s="1"/>
      <c r="N123" s="1"/>
    </row>
    <row r="124">
      <c r="A124" s="1"/>
      <c r="B124" s="25" t="s">
        <v>149</v>
      </c>
      <c r="E124" s="26" t="s">
        <v>147</v>
      </c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4" t="s">
        <v>2417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4"/>
    </row>
    <row r="126">
      <c r="A126" s="1"/>
      <c r="B126" s="4" t="s">
        <v>2419</v>
      </c>
      <c r="D126" s="9"/>
      <c r="E126" s="17" t="s">
        <v>14</v>
      </c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25" t="s">
        <v>1147</v>
      </c>
      <c r="E127" s="26" t="s">
        <v>110</v>
      </c>
      <c r="F127" s="18" t="str">
        <f>HYPERLINK("https://www.youtube.com/watch?v=8LDflspwv2w",'Players&gt;List'!$B11)</f>
        <v>[CHB]</v>
      </c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25" t="s">
        <v>117</v>
      </c>
      <c r="E128" s="26" t="s">
        <v>132</v>
      </c>
      <c r="F128" s="18" t="str">
        <f>HYPERLINK("https://www.youtube.com/watch?v=od-yy9xM-N0",'Players&gt;List'!$B23)</f>
        <v>[MOL]</v>
      </c>
      <c r="G128" s="18" t="str">
        <f>HYPERLINK("https://www.youtube.com/watch?v=HNDZTXy6st8",'Players&gt;List'!$B11)</f>
        <v>[CHB]</v>
      </c>
      <c r="H128" s="1"/>
      <c r="I128" s="1"/>
      <c r="J128" s="1"/>
      <c r="K128" s="1"/>
      <c r="L128" s="1"/>
      <c r="M128" s="1"/>
      <c r="N128" s="1"/>
    </row>
    <row r="129">
      <c r="A129" s="1"/>
      <c r="B129" s="25" t="s">
        <v>2288</v>
      </c>
      <c r="E129" s="26" t="s">
        <v>132</v>
      </c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25" t="s">
        <v>2183</v>
      </c>
      <c r="E130" s="26" t="s">
        <v>1418</v>
      </c>
      <c r="F130" s="18" t="str">
        <f>HYPERLINK("https://www.youtube.com/watch?v=J-xy7CgXvR4",'Players&gt;List'!$B11)</f>
        <v>[CHB]</v>
      </c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4" t="s">
        <v>2429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4"/>
    </row>
    <row r="132">
      <c r="A132" s="1"/>
      <c r="B132" s="4" t="s">
        <v>2432</v>
      </c>
      <c r="D132" s="9"/>
      <c r="E132" s="17" t="s">
        <v>14</v>
      </c>
      <c r="F132" s="18" t="str">
        <f>HYPERLINK("https://www.youtube.com/watch?v=m_BUnOYklaY",'Players&gt;List'!$B11)</f>
        <v>[CHB]</v>
      </c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25" t="s">
        <v>117</v>
      </c>
      <c r="E133" s="26" t="s">
        <v>110</v>
      </c>
      <c r="F133" s="18" t="str">
        <f>HYPERLINK("https://www.youtube.com/watch?v=MQHUfFLQCuM",'Players&gt;List'!$B28)</f>
        <v>[SUN]</v>
      </c>
      <c r="G133" s="18" t="str">
        <f>HYPERLINK("https://www.youtube.com/watch?v=r92vwz3_QGM",'Players&gt;List'!$B11)</f>
        <v>[CHB]</v>
      </c>
      <c r="H133" s="18" t="str">
        <f>HYPERLINK("https://www.youtube.com/watch?v=ZaGDhrYPBUg",'Players&gt;List'!$B21)</f>
        <v>[MAE]</v>
      </c>
      <c r="I133" s="1"/>
      <c r="J133" s="1"/>
      <c r="K133" s="1"/>
      <c r="L133" s="1"/>
      <c r="M133" s="1"/>
      <c r="N133" s="1"/>
    </row>
    <row r="134">
      <c r="A134" s="1"/>
      <c r="B134" s="25" t="s">
        <v>149</v>
      </c>
      <c r="E134" s="26" t="s">
        <v>147</v>
      </c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25" t="s">
        <v>108</v>
      </c>
      <c r="E135" s="26" t="s">
        <v>132</v>
      </c>
      <c r="F135" s="18" t="str">
        <f>HYPERLINK("https://www.youtube.com/watch?v=2jvsehvhNS8",'Players&gt;List'!$B28)</f>
        <v>[SUN]</v>
      </c>
      <c r="G135" s="18" t="str">
        <f>HYPERLINK("https://www.youtube.com/watch?v=8G9d5iNosC0",'Players&gt;List'!$B11)</f>
        <v>[CHB]</v>
      </c>
      <c r="H135" s="1"/>
      <c r="I135" s="1"/>
      <c r="J135" s="1"/>
      <c r="K135" s="1"/>
      <c r="L135" s="1"/>
      <c r="M135" s="1"/>
      <c r="N135" s="1"/>
    </row>
    <row r="136">
      <c r="A136" s="1"/>
      <c r="B136" s="14" t="s">
        <v>2442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4"/>
    </row>
    <row r="137">
      <c r="A137" s="1"/>
      <c r="B137" s="4" t="s">
        <v>2443</v>
      </c>
      <c r="D137" s="9"/>
      <c r="E137" s="17" t="s">
        <v>14</v>
      </c>
      <c r="F137" s="18" t="str">
        <f>HYPERLINK("https://www.youtube.com/watch?v=6nCGdDRxi6Q",'Players&gt;List'!$B18)</f>
        <v>[HGB]</v>
      </c>
      <c r="G137" s="18" t="str">
        <f>HYPERLINK("https://www.youtube.com/watch?v=8KUPAxN1P2o",'Players&gt;List'!$B11)</f>
        <v>[CHB]</v>
      </c>
      <c r="H137" s="1"/>
      <c r="I137" s="1"/>
      <c r="J137" s="1"/>
      <c r="K137" s="1"/>
      <c r="L137" s="1"/>
      <c r="M137" s="1"/>
      <c r="N137" s="1"/>
    </row>
    <row r="138">
      <c r="A138" s="1"/>
      <c r="B138" s="25" t="s">
        <v>1412</v>
      </c>
      <c r="E138" s="26" t="s">
        <v>234</v>
      </c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25" t="s">
        <v>149</v>
      </c>
      <c r="E139" s="26" t="s">
        <v>147</v>
      </c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25" t="s">
        <v>88</v>
      </c>
      <c r="E140" s="26" t="s">
        <v>147</v>
      </c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25" t="s">
        <v>2271</v>
      </c>
      <c r="E141" s="26" t="s">
        <v>1418</v>
      </c>
      <c r="F141" s="18" t="str">
        <f>HYPERLINK("https://www.youtube.com/watch?v=vfxnmFihyxE",'Players&gt;List'!$B11)</f>
        <v>[CHB]</v>
      </c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25" t="s">
        <v>197</v>
      </c>
      <c r="E142" s="26" t="s">
        <v>147</v>
      </c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25" t="s">
        <v>108</v>
      </c>
      <c r="E143" s="26" t="s">
        <v>132</v>
      </c>
      <c r="F143" s="18" t="str">
        <f>HYPERLINK("https://www.youtube.com/watch?v=eWySQwggwco",'Players&gt;List'!$B11)</f>
        <v>[CHB]</v>
      </c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4" t="s">
        <v>2455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4"/>
    </row>
    <row r="145">
      <c r="A145" s="1"/>
      <c r="B145" s="4" t="s">
        <v>2457</v>
      </c>
      <c r="D145" s="9"/>
      <c r="E145" s="17" t="s">
        <v>14</v>
      </c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25" t="s">
        <v>649</v>
      </c>
      <c r="E146" s="26" t="s">
        <v>90</v>
      </c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25" t="s">
        <v>335</v>
      </c>
      <c r="E147" s="26" t="s">
        <v>147</v>
      </c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25" t="s">
        <v>117</v>
      </c>
      <c r="E148" s="26" t="s">
        <v>132</v>
      </c>
      <c r="F148" s="18" t="str">
        <f>HYPERLINK("https://www.youtube.com/watch?v=8THDUAE2a10",'Players&gt;List'!$B11)</f>
        <v>[CHB]</v>
      </c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25" t="s">
        <v>2177</v>
      </c>
      <c r="E149" s="26" t="s">
        <v>1418</v>
      </c>
      <c r="F149" s="18" t="str">
        <f>HYPERLINK("https://www.youtube.com/watch?v=WEWYtvnhTQQ",'Players&gt;List'!$B11)</f>
        <v>[CHB]</v>
      </c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4" t="s">
        <v>2460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4"/>
    </row>
    <row r="151">
      <c r="A151" s="1"/>
      <c r="B151" s="4" t="s">
        <v>2463</v>
      </c>
      <c r="D151" s="9"/>
      <c r="E151" s="17" t="s">
        <v>14</v>
      </c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25" t="s">
        <v>2183</v>
      </c>
      <c r="E152" s="26" t="s">
        <v>380</v>
      </c>
      <c r="F152" s="18" t="str">
        <f>HYPERLINK("https://www.youtube.com/watch?v=X16uyv4ArV8",'Players&gt;List'!$B11)</f>
        <v>[CHB]</v>
      </c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25" t="s">
        <v>149</v>
      </c>
      <c r="E153" s="26" t="s">
        <v>147</v>
      </c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25" t="s">
        <v>2213</v>
      </c>
      <c r="E154" s="26" t="s">
        <v>147</v>
      </c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25" t="s">
        <v>197</v>
      </c>
      <c r="E155" s="26" t="s">
        <v>147</v>
      </c>
      <c r="F155" s="18" t="str">
        <f>HYPERLINK("https://www.youtube.com/watch?v=sIlspLPvFYQ",'Players&gt;List'!$B11)</f>
        <v>[CHB]</v>
      </c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4" t="s">
        <v>2471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4"/>
    </row>
    <row r="157">
      <c r="A157" s="1"/>
      <c r="B157" s="4" t="s">
        <v>2474</v>
      </c>
      <c r="D157" s="9"/>
      <c r="E157" s="17" t="s">
        <v>14</v>
      </c>
      <c r="F157" s="18" t="str">
        <f>HYPERLINK("https://www.youtube.com/watch?v=-uwRdIZ8pvg",'Players&gt;List'!$B28)</f>
        <v>[SUN]</v>
      </c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25" t="s">
        <v>2183</v>
      </c>
      <c r="E158" s="26" t="s">
        <v>380</v>
      </c>
      <c r="F158" s="18" t="str">
        <f>HYPERLINK("https://www.youtube.com/watch?v=hBhVD8p8kcE",'Players&gt;List'!$B23)</f>
        <v>[MOL]</v>
      </c>
      <c r="G158" s="18" t="str">
        <f>HYPERLINK("https://www.youtube.com/watch?v=AUsI-KJd3vw",'Players&gt;List'!$B28)</f>
        <v>[SUN]</v>
      </c>
      <c r="H158" s="18" t="str">
        <f>HYPERLINK("https://www.youtube.com/watch?v=dTXtnwFuMpI",'Players&gt;List'!$B11)</f>
        <v>[CHB]</v>
      </c>
      <c r="I158" s="1"/>
      <c r="J158" s="1"/>
      <c r="K158" s="1"/>
      <c r="L158" s="1"/>
      <c r="M158" s="1"/>
      <c r="N158" s="1"/>
    </row>
    <row r="159">
      <c r="A159" s="1"/>
      <c r="B159" s="25" t="s">
        <v>117</v>
      </c>
      <c r="E159" s="26" t="s">
        <v>132</v>
      </c>
      <c r="F159" s="18" t="str">
        <f>HYPERLINK("https://www.youtube.com/watch?v=B1uP7ApsuOU&amp;list=PLbVGARhZL4D10oLzRVts6tcPc_lH-Vpck&amp;index=4",'Players&gt;List'!$B8)</f>
        <v>[ABA]</v>
      </c>
      <c r="G159" s="18" t="str">
        <f>HYPERLINK("https://www.youtube.com/watch?v=lYe-wQdziIA&amp;list=PLbVGARhZL4D10oLzRVts6tcPc_lH-Vpck&amp;index=2",'Players&gt;List'!$B23)</f>
        <v>[MOL]</v>
      </c>
      <c r="H159" s="18" t="str">
        <f>HYPERLINK("https://www.youtube.com/watch?v=CTGcyJZey0Q&amp;list=PLbVGARhZL4D10oLzRVts6tcPc_lH-Vpck&amp;index=3",'Players&gt;List'!$B19)</f>
        <v>[HIT]</v>
      </c>
      <c r="I159" s="18" t="str">
        <f>HYPERLINK("https://www.youtube.com/watch?v=UhvzKNwh-ZA&amp;index=2&amp;list=PLbVGARhZL4D10oLzRVts6tcPc_lH-Vpck&amp;t=0s",'Players&gt;List'!$B28)</f>
        <v>[SUN]</v>
      </c>
      <c r="J159" s="18" t="str">
        <f>HYPERLINK("https://www.youtube.com/watch?v=QotguM_mvX4&amp;list=PLbVGARhZL4D10oLzRVts6tcPc_lH-Vpck&amp;index=5",'Players&gt;List'!$B11)</f>
        <v>[CHB]</v>
      </c>
      <c r="K159" s="1"/>
      <c r="L159" s="1"/>
      <c r="M159" s="1"/>
      <c r="N159" s="1"/>
    </row>
    <row r="160">
      <c r="A160" s="1"/>
      <c r="B160" s="25" t="s">
        <v>157</v>
      </c>
      <c r="E160" s="26" t="s">
        <v>132</v>
      </c>
      <c r="F160" s="18" t="str">
        <f>HYPERLINK("https://www.youtube.com/watch?v=LWh6K1eEGlg",'Players&gt;List'!$B28)</f>
        <v>[SUN]</v>
      </c>
      <c r="G160" s="18" t="str">
        <f>HYPERLINK("https://www.youtube.com/watch?v=5_wLsFllNDo",'Players&gt;List'!$B11)</f>
        <v>[CHB]</v>
      </c>
      <c r="H160" s="1"/>
      <c r="I160" s="1"/>
      <c r="J160" s="1"/>
      <c r="K160" s="1"/>
      <c r="L160" s="1"/>
      <c r="M160" s="1"/>
      <c r="N160" s="1"/>
    </row>
    <row r="161">
      <c r="A161" s="1"/>
      <c r="B161" s="25" t="s">
        <v>88</v>
      </c>
      <c r="E161" s="26" t="s">
        <v>147</v>
      </c>
      <c r="F161" s="18" t="str">
        <f>HYPERLINK("https://www.youtube.com/watch?v=pFr1n8iGXns",'Players&gt;List'!$B28)</f>
        <v>[SUN]</v>
      </c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25" t="s">
        <v>197</v>
      </c>
      <c r="E162" s="26" t="s">
        <v>147</v>
      </c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25" t="s">
        <v>444</v>
      </c>
      <c r="E163" s="26" t="s">
        <v>147</v>
      </c>
      <c r="F163" s="18" t="str">
        <f>HYPERLINK("https://www.youtube.com/watch?v=pFr1n8iGXns",'Players&gt;List'!$B28)</f>
        <v>[SUN]</v>
      </c>
      <c r="G163" s="18" t="str">
        <f>HYPERLINK("https://www.youtube.com/watch?v=QotguM_mvX4",'Players&gt;List'!$B11)</f>
        <v>[CHB]</v>
      </c>
      <c r="H163" s="1"/>
      <c r="I163" s="1"/>
      <c r="J163" s="1"/>
      <c r="K163" s="1"/>
      <c r="L163" s="1"/>
      <c r="M163" s="1"/>
      <c r="N163" s="1"/>
    </row>
    <row r="164">
      <c r="A164" s="1"/>
      <c r="B164" s="14" t="s">
        <v>2490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4"/>
    </row>
    <row r="165">
      <c r="A165" s="1"/>
      <c r="B165" s="4" t="s">
        <v>2491</v>
      </c>
      <c r="D165" s="9"/>
      <c r="E165" s="17" t="s">
        <v>14</v>
      </c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25" t="s">
        <v>2493</v>
      </c>
      <c r="E166" s="26" t="s">
        <v>380</v>
      </c>
      <c r="F166" s="18" t="str">
        <f>HYPERLINK("https://www.youtube.com/watch?v=3Uiz9ACBe9I",'Players&gt;List'!$B11)</f>
        <v>[CHB]</v>
      </c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25" t="s">
        <v>149</v>
      </c>
      <c r="E167" s="26" t="s">
        <v>147</v>
      </c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25" t="s">
        <v>117</v>
      </c>
      <c r="E168" s="26" t="s">
        <v>132</v>
      </c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25" t="s">
        <v>2183</v>
      </c>
      <c r="E169" s="26" t="s">
        <v>1418</v>
      </c>
      <c r="F169" s="18" t="str">
        <f>HYPERLINK("https://www.youtube.com/watch?v=QI1FSVwZPGI",'Players&gt;List'!$B18)</f>
        <v>[HGB]</v>
      </c>
      <c r="G169" s="18" t="str">
        <f>HYPERLINK("https://www.youtube.com/watch?v=rx1mCuVPIcw",'Players&gt;List'!$B11)</f>
        <v>[CHB]</v>
      </c>
      <c r="H169" s="1"/>
      <c r="I169" s="1"/>
      <c r="J169" s="1"/>
      <c r="K169" s="1"/>
      <c r="L169" s="1"/>
      <c r="M169" s="1"/>
      <c r="N169" s="1"/>
    </row>
    <row r="170">
      <c r="A170" s="1"/>
      <c r="B170" s="14" t="s">
        <v>2502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4"/>
    </row>
    <row r="171">
      <c r="A171" s="1"/>
      <c r="B171" s="4" t="s">
        <v>2505</v>
      </c>
      <c r="D171" s="9"/>
      <c r="E171" s="17" t="s">
        <v>14</v>
      </c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25" t="s">
        <v>655</v>
      </c>
      <c r="E172" s="26" t="s">
        <v>234</v>
      </c>
      <c r="F172" s="18" t="str">
        <f>HYPERLINK("https://www.youtube.com/watch?v=N8A0XlyAip0",'Players&gt;List'!$B11)</f>
        <v>[CHB]</v>
      </c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25" t="s">
        <v>88</v>
      </c>
      <c r="E173" s="26" t="s">
        <v>147</v>
      </c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25" t="s">
        <v>649</v>
      </c>
      <c r="E174" s="26" t="s">
        <v>147</v>
      </c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25" t="s">
        <v>387</v>
      </c>
      <c r="E175" s="26" t="s">
        <v>132</v>
      </c>
      <c r="F175" s="18" t="str">
        <f>HYPERLINK("https://www.youtube.com/watch?v=LNu4iCgWEHs",'Players&gt;List'!$B11)</f>
        <v>[CHB]</v>
      </c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25" t="s">
        <v>157</v>
      </c>
      <c r="E176" s="26" t="s">
        <v>132</v>
      </c>
      <c r="F176" s="18" t="str">
        <f>HYPERLINK("https://www.youtube.com/watch?v=RFsRIRN0DF4",'Players&gt;List'!$B11)</f>
        <v>[CHB]</v>
      </c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25" t="s">
        <v>400</v>
      </c>
      <c r="E177" s="26" t="s">
        <v>358</v>
      </c>
      <c r="F177" s="18" t="str">
        <f>HYPERLINK("https://www.youtube.com/watch?v=IYu9cdcCv0g",'Players&gt;List'!$B18)</f>
        <v>[HGB]</v>
      </c>
      <c r="G177" s="18" t="str">
        <f>HYPERLINK("https://www.youtube.com/watch?v=8tPUqe-yiFQ",'Players&gt;List'!$B11)</f>
        <v>[CHB]</v>
      </c>
      <c r="H177" s="1"/>
      <c r="I177" s="1"/>
      <c r="J177" s="1"/>
      <c r="K177" s="1"/>
      <c r="L177" s="1"/>
      <c r="M177" s="1"/>
      <c r="N177" s="1"/>
    </row>
    <row r="178">
      <c r="A178" s="1"/>
      <c r="B178" s="14" t="s">
        <v>2514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4"/>
    </row>
    <row r="179">
      <c r="A179" s="1"/>
      <c r="B179" s="4" t="s">
        <v>2516</v>
      </c>
      <c r="D179" s="9"/>
      <c r="E179" s="17" t="s">
        <v>14</v>
      </c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25" t="s">
        <v>117</v>
      </c>
      <c r="E180" s="26" t="s">
        <v>110</v>
      </c>
      <c r="F180" s="18" t="str">
        <f>HYPERLINK("https://www.youtube.com/watch?v=oR8SSKSzwUI",'Players&gt;List'!$B11)</f>
        <v>[CHB]</v>
      </c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25" t="s">
        <v>157</v>
      </c>
      <c r="E181" s="26" t="s">
        <v>132</v>
      </c>
      <c r="F181" s="18" t="str">
        <f>HYPERLINK("https://www.youtube.com/watch?v=D5HwNg2xUjw",'Players&gt;List'!$B11)</f>
        <v>[CHB]</v>
      </c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25" t="s">
        <v>131</v>
      </c>
      <c r="E182" s="26" t="s">
        <v>132</v>
      </c>
      <c r="F182" s="18" t="str">
        <f>HYPERLINK("https://www.youtube.com/watch?v=pkDD0GjhpC0",'Players&gt;List'!$B11)</f>
        <v>[CHB]</v>
      </c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25" t="s">
        <v>108</v>
      </c>
      <c r="E183" s="26" t="s">
        <v>132</v>
      </c>
      <c r="F183" s="18" t="str">
        <f>HYPERLINK("https://www.youtube.com/watch?v=FOvmOiybP1o",'Players&gt;List'!$B11)</f>
        <v>[CHB]</v>
      </c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25" t="s">
        <v>149</v>
      </c>
      <c r="E184" s="26" t="s">
        <v>147</v>
      </c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25" t="s">
        <v>197</v>
      </c>
      <c r="E185" s="26" t="s">
        <v>147</v>
      </c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4" t="s">
        <v>2526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4"/>
    </row>
    <row r="187">
      <c r="A187" s="1"/>
      <c r="B187" s="4" t="s">
        <v>2528</v>
      </c>
      <c r="D187" s="9"/>
      <c r="E187" s="17" t="s">
        <v>14</v>
      </c>
      <c r="F187" s="18" t="str">
        <f>HYPERLINK("https://www.youtube.com/watch?v=o-4pJmvDNos",'Players&gt;List'!$B28)</f>
        <v>[SUN]</v>
      </c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25" t="s">
        <v>2532</v>
      </c>
      <c r="E188" s="26" t="s">
        <v>380</v>
      </c>
      <c r="F188" s="18" t="str">
        <f>HYPERLINK("https://www.twitch.tv/videos/90637506",'Players&gt;List'!$B32)</f>
        <v>[XEL]</v>
      </c>
      <c r="G188" s="18" t="str">
        <f>HYPERLINK("https://www.youtube.com/watch?v=VsPqhVRvJdM&amp;index=141&amp;list=PLbU6uWaIKemqNvTeRxK-Ay6PRg9iwCKVi&amp;t=0s",'Players&gt;List'!$B19)</f>
        <v>[HIT]</v>
      </c>
      <c r="H188" s="18" t="str">
        <f>HYPERLINK("https://www.youtube.com/watch?v=jnFodUUmbA4",'Players&gt;List'!$B11)</f>
        <v>[CHB]</v>
      </c>
      <c r="I188" s="1"/>
      <c r="J188" s="1"/>
      <c r="K188" s="1"/>
      <c r="L188" s="1"/>
      <c r="M188" s="1"/>
      <c r="N188" s="1"/>
    </row>
    <row r="189">
      <c r="A189" s="1"/>
      <c r="B189" s="25" t="s">
        <v>2299</v>
      </c>
      <c r="E189" s="26" t="s">
        <v>132</v>
      </c>
      <c r="F189" s="18" t="str">
        <f>HYPERLINK("https://www.youtube.com/watch?v=2Nwy8QvZ9FE",'Players&gt;List'!$B28)</f>
        <v>[SUN]</v>
      </c>
      <c r="G189" s="18" t="str">
        <f>HYPERLINK("https://www.youtube.com/watch?v=CBwegVZdf14",'Players&gt;List'!$B11)</f>
        <v>[CHB]</v>
      </c>
      <c r="H189" s="1"/>
      <c r="I189" s="1"/>
      <c r="J189" s="1"/>
      <c r="K189" s="1"/>
      <c r="L189" s="1"/>
      <c r="M189" s="1"/>
      <c r="N189" s="1"/>
    </row>
    <row r="190">
      <c r="A190" s="1"/>
      <c r="B190" s="14" t="s">
        <v>2540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4"/>
    </row>
    <row r="191">
      <c r="A191" s="1"/>
      <c r="B191" s="4" t="s">
        <v>2541</v>
      </c>
      <c r="D191" s="9"/>
      <c r="E191" s="17" t="s">
        <v>14</v>
      </c>
      <c r="F191" s="18" t="str">
        <f>HYPERLINK("https://www.youtube.com/watch?v=h2nsgXIT2OI",'Players&gt;List'!$B18)</f>
        <v>[HGB]</v>
      </c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25" t="s">
        <v>117</v>
      </c>
      <c r="E192" s="26" t="s">
        <v>110</v>
      </c>
      <c r="F192" s="18" t="str">
        <f>HYPERLINK("https://www.youtube.com/watch?v=-pFhsn3-Q50",'Players&gt;List'!$B11)</f>
        <v>[CHB]</v>
      </c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25" t="s">
        <v>2548</v>
      </c>
      <c r="E193" s="26" t="s">
        <v>2185</v>
      </c>
      <c r="F193" s="18" t="str">
        <f>HYPERLINK("https://www.youtube.com/watch?v=S7QzA-v4ZrI",'Players&gt;List'!$B11)</f>
        <v>[CHB]</v>
      </c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25" t="s">
        <v>2551</v>
      </c>
      <c r="E194" s="26" t="s">
        <v>132</v>
      </c>
      <c r="F194" s="18" t="str">
        <f>HYPERLINK("https://www.youtube.com/watch?v=RH8wuRj7Iv8",'Players&gt;List'!$B11)</f>
        <v>[CHB]</v>
      </c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25" t="s">
        <v>649</v>
      </c>
      <c r="E195" s="26" t="s">
        <v>147</v>
      </c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25" t="s">
        <v>2556</v>
      </c>
      <c r="E196" s="26" t="s">
        <v>1418</v>
      </c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25" t="s">
        <v>2557</v>
      </c>
      <c r="E197" s="26" t="s">
        <v>2185</v>
      </c>
      <c r="F197" s="18" t="str">
        <f>HYPERLINK("https://www.youtube.com/watch?v=_C_UeW7dFZg",'Players&gt;List'!$B11)</f>
        <v>[CHB]</v>
      </c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4" t="s">
        <v>2560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4"/>
    </row>
    <row r="199">
      <c r="A199" s="1"/>
      <c r="B199" s="4" t="s">
        <v>2563</v>
      </c>
      <c r="D199" s="9"/>
      <c r="E199" s="17" t="s">
        <v>14</v>
      </c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25" t="s">
        <v>149</v>
      </c>
      <c r="E200" s="26" t="s">
        <v>90</v>
      </c>
      <c r="F200" s="18" t="str">
        <f>HYPERLINK("https://www.youtube.com/watch?v=suOP0Zs9wwM",'Players&gt;List'!$B11)</f>
        <v>[CHB]</v>
      </c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25" t="s">
        <v>157</v>
      </c>
      <c r="E201" s="26" t="s">
        <v>132</v>
      </c>
      <c r="F201" s="18" t="str">
        <f>HYPERLINK("https://www.youtube.com/watch?v=jjU2sIfTO5A",'Players&gt;List'!$B28)</f>
        <v>[SUN]</v>
      </c>
      <c r="G201" s="18" t="str">
        <f>HYPERLINK("https://www.youtube.com/watch?v=CKSZ_MiQ59U",'Players&gt;List'!$B11)</f>
        <v>[CHB]</v>
      </c>
      <c r="H201" s="1"/>
      <c r="I201" s="1"/>
      <c r="J201" s="1"/>
      <c r="K201" s="1"/>
      <c r="L201" s="1"/>
      <c r="M201" s="1"/>
      <c r="N201" s="1"/>
    </row>
    <row r="202">
      <c r="A202" s="1"/>
      <c r="B202" s="14" t="s">
        <v>2568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4"/>
    </row>
    <row r="203">
      <c r="A203" s="1"/>
      <c r="B203" s="4" t="s">
        <v>2571</v>
      </c>
      <c r="D203" s="9"/>
      <c r="E203" s="17" t="s">
        <v>14</v>
      </c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25" t="s">
        <v>131</v>
      </c>
      <c r="E204" s="26" t="s">
        <v>110</v>
      </c>
      <c r="F204" s="18" t="str">
        <f>HYPERLINK("https://www.youtube.com/watch?v=nVvUI_5y4HQ",'Players&gt;List'!$B18)</f>
        <v>[HGB]</v>
      </c>
      <c r="G204" s="18" t="str">
        <f>HYPERLINK("https://www.youtube.com/watch?v=RVRVy8-9UXE",'Players&gt;List'!$B11)</f>
        <v>[CHB]</v>
      </c>
      <c r="H204" s="1"/>
      <c r="I204" s="1"/>
      <c r="J204" s="1"/>
      <c r="K204" s="1"/>
      <c r="L204" s="1"/>
      <c r="M204" s="1"/>
      <c r="N204" s="1"/>
    </row>
    <row r="205">
      <c r="A205" s="1"/>
      <c r="B205" s="25" t="s">
        <v>157</v>
      </c>
      <c r="E205" s="26" t="s">
        <v>132</v>
      </c>
      <c r="F205" s="18" t="str">
        <f>HYPERLINK("https://www.youtube.com/watch?v=mrynrfdUpfs",'Players&gt;List'!$B11)</f>
        <v>[CHB]</v>
      </c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4" t="s">
        <v>2577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4"/>
    </row>
    <row r="207">
      <c r="A207" s="1"/>
      <c r="B207" s="4" t="s">
        <v>2579</v>
      </c>
      <c r="D207" s="9"/>
      <c r="E207" s="17" t="s">
        <v>14</v>
      </c>
      <c r="F207" s="18" t="str">
        <f>HYPERLINK("https://www.youtube.com/watch?v=s2bGisw9t-g",'Players&gt;List'!$B18)</f>
        <v>[HGB]</v>
      </c>
      <c r="G207" s="18" t="str">
        <f>HYPERLINK("https://www.twitch.tv/videos/126759907",'Players&gt;List'!$B17)</f>
        <v>[GOL]</v>
      </c>
      <c r="H207" s="1"/>
      <c r="I207" s="1"/>
      <c r="J207" s="1"/>
      <c r="K207" s="1"/>
      <c r="L207" s="1"/>
      <c r="M207" s="1"/>
      <c r="N207" s="1"/>
    </row>
    <row r="208">
      <c r="A208" s="1"/>
      <c r="B208" s="25" t="s">
        <v>131</v>
      </c>
      <c r="E208" s="26" t="s">
        <v>110</v>
      </c>
      <c r="F208" s="18" t="str">
        <f>HYPERLINK("https://www.youtube.com/watch?v=wlHNvJG6KbQ",'Players&gt;List'!$B14)</f>
        <v>[ESP]</v>
      </c>
      <c r="G208" s="18" t="str">
        <f>HYPERLINK("https://www.youtube.com/watch?v=MaYDqAhoHQY",'Players&gt;List'!$B11)</f>
        <v>[CHB]</v>
      </c>
      <c r="H208" s="1"/>
      <c r="I208" s="1"/>
      <c r="J208" s="1"/>
      <c r="K208" s="1"/>
      <c r="L208" s="1"/>
      <c r="M208" s="1"/>
      <c r="N208" s="1"/>
    </row>
    <row r="209">
      <c r="A209" s="1"/>
      <c r="B209" s="25" t="s">
        <v>108</v>
      </c>
      <c r="E209" s="26" t="s">
        <v>132</v>
      </c>
      <c r="F209" s="18" t="str">
        <f>HYPERLINK("https://www.youtube.com/watch?v=qgSCGScIZ20",'Players&gt;List'!$B11)</f>
        <v>[CHB]</v>
      </c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4" t="s">
        <v>2584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4"/>
    </row>
    <row r="211">
      <c r="A211" s="1"/>
      <c r="B211" s="4" t="s">
        <v>2587</v>
      </c>
      <c r="D211" s="9"/>
      <c r="E211" s="17" t="s">
        <v>14</v>
      </c>
      <c r="F211" s="18" t="str">
        <f>HYPERLINK("https://www.youtube.com/watch?v=YowcV5VqqBI",'Players&gt;List'!$B18)</f>
        <v>[HGB]</v>
      </c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25" t="s">
        <v>335</v>
      </c>
      <c r="E212" s="26" t="s">
        <v>90</v>
      </c>
      <c r="F212" s="18" t="str">
        <f>HYPERLINK("https://www.youtube.com/watch?v=7LpUK60ExXw",'Players&gt;List'!$B18)</f>
        <v>[HGB]</v>
      </c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25" t="s">
        <v>1797</v>
      </c>
      <c r="E213" s="26" t="s">
        <v>358</v>
      </c>
      <c r="F213" s="18" t="str">
        <f>HYPERLINK("https://www.youtube.com/watch?v=Tt4iBDWfbas",'Players&gt;List'!$B11)</f>
        <v>[CHB]</v>
      </c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25" t="s">
        <v>2296</v>
      </c>
      <c r="E214" s="26" t="s">
        <v>358</v>
      </c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25" t="s">
        <v>149</v>
      </c>
      <c r="E215" s="26" t="s">
        <v>147</v>
      </c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25" t="s">
        <v>2183</v>
      </c>
      <c r="E216" s="26" t="s">
        <v>1418</v>
      </c>
      <c r="F216" s="18" t="str">
        <f>HYPERLINK("https://www.youtube.com/watch?v=pPIsHVblFcw",'Players&gt;List'!$B8)</f>
        <v>[ABA]</v>
      </c>
      <c r="G216" s="18" t="str">
        <f>HYPERLINK("https://www.youtube.com/watch?v=CUU98zX-x5w&amp;index=112&amp;list=PLbU6uWaIKemqNvTeRxK-Ay6PRg9iwCKVi&amp;t=0s",'Players&gt;List'!$B19)</f>
        <v>[HIT]</v>
      </c>
      <c r="H216" s="18" t="str">
        <f>HYPERLINK("https://www.youtube.com/watch?v=KIVEaA_x8U8",'Players&gt;List'!$B11)</f>
        <v>[CHB]</v>
      </c>
      <c r="I216" s="1"/>
      <c r="J216" s="1"/>
      <c r="K216" s="1"/>
      <c r="L216" s="1"/>
      <c r="M216" s="1"/>
      <c r="N216" s="1"/>
    </row>
    <row r="217">
      <c r="A217" s="1"/>
      <c r="B217" s="14" t="s">
        <v>2602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4"/>
    </row>
    <row r="218">
      <c r="A218" s="1"/>
      <c r="B218" s="4" t="s">
        <v>2604</v>
      </c>
      <c r="D218" s="9"/>
      <c r="E218" s="17" t="s">
        <v>14</v>
      </c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25" t="s">
        <v>488</v>
      </c>
      <c r="E219" s="26" t="s">
        <v>234</v>
      </c>
      <c r="F219" s="18" t="str">
        <f>HYPERLINK("https://www.youtube.com/watch?v=1oDoVpOczgs",'Players&gt;List'!$B11)</f>
        <v>[CHB]</v>
      </c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25" t="s">
        <v>649</v>
      </c>
      <c r="E220" s="26" t="s">
        <v>147</v>
      </c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25" t="s">
        <v>88</v>
      </c>
      <c r="E221" s="26" t="s">
        <v>147</v>
      </c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25" t="s">
        <v>149</v>
      </c>
      <c r="E222" s="26" t="s">
        <v>147</v>
      </c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25" t="s">
        <v>197</v>
      </c>
      <c r="E223" s="26" t="s">
        <v>147</v>
      </c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25" t="s">
        <v>2557</v>
      </c>
      <c r="E224" s="26" t="s">
        <v>2185</v>
      </c>
      <c r="F224" s="18" t="str">
        <f>HYPERLINK("https://www.youtube.com/watch?v=-xpAyZ-LlYs",'Players&gt;List'!$B23)</f>
        <v>[MOL]</v>
      </c>
      <c r="G224" s="18" t="str">
        <f>HYPERLINK("https://www.youtube.com/watch?v=HZj0lS0HZrA&amp;index=239&amp;t=0s&amp;list=PLbU6uWaIKemqNvTeRxK-Ay6PRg9iwCKVi",'Players&gt;List'!$B19)</f>
        <v>[HIT]</v>
      </c>
      <c r="H224" s="18" t="str">
        <f>HYPERLINK("https://www.youtube.com/watch?v=nP-otW-mGLs",'Players&gt;List'!$B11)</f>
        <v>[CHB]</v>
      </c>
      <c r="I224" s="1"/>
      <c r="J224" s="1"/>
      <c r="K224" s="1"/>
      <c r="L224" s="1"/>
      <c r="M224" s="1"/>
      <c r="N224" s="1"/>
    </row>
    <row r="225">
      <c r="A225" s="1"/>
      <c r="B225" s="14" t="s">
        <v>2615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4"/>
    </row>
    <row r="226">
      <c r="A226" s="1"/>
      <c r="B226" s="4" t="s">
        <v>2617</v>
      </c>
      <c r="D226" s="9"/>
      <c r="E226" s="17" t="s">
        <v>14</v>
      </c>
      <c r="F226" s="18" t="str">
        <f>HYPERLINK("https://www.youtube.com/watch?v=Oew_mBZbBco",'Players&gt;List'!$B18)</f>
        <v>[HGB]</v>
      </c>
      <c r="G226" s="18" t="str">
        <f>HYPERLINK("https://www.youtube.com/watch?v=N2Kiy93teaQ",'Players&gt;List'!$B28)</f>
        <v>[SUN]</v>
      </c>
      <c r="H226" s="1"/>
      <c r="I226" s="1"/>
      <c r="J226" s="1"/>
      <c r="K226" s="1"/>
      <c r="L226" s="1"/>
      <c r="M226" s="1"/>
      <c r="N226" s="1"/>
    </row>
    <row r="227">
      <c r="A227" s="1"/>
      <c r="B227" s="25" t="s">
        <v>2532</v>
      </c>
      <c r="E227" s="26" t="s">
        <v>380</v>
      </c>
      <c r="F227" s="18" t="str">
        <f>HYPERLINK("https://www.youtube.com/watch?v=n5fsoib-x6A",'Players&gt;List'!$B11)</f>
        <v>[CHB]</v>
      </c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25" t="s">
        <v>2618</v>
      </c>
      <c r="E228" s="26" t="s">
        <v>1418</v>
      </c>
      <c r="F228" s="18" t="str">
        <f>HYPERLINK("https://www.youtube.com/watch?v=YAo_X9koNZU",'Players&gt;List'!$B11)</f>
        <v>[CHB]</v>
      </c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25" t="s">
        <v>2625</v>
      </c>
      <c r="E229" s="26" t="s">
        <v>1418</v>
      </c>
      <c r="F229" s="18" t="str">
        <f>HYPERLINK("https://www.youtube.com/watch?v=wXOAr-QRsfw",'Players&gt;List'!$B11)</f>
        <v>[CHB]</v>
      </c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25" t="s">
        <v>2629</v>
      </c>
      <c r="E230" s="26" t="s">
        <v>1418</v>
      </c>
      <c r="F230" s="18" t="str">
        <f>HYPERLINK("https://www.youtube.com/watch?v=uuAh80-z1PM",'Players&gt;List'!$B11)</f>
        <v>[CHB]</v>
      </c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25" t="s">
        <v>2632</v>
      </c>
      <c r="E231" s="26" t="s">
        <v>1418</v>
      </c>
      <c r="F231" s="18" t="str">
        <f>HYPERLINK("https://www.youtube.com/watch?v=P-5_bR0sjPE",'Players&gt;List'!$B11)</f>
        <v>[CHB]</v>
      </c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25" t="s">
        <v>2634</v>
      </c>
      <c r="E232" s="26" t="s">
        <v>1418</v>
      </c>
      <c r="F232" s="18" t="str">
        <f>HYPERLINK("https://www.youtube.com/watch?v=7KJbM80inAc",'Players&gt;List'!$B11)</f>
        <v>[CHB]</v>
      </c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4" t="s">
        <v>2635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4"/>
    </row>
    <row r="234">
      <c r="A234" s="1"/>
      <c r="B234" s="4" t="s">
        <v>2636</v>
      </c>
      <c r="D234" s="9"/>
      <c r="E234" s="17" t="s">
        <v>14</v>
      </c>
      <c r="F234" s="18" t="str">
        <f>HYPERLINK("https://www.youtube.com/watch?v=AGS2xLBjbLQ",'Players&gt;List'!$B18)</f>
        <v>[HGB]</v>
      </c>
      <c r="G234" s="18" t="str">
        <f>HYPERLINK("https://www.youtube.com/watch?v=Iu4ubiWbJZA",'Players&gt;List'!$B28)</f>
        <v>[SUN]</v>
      </c>
      <c r="H234" s="18" t="str">
        <f>HYPERLINK("https://www.youtube.com/watch?v=e3jGwGo2qcs",'Players&gt;List'!$B11)</f>
        <v>[CHB]</v>
      </c>
      <c r="I234" s="1"/>
      <c r="J234" s="1"/>
      <c r="K234" s="1"/>
      <c r="L234" s="1"/>
      <c r="M234" s="1"/>
      <c r="N234" s="1"/>
    </row>
    <row r="235">
      <c r="A235" s="1"/>
      <c r="B235" s="25" t="s">
        <v>149</v>
      </c>
      <c r="E235" s="26" t="s">
        <v>90</v>
      </c>
      <c r="F235" s="18" t="str">
        <f>HYPERLINK("https://www.youtube.com/watch?v=4-jATz63u9E",'Players&gt;List'!$B28)</f>
        <v>[SUN]</v>
      </c>
      <c r="G235" s="18" t="str">
        <f>HYPERLINK("https://www.youtube.com/watch?v=MlPDXQB_rek",'Players&gt;List'!$B11)</f>
        <v>[CHB]</v>
      </c>
      <c r="H235" s="1"/>
      <c r="I235" s="1"/>
      <c r="J235" s="1"/>
      <c r="K235" s="1"/>
      <c r="L235" s="1"/>
      <c r="M235" s="1"/>
      <c r="N235" s="1"/>
    </row>
    <row r="236">
      <c r="A236" s="1"/>
      <c r="B236" s="14" t="s">
        <v>2644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4"/>
    </row>
    <row r="237">
      <c r="A237" s="1"/>
      <c r="B237" s="4" t="s">
        <v>2646</v>
      </c>
      <c r="D237" s="9"/>
      <c r="E237" s="17" t="s">
        <v>14</v>
      </c>
      <c r="F237" s="18" t="str">
        <f>HYPERLINK("https://www.youtube.com/watch?v=u8kbJ1Z2t9I",'Players&gt;List'!$B11)</f>
        <v>[CHB]</v>
      </c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25" t="s">
        <v>117</v>
      </c>
      <c r="E238" s="26" t="s">
        <v>110</v>
      </c>
      <c r="F238" s="18" t="str">
        <f>HYPERLINK("https://www.youtube.com/watch?v=v3wsrpby9Rk",'Players&gt;List'!$B11)</f>
        <v>[CHB]</v>
      </c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25" t="s">
        <v>149</v>
      </c>
      <c r="E239" s="26" t="s">
        <v>147</v>
      </c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25" t="s">
        <v>197</v>
      </c>
      <c r="E240" s="26" t="s">
        <v>147</v>
      </c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25" t="s">
        <v>88</v>
      </c>
      <c r="E241" s="26" t="s">
        <v>147</v>
      </c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25" t="s">
        <v>108</v>
      </c>
      <c r="E242" s="26" t="s">
        <v>132</v>
      </c>
      <c r="F242" s="18" t="str">
        <f>HYPERLINK("https://www.youtube.com/watch?v=15QXEOdLjIA",'Players&gt;List'!$B11)</f>
        <v>[CHB]</v>
      </c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4" t="s">
        <v>2653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4"/>
    </row>
    <row r="244">
      <c r="A244" s="1"/>
      <c r="B244" s="4" t="s">
        <v>2655</v>
      </c>
      <c r="D244" s="9"/>
      <c r="E244" s="17" t="s">
        <v>14</v>
      </c>
      <c r="F244" s="18" t="str">
        <f>HYPERLINK("https://www.youtube.com/watch?v=SPdYk-ubpM4",'Players&gt;List'!$B11)</f>
        <v>[CHB]</v>
      </c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25" t="s">
        <v>149</v>
      </c>
      <c r="E245" s="26" t="s">
        <v>90</v>
      </c>
      <c r="F245" s="18" t="str">
        <f>HYPERLINK("https://www.youtube.com/watch?v=vWC0w3t4qS4",'Players&gt;List'!$B11)</f>
        <v>[CHB]</v>
      </c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25" t="s">
        <v>197</v>
      </c>
      <c r="E246" s="26" t="s">
        <v>147</v>
      </c>
      <c r="F246" s="18" t="str">
        <f>HYPERLINK("https://www.youtube.com/watch?v=6x2HqAX5AGo",'Players&gt;List'!$B11)</f>
        <v>[CHB]</v>
      </c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4" t="s">
        <v>2658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4"/>
    </row>
    <row r="248">
      <c r="A248" s="1"/>
      <c r="B248" s="4" t="s">
        <v>2660</v>
      </c>
      <c r="D248" s="9"/>
      <c r="E248" s="17" t="s">
        <v>14</v>
      </c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25" t="s">
        <v>2296</v>
      </c>
      <c r="E249" s="26" t="s">
        <v>234</v>
      </c>
      <c r="F249" s="18" t="str">
        <f>HYPERLINK("https://www.youtube.com/watch?v=XlJ6ouJ0jsk",'Players&gt;List'!$B18)</f>
        <v>[HGB]</v>
      </c>
      <c r="G249" s="18" t="str">
        <f>HYPERLINK("https://www.youtube.com/watch?v=P9Ay47oCm_w",'Players&gt;List'!$B11)</f>
        <v>[CHB]</v>
      </c>
      <c r="H249" s="1"/>
      <c r="I249" s="1"/>
      <c r="J249" s="1"/>
      <c r="K249" s="1"/>
      <c r="L249" s="1"/>
      <c r="M249" s="1"/>
      <c r="N249" s="1"/>
    </row>
    <row r="250">
      <c r="A250" s="1"/>
      <c r="B250" s="25" t="s">
        <v>1797</v>
      </c>
      <c r="E250" s="26" t="s">
        <v>358</v>
      </c>
      <c r="F250" s="18" t="str">
        <f>HYPERLINK("https://www.youtube.com/watch?v=LrQJN7k3VTo",'Players&gt;List'!$B11)</f>
        <v>[CHB]</v>
      </c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25" t="s">
        <v>157</v>
      </c>
      <c r="E251" s="26" t="s">
        <v>132</v>
      </c>
      <c r="F251" s="18" t="str">
        <f>HYPERLINK("https://www.youtube.com/watch?v=A3rsrdnEqoM",'Players&gt;List'!$B11)</f>
        <v>[CHB]</v>
      </c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25" t="s">
        <v>149</v>
      </c>
      <c r="E252" s="26" t="s">
        <v>147</v>
      </c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4" t="s">
        <v>2667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4"/>
    </row>
    <row r="254">
      <c r="A254" s="1"/>
      <c r="B254" s="4" t="s">
        <v>2671</v>
      </c>
      <c r="D254" s="9"/>
      <c r="E254" s="17" t="s">
        <v>14</v>
      </c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25" t="s">
        <v>131</v>
      </c>
      <c r="E255" s="26" t="s">
        <v>110</v>
      </c>
      <c r="F255" s="18" t="str">
        <f>HYPERLINK("https://www.youtube.com/watch?v=qti80lhHEvI&amp;list=PLbVGARhZL4D1Fo-xU8qJSC8cVNGL2l85v&amp;index=4",'Players&gt;List'!$B18)</f>
        <v>[HGB]</v>
      </c>
      <c r="G255" s="18" t="str">
        <f>HYPERLINK("https://www.youtube.com/watch?v=QY1jwkp1Kd4&amp;index=3&amp;list=PLbVGARhZL4D1Fo-xU8qJSC8cVNGL2l85v",'Players&gt;List'!$B19)</f>
        <v>[HIT]</v>
      </c>
      <c r="H255" s="18" t="str">
        <f>HYPERLINK("https://www.youtube.com/watch?v=jypqoWbRATM&amp;list=PLbVGARhZL4D1Fo-xU8qJSC8cVNGL2l85v&amp;index=2",'Players&gt;List'!$B14)</f>
        <v>[ESP]</v>
      </c>
      <c r="I255" s="18" t="str">
        <f>HYPERLINK("https://youtu.be/xsMjRkuv2e8",'Players&gt;List'!$B11)</f>
        <v>[CHB]</v>
      </c>
      <c r="J255" s="1"/>
      <c r="K255" s="1"/>
      <c r="L255" s="1"/>
      <c r="M255" s="1"/>
      <c r="N255" s="1"/>
    </row>
    <row r="256">
      <c r="A256" s="1"/>
      <c r="B256" s="25" t="s">
        <v>197</v>
      </c>
      <c r="E256" s="26" t="s">
        <v>147</v>
      </c>
      <c r="F256" s="18" t="str">
        <f>HYPERLINK("https://www.youtube.com/watch?v=amsBTz5dpfk",'Players&gt;List'!$B11)</f>
        <v>[CHB]</v>
      </c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4" t="s">
        <v>2681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4"/>
    </row>
    <row r="258">
      <c r="A258" s="1"/>
      <c r="B258" s="4" t="s">
        <v>2684</v>
      </c>
      <c r="D258" s="9"/>
      <c r="E258" s="17" t="s">
        <v>14</v>
      </c>
      <c r="F258" s="18" t="str">
        <f>HYPERLINK("https://www.youtube.com/watch?v=NDP6Bqo_pHs",'Players&gt;List'!$B11)</f>
        <v>[CHB]</v>
      </c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25" t="s">
        <v>2687</v>
      </c>
      <c r="E259" s="26" t="s">
        <v>110</v>
      </c>
      <c r="F259" s="18" t="str">
        <f>HYPERLINK("https://www.youtube.com/watch?v=R8tU94Kw11o",'Players&gt;List'!$B18)</f>
        <v>[HGB]</v>
      </c>
      <c r="G259" s="18" t="str">
        <f>HYPERLINK("https://www.youtube.com/watch?v=dOYaxT-D9D4",'Players&gt;List'!$B11)</f>
        <v>[CHB]</v>
      </c>
      <c r="H259" s="1"/>
      <c r="I259" s="1"/>
      <c r="J259" s="1"/>
      <c r="K259" s="1"/>
      <c r="L259" s="1"/>
      <c r="M259" s="1"/>
      <c r="N259" s="1"/>
    </row>
    <row r="260">
      <c r="A260" s="1"/>
      <c r="B260" s="25" t="s">
        <v>327</v>
      </c>
      <c r="E260" s="26" t="s">
        <v>132</v>
      </c>
      <c r="F260" s="18" t="str">
        <f>HYPERLINK("https://www.youtube.com/watch?v=NDP6Bqo_pHs",'Players&gt;List'!$B11)</f>
        <v>[CHB]</v>
      </c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25" t="s">
        <v>149</v>
      </c>
      <c r="E261" s="26" t="s">
        <v>147</v>
      </c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25" t="s">
        <v>444</v>
      </c>
      <c r="E262" s="26" t="s">
        <v>147</v>
      </c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4" t="s">
        <v>2696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4"/>
    </row>
    <row r="264">
      <c r="A264" s="1"/>
      <c r="B264" s="4" t="s">
        <v>2697</v>
      </c>
      <c r="D264" s="9"/>
      <c r="E264" s="17" t="s">
        <v>14</v>
      </c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25" t="s">
        <v>2532</v>
      </c>
      <c r="E265" s="26" t="s">
        <v>380</v>
      </c>
      <c r="F265" s="18" t="str">
        <f>HYPERLINK("https://www.youtube.com/watch?v=HIbE9FzYqYY",'Players&gt;List'!$B11)</f>
        <v>[CHB]</v>
      </c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25" t="s">
        <v>2701</v>
      </c>
      <c r="E266" s="26" t="s">
        <v>147</v>
      </c>
      <c r="F266" s="18" t="str">
        <f>HYPERLINK("https://www.youtube.com/watch?v=g89Wf1zTTWw",'Players&gt;List'!$B11)</f>
        <v>[CHB]</v>
      </c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25" t="s">
        <v>108</v>
      </c>
      <c r="E267" s="26" t="s">
        <v>132</v>
      </c>
      <c r="F267" s="18" t="str">
        <f>HYPERLINK("https://www.youtube.com/watch?v=qlJ4VSeOgvI",'Players&gt;List'!$B11)</f>
        <v>[CHB]</v>
      </c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4" t="s">
        <v>2702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4"/>
    </row>
    <row r="269">
      <c r="A269" s="1"/>
      <c r="B269" s="4" t="s">
        <v>2703</v>
      </c>
      <c r="D269" s="9"/>
      <c r="E269" s="17" t="s">
        <v>14</v>
      </c>
      <c r="F269" s="18" t="str">
        <f>HYPERLINK("https://www.youtube.com/watch?v=dz_4jxTqNxE",'Players&gt;List'!$B11)</f>
        <v>[CHB]</v>
      </c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25" t="s">
        <v>88</v>
      </c>
      <c r="E270" s="26" t="s">
        <v>90</v>
      </c>
      <c r="F270" s="18" t="str">
        <f>HYPERLINK("https://youtu.be/dz_4jxTqNxE?t=29",'Players&gt;List'!$B11)</f>
        <v>[CHB]</v>
      </c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4" t="s">
        <v>2705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4"/>
    </row>
    <row r="272">
      <c r="A272" s="1"/>
      <c r="B272" s="4" t="s">
        <v>2706</v>
      </c>
      <c r="D272" s="9"/>
      <c r="E272" s="17" t="s">
        <v>14</v>
      </c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25" t="s">
        <v>488</v>
      </c>
      <c r="E273" s="26" t="s">
        <v>234</v>
      </c>
      <c r="F273" s="18" t="str">
        <f>HYPERLINK("https://www.youtube.com/watch?v=GHq8DeQMFcI",'Players&gt;List'!$B11)</f>
        <v>[CHB]</v>
      </c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25" t="s">
        <v>149</v>
      </c>
      <c r="E274" s="26" t="s">
        <v>147</v>
      </c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25" t="s">
        <v>88</v>
      </c>
      <c r="E275" s="26" t="s">
        <v>147</v>
      </c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25" t="s">
        <v>1385</v>
      </c>
      <c r="E276" s="26" t="s">
        <v>132</v>
      </c>
      <c r="F276" s="18" t="str">
        <f>HYPERLINK("https://www.youtube.com/watch?v=6rjY2uAp4PQ",'Players&gt;List'!$B23)</f>
        <v>[MOL]</v>
      </c>
      <c r="G276" s="18" t="str">
        <f>HYPERLINK("https://www.youtube.com/watch?v=q1MFkjyjc2o",'Players&gt;List'!$B11)</f>
        <v>[CHB]</v>
      </c>
      <c r="H276" s="1"/>
      <c r="I276" s="1"/>
      <c r="J276" s="1"/>
      <c r="K276" s="1"/>
      <c r="L276" s="1"/>
      <c r="M276" s="1"/>
      <c r="N276" s="1"/>
    </row>
    <row r="277">
      <c r="A277" s="1"/>
      <c r="B277" s="25" t="s">
        <v>2713</v>
      </c>
      <c r="E277" s="26" t="s">
        <v>132</v>
      </c>
      <c r="F277" s="18" t="str">
        <f>HYPERLINK("https://www.youtube.com/watch?v=uibZY-18W3w",'Players&gt;List'!$B11)</f>
        <v>[CHB]</v>
      </c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25" t="s">
        <v>400</v>
      </c>
      <c r="E278" s="26" t="s">
        <v>358</v>
      </c>
      <c r="F278" s="18" t="str">
        <f>HYPERLINK("https://www.youtube.com/watch?v=2nZ2eh5NJ8A",'Players&gt;List'!$B11)</f>
        <v>[CHB]</v>
      </c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4" t="s">
        <v>2720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4"/>
    </row>
    <row r="280">
      <c r="A280" s="1"/>
      <c r="B280" s="4" t="s">
        <v>2722</v>
      </c>
      <c r="D280" s="9"/>
      <c r="E280" s="17" t="s">
        <v>14</v>
      </c>
      <c r="F280" s="18" t="str">
        <f>HYPERLINK("https://www.youtube.com/watch?v=N8l9um_WQ1s",'Players&gt;List'!$B11)</f>
        <v>[CHB]</v>
      </c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25" t="s">
        <v>88</v>
      </c>
      <c r="E281" s="26" t="s">
        <v>90</v>
      </c>
      <c r="F281" s="18" t="str">
        <f>HYPERLINK("https://www.youtube.com/watch?v=UesUo7avRSs",'Players&gt;List'!$B11)</f>
        <v>[CHB]</v>
      </c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4" t="s">
        <v>2727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4"/>
    </row>
    <row r="283">
      <c r="A283" s="1"/>
      <c r="B283" s="4" t="s">
        <v>2729</v>
      </c>
      <c r="D283" s="9"/>
      <c r="E283" s="17" t="s">
        <v>14</v>
      </c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25" t="s">
        <v>131</v>
      </c>
      <c r="E284" s="26" t="s">
        <v>110</v>
      </c>
      <c r="F284" s="18" t="str">
        <f>HYPERLINK("https://www.youtube.com/watch?v=a23qAQB6-To&amp;index=142&amp;list=PLbU6uWaIKemqNvTeRxK-Ay6PRg9iwCKVi&amp;t=0s",'Players&gt;List'!$B19)</f>
        <v>[HIT]</v>
      </c>
      <c r="G284" s="18" t="str">
        <f>HYPERLINK("https://www.youtube.com/watch?v=3XoyQvFH2N4",'Players&gt;List'!$B11)</f>
        <v>[CHB]</v>
      </c>
      <c r="H284" s="1"/>
      <c r="I284" s="1"/>
      <c r="J284" s="1"/>
      <c r="K284" s="1"/>
      <c r="L284" s="1"/>
      <c r="M284" s="1"/>
      <c r="N284" s="1"/>
    </row>
    <row r="285">
      <c r="A285" s="1"/>
      <c r="B285" s="25" t="s">
        <v>157</v>
      </c>
      <c r="E285" s="26" t="s">
        <v>132</v>
      </c>
      <c r="F285" s="18" t="str">
        <f>HYPERLINK("https://www.youtube.com/watch?v=6XhbbW6tumI",'Players&gt;List'!$B11)</f>
        <v>[CHB]</v>
      </c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4" t="s">
        <v>2734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4"/>
    </row>
    <row r="287">
      <c r="A287" s="1"/>
      <c r="B287" s="4" t="s">
        <v>2737</v>
      </c>
      <c r="D287" s="9"/>
      <c r="E287" s="17" t="s">
        <v>14</v>
      </c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25" t="s">
        <v>335</v>
      </c>
      <c r="E288" s="26" t="s">
        <v>90</v>
      </c>
      <c r="F288" s="18" t="str">
        <f>HYPERLINK("https://www.youtube.com/watch?v=3lrRfvjlmFQ",'Players&gt;List'!$B11)</f>
        <v>[CHB]</v>
      </c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25" t="s">
        <v>2296</v>
      </c>
      <c r="E289" s="26" t="s">
        <v>358</v>
      </c>
      <c r="F289" s="18" t="str">
        <f>HYPERLINK("https://www.youtube.com/watch?v=zRKBYTdNiKg",'Players&gt;List'!$B11)</f>
        <v>[CHB]</v>
      </c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25" t="s">
        <v>2171</v>
      </c>
      <c r="E290" s="26" t="s">
        <v>1418</v>
      </c>
      <c r="F290" s="18" t="str">
        <f>HYPERLINK("https://www.youtube.com/watch?v=ZRowBtmsQSI",'Players&gt;List'!$B11)</f>
        <v>[CHB]</v>
      </c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25" t="s">
        <v>149</v>
      </c>
      <c r="E291" s="26" t="s">
        <v>147</v>
      </c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25" t="s">
        <v>197</v>
      </c>
      <c r="E292" s="26" t="s">
        <v>147</v>
      </c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25" t="s">
        <v>88</v>
      </c>
      <c r="E293" s="26" t="s">
        <v>147</v>
      </c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4" t="s">
        <v>2746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4"/>
    </row>
    <row r="295">
      <c r="A295" s="1"/>
      <c r="B295" s="4" t="s">
        <v>2747</v>
      </c>
      <c r="D295" s="9"/>
      <c r="E295" s="17" t="s">
        <v>14</v>
      </c>
      <c r="F295" s="18" t="str">
        <f>HYPERLINK("https://www.youtube.com/watch?v=vPjn_qoMnzc",'Players&gt;List'!$B18)</f>
        <v>[HGB]</v>
      </c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25" t="s">
        <v>649</v>
      </c>
      <c r="E296" s="26" t="s">
        <v>90</v>
      </c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25" t="s">
        <v>149</v>
      </c>
      <c r="E297" s="26" t="s">
        <v>147</v>
      </c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25" t="s">
        <v>131</v>
      </c>
      <c r="E298" s="26" t="s">
        <v>132</v>
      </c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25" t="s">
        <v>400</v>
      </c>
      <c r="E299" s="26" t="s">
        <v>358</v>
      </c>
      <c r="F299" s="18" t="str">
        <f>HYPERLINK("https://www.youtube.com/watch?v=AtnOHgfYGWg",'Players&gt;List'!$B11)</f>
        <v>[CHB]</v>
      </c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4" t="s">
        <v>2752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4"/>
    </row>
    <row r="301">
      <c r="A301" s="1"/>
      <c r="B301" s="4" t="s">
        <v>2753</v>
      </c>
      <c r="D301" s="9"/>
      <c r="E301" s="17" t="s">
        <v>14</v>
      </c>
      <c r="F301" s="18" t="str">
        <f>HYPERLINK("https://www.youtube.com/watch?v=IqMkDp4TRbw",'Players&gt;List'!$B18)</f>
        <v>[HGB]</v>
      </c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25" t="s">
        <v>2754</v>
      </c>
      <c r="E302" s="26" t="s">
        <v>110</v>
      </c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25" t="s">
        <v>2251</v>
      </c>
      <c r="E303" s="26" t="s">
        <v>358</v>
      </c>
      <c r="F303" s="18" t="str">
        <f>HYPERLINK("https://www.youtube.com/watch?v=-jJLvBq-vL8",'Players&gt;List'!$B11)</f>
        <v>[CHB]</v>
      </c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25" t="s">
        <v>2241</v>
      </c>
      <c r="E304" s="26" t="s">
        <v>132</v>
      </c>
      <c r="F304" s="18" t="str">
        <f>HYPERLINK("https://www.youtube.com/watch?v=2N76T2403s0",'Players&gt;List'!$B11)</f>
        <v>[CHB]</v>
      </c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25" t="s">
        <v>2551</v>
      </c>
      <c r="E305" s="26" t="s">
        <v>132</v>
      </c>
      <c r="F305" s="18" t="str">
        <f>HYPERLINK("https://www.youtube.com/watch?v=m_FVPjf6EHo",'Players&gt;List'!$B11)</f>
        <v>[CHB]</v>
      </c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25" t="s">
        <v>149</v>
      </c>
      <c r="E306" s="26" t="s">
        <v>147</v>
      </c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25" t="s">
        <v>197</v>
      </c>
      <c r="E307" s="26" t="s">
        <v>147</v>
      </c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4" t="s">
        <v>2761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4"/>
    </row>
    <row r="309">
      <c r="A309" s="1"/>
      <c r="B309" s="4" t="s">
        <v>2763</v>
      </c>
      <c r="D309" s="9"/>
      <c r="E309" s="17" t="s">
        <v>14</v>
      </c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25" t="s">
        <v>149</v>
      </c>
      <c r="E310" s="26" t="s">
        <v>90</v>
      </c>
      <c r="F310" s="18" t="str">
        <f>HYPERLINK("https://www.youtube.com/watch?v=FlYsdB8jWgg",'Players&gt;List'!$B18)</f>
        <v>[HGB]</v>
      </c>
      <c r="G310" s="18" t="str">
        <f>HYPERLINK("https://www.youtube.com/watch?v=2mTO6o9ruLc",'Players&gt;List'!$B11)</f>
        <v>[CHB]</v>
      </c>
      <c r="H310" s="1"/>
      <c r="I310" s="1"/>
      <c r="J310" s="1"/>
      <c r="K310" s="1"/>
      <c r="L310" s="1"/>
      <c r="M310" s="1"/>
      <c r="N310" s="1"/>
    </row>
    <row r="311">
      <c r="A311" s="1"/>
      <c r="B311" s="25" t="s">
        <v>488</v>
      </c>
      <c r="E311" s="26" t="s">
        <v>358</v>
      </c>
      <c r="F311" s="18" t="str">
        <f>HYPERLINK("https://www.youtube.com/watch?v=I0y6euvYB8k",'Players&gt;List'!$B11)</f>
        <v>[CHB]</v>
      </c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25" t="s">
        <v>108</v>
      </c>
      <c r="E312" s="26" t="s">
        <v>132</v>
      </c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25" t="s">
        <v>973</v>
      </c>
      <c r="E313" s="26" t="s">
        <v>358</v>
      </c>
      <c r="F313" s="18" t="str">
        <f>HYPERLINK("https://www.youtube.com/watch?v=z9y4u5J_zK4",'Players&gt;List'!$B11)</f>
        <v>[CHB]</v>
      </c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25" t="s">
        <v>649</v>
      </c>
      <c r="E314" s="26" t="s">
        <v>147</v>
      </c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25" t="s">
        <v>157</v>
      </c>
      <c r="E315" s="26" t="s">
        <v>132</v>
      </c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4" t="s">
        <v>2777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4"/>
    </row>
    <row r="317">
      <c r="A317" s="1"/>
      <c r="B317" s="4" t="s">
        <v>2780</v>
      </c>
      <c r="D317" s="9"/>
      <c r="E317" s="17" t="s">
        <v>14</v>
      </c>
      <c r="F317" s="18" t="str">
        <f>HYPERLINK("https://www.youtube.com/watch?v=CWt4oSLRf38",'Players&gt;List'!$B11)</f>
        <v>[CHB]</v>
      </c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25" t="s">
        <v>117</v>
      </c>
      <c r="E318" s="26" t="s">
        <v>110</v>
      </c>
      <c r="F318" s="18" t="str">
        <f>HYPERLINK("https://www.youtube.com/watch?v=q4K9l8Mw9SE",'Players&gt;List'!$B18)</f>
        <v>[HGB]</v>
      </c>
      <c r="G318" s="18" t="str">
        <f>HYPERLINK("https://www.youtube.com/watch?v=ilGkmeUtbtE",'Players&gt;List'!$B11)</f>
        <v>[CHB]</v>
      </c>
      <c r="H318" s="1"/>
      <c r="I318" s="1"/>
      <c r="J318" s="1"/>
      <c r="K318" s="1"/>
      <c r="L318" s="1"/>
      <c r="M318" s="1"/>
      <c r="N318" s="1"/>
    </row>
    <row r="319">
      <c r="A319" s="1"/>
      <c r="B319" s="25" t="s">
        <v>149</v>
      </c>
      <c r="E319" s="26" t="s">
        <v>147</v>
      </c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25" t="s">
        <v>197</v>
      </c>
      <c r="E320" s="26" t="s">
        <v>147</v>
      </c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25" t="s">
        <v>108</v>
      </c>
      <c r="E321" s="26" t="s">
        <v>132</v>
      </c>
      <c r="F321" s="18" t="str">
        <f>HYPERLINK("https://www.youtube.com/watch?v=GmX-b5wMRrQ",'Players&gt;List'!$B11)</f>
        <v>[CHB]</v>
      </c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4" t="s">
        <v>2793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4"/>
    </row>
    <row r="323">
      <c r="A323" s="1"/>
      <c r="B323" s="4" t="s">
        <v>2795</v>
      </c>
      <c r="D323" s="9"/>
      <c r="E323" s="17" t="s">
        <v>14</v>
      </c>
      <c r="F323" s="18" t="str">
        <f>HYPERLINK("https://www.youtube.com/watch?v=plOV7mzj3JQ",'Players&gt;List'!$B18)</f>
        <v>[HGB]</v>
      </c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25" t="s">
        <v>117</v>
      </c>
      <c r="E324" s="26" t="s">
        <v>110</v>
      </c>
      <c r="F324" s="18" t="str">
        <f>HYPERLINK("https://www.youtube.com/watch?v=450Z7soaK3k&amp;t=0s&amp;list=PLbU6uWaIKemqNvTeRxK-Ay6PRg9iwCKVi&amp;index=62",'Players&gt;List'!$B19)</f>
        <v>[HIT]</v>
      </c>
      <c r="G324" s="18" t="str">
        <f>HYPERLINK("https://www.youtube.com/watch?v=8IM_xcXat_g",'Players&gt;List'!$B11)</f>
        <v>[CHB]</v>
      </c>
      <c r="H324" s="1"/>
      <c r="I324" s="1"/>
      <c r="J324" s="1"/>
      <c r="K324" s="1"/>
      <c r="L324" s="1"/>
      <c r="M324" s="1"/>
      <c r="N324" s="1"/>
    </row>
    <row r="325">
      <c r="A325" s="1"/>
      <c r="B325" s="25" t="s">
        <v>2801</v>
      </c>
      <c r="E325" s="26" t="s">
        <v>1418</v>
      </c>
      <c r="F325" s="18" t="str">
        <f>HYPERLINK("https://www.youtube.com/watch?v=eIFqP3SRBro",'Players&gt;List'!$B11)</f>
        <v>[CHB]</v>
      </c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25" t="s">
        <v>2803</v>
      </c>
      <c r="E326" s="26" t="s">
        <v>1418</v>
      </c>
      <c r="F326" s="18" t="str">
        <f>HYPERLINK("https://www.youtube.com/watch?v=CfJek6QuG40",'Players&gt;List'!$B11)</f>
        <v>[CHB]</v>
      </c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25" t="s">
        <v>149</v>
      </c>
      <c r="E327" s="26" t="s">
        <v>147</v>
      </c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25" t="s">
        <v>2183</v>
      </c>
      <c r="E328" s="26" t="s">
        <v>1418</v>
      </c>
      <c r="F328" s="18" t="str">
        <f>HYPERLINK("https://www.youtube.com/watch?v=br0y5tCCwWk&amp;t=0s&amp;list=PLbU6uWaIKemqNvTeRxK-Ay6PRg9iwCKVi&amp;index=61",'Players&gt;List'!$B19)</f>
        <v>[HIT]</v>
      </c>
      <c r="G328" s="18" t="str">
        <f>HYPERLINK("https://www.youtube.com/watch?v=yHEH_Mk8CMU",'Players&gt;List'!$B11)</f>
        <v>[CHB]</v>
      </c>
      <c r="H328" s="1"/>
      <c r="I328" s="1"/>
      <c r="J328" s="1"/>
      <c r="K328" s="1"/>
      <c r="L328" s="1"/>
      <c r="M328" s="1"/>
      <c r="N328" s="1"/>
    </row>
    <row r="329">
      <c r="A329" s="1"/>
      <c r="B329" s="25" t="s">
        <v>855</v>
      </c>
      <c r="E329" s="26" t="s">
        <v>132</v>
      </c>
      <c r="F329" s="18" t="str">
        <f>HYPERLINK("https://www.youtube.com/watch?v=X9rJBlnc0rQ",'Players&gt;List'!$B11)</f>
        <v>[CHB]</v>
      </c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4" t="s">
        <v>2810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4"/>
    </row>
    <row r="331">
      <c r="A331" s="1"/>
      <c r="B331" s="4" t="s">
        <v>2811</v>
      </c>
      <c r="D331" s="9"/>
      <c r="E331" s="17" t="s">
        <v>14</v>
      </c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25" t="s">
        <v>117</v>
      </c>
      <c r="E332" s="26" t="s">
        <v>110</v>
      </c>
      <c r="F332" s="18" t="str">
        <f>HYPERLINK("https://www.youtube.com/watch?v=YMJBftGYbHQ",'Players&gt;List'!$B23)</f>
        <v>[MOL]</v>
      </c>
      <c r="G332" s="18" t="str">
        <f>HYPERLINK("https://www.youtube.com/watch?v=ssxqK9535BQ",'Players&gt;List'!$B11)</f>
        <v>[CHB]</v>
      </c>
      <c r="H332" s="1"/>
      <c r="I332" s="1"/>
      <c r="J332" s="1"/>
      <c r="K332" s="1"/>
      <c r="L332" s="1"/>
      <c r="M332" s="1"/>
      <c r="N332" s="1"/>
    </row>
    <row r="333">
      <c r="A333" s="1"/>
      <c r="B333" s="25" t="s">
        <v>131</v>
      </c>
      <c r="E333" s="26" t="s">
        <v>132</v>
      </c>
      <c r="F333" s="18" t="str">
        <f>HYPERLINK("https://www.youtube.com/watch?v=N02i6QhiREQ",'Players&gt;List'!$B11)</f>
        <v>[CHB]</v>
      </c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25" t="s">
        <v>108</v>
      </c>
      <c r="E334" s="26" t="s">
        <v>132</v>
      </c>
      <c r="F334" s="18" t="str">
        <f>HYPERLINK("https://www.youtube.com/watch?v=31dGeUWOx6M",'Players&gt;List'!$B11)</f>
        <v>[CHB]</v>
      </c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4" t="s">
        <v>2824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4"/>
    </row>
    <row r="336">
      <c r="A336" s="1"/>
      <c r="B336" s="4" t="s">
        <v>2826</v>
      </c>
      <c r="D336" s="9"/>
      <c r="E336" s="17" t="s">
        <v>14</v>
      </c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25" t="s">
        <v>649</v>
      </c>
      <c r="E337" s="26" t="s">
        <v>90</v>
      </c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25" t="s">
        <v>2557</v>
      </c>
      <c r="E338" s="26" t="s">
        <v>2185</v>
      </c>
      <c r="F338" s="18" t="str">
        <f>HYPERLINK("https://www.youtube.com/watch?v=g07dp-qmWQI",'Players&gt;List'!$B18)</f>
        <v>[HGB]</v>
      </c>
      <c r="G338" s="18" t="str">
        <f>HYPERLINK("https://www.youtube.com/watch?v=zRMGiPKAEY4",'Players&gt;List'!$B11)</f>
        <v>[CHB]</v>
      </c>
      <c r="H338" s="1"/>
      <c r="I338" s="1"/>
      <c r="J338" s="1"/>
      <c r="K338" s="1"/>
      <c r="L338" s="1"/>
      <c r="M338" s="1"/>
      <c r="N338" s="1"/>
    </row>
    <row r="339">
      <c r="A339" s="1"/>
      <c r="B339" s="25" t="s">
        <v>855</v>
      </c>
      <c r="E339" s="26" t="s">
        <v>132</v>
      </c>
      <c r="F339" s="18" t="str">
        <f>HYPERLINK("https://www.youtube.com/watch?v=H_B5z8H_gdw",'Players&gt;List'!$B11)</f>
        <v>[CHB]</v>
      </c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25" t="s">
        <v>117</v>
      </c>
      <c r="E340" s="26" t="s">
        <v>132</v>
      </c>
      <c r="F340" s="18" t="str">
        <f>HYPERLINK("https://www.youtube.com/watch?v=dZqKrKRoMUA",'Players&gt;List'!$B11)</f>
        <v>[CHB]</v>
      </c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25" t="s">
        <v>488</v>
      </c>
      <c r="E341" s="26" t="s">
        <v>358</v>
      </c>
      <c r="F341" s="18" t="str">
        <f>HYPERLINK("https://www.youtube.com/watch?v=5FkutLjz8XY",'Players&gt;List'!$B11)</f>
        <v>[CHB]</v>
      </c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25" t="s">
        <v>2838</v>
      </c>
      <c r="E342" s="26" t="s">
        <v>2185</v>
      </c>
      <c r="F342" s="18" t="str">
        <f>HYPERLINK("https://www.youtube.com/watch?v=CYdpmRIl_3A",'Players&gt;List'!$B11)</f>
        <v>[CHB]</v>
      </c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4" t="s">
        <v>2842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4"/>
    </row>
    <row r="344">
      <c r="A344" s="1"/>
      <c r="B344" s="4" t="s">
        <v>2844</v>
      </c>
      <c r="D344" s="9"/>
      <c r="E344" s="17" t="s">
        <v>14</v>
      </c>
      <c r="F344" s="18" t="str">
        <f>HYPERLINK("https://www.youtube.com/watch?v=S8KUqSwqZ30",'Players&gt;List'!$B18)</f>
        <v>[HGB]</v>
      </c>
      <c r="G344" s="18" t="str">
        <f>HYPERLINK("https://www.youtube.com/watch?v=CBeKNegqfME&amp;t=0s&amp;list=PLbU6uWaIKemqNvTeRxK-Ay6PRg9iwCKVi&amp;index=100",'Players&gt;List'!$B19)</f>
        <v>[HIT]</v>
      </c>
      <c r="H344" s="18" t="str">
        <f>HYPERLINK("https://www.youtube.com/watch?v=xYTyK5TobxI",'Players&gt;List'!$B11)</f>
        <v>[CHB]</v>
      </c>
      <c r="I344" s="1"/>
      <c r="J344" s="1"/>
      <c r="K344" s="1"/>
      <c r="L344" s="1"/>
      <c r="M344" s="1"/>
      <c r="N344" s="1"/>
    </row>
    <row r="345">
      <c r="A345" s="1"/>
      <c r="B345" s="25" t="s">
        <v>117</v>
      </c>
      <c r="E345" s="26" t="s">
        <v>110</v>
      </c>
      <c r="F345" s="18" t="str">
        <f>HYPERLINK("https://www.youtube.com/watch?v=2SOlR9-w4U4",'Players&gt;List'!$B11)</f>
        <v>[CHB]</v>
      </c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25" t="s">
        <v>149</v>
      </c>
      <c r="E346" s="26" t="s">
        <v>147</v>
      </c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4" t="s">
        <v>2852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4"/>
    </row>
    <row r="348">
      <c r="A348" s="1"/>
      <c r="B348" s="4" t="s">
        <v>2854</v>
      </c>
      <c r="D348" s="9"/>
      <c r="E348" s="17" t="s">
        <v>14</v>
      </c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25" t="s">
        <v>1861</v>
      </c>
      <c r="E349" s="26" t="s">
        <v>234</v>
      </c>
      <c r="F349" s="18" t="str">
        <f>HYPERLINK("https://www.youtube.com/watch?v=bUJimKb3WLE",'Players&gt;List'!$B11)</f>
        <v>[CHB]</v>
      </c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25" t="s">
        <v>335</v>
      </c>
      <c r="E350" s="26" t="s">
        <v>147</v>
      </c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25" t="s">
        <v>149</v>
      </c>
      <c r="E351" s="26" t="s">
        <v>147</v>
      </c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25" t="s">
        <v>88</v>
      </c>
      <c r="E352" s="26" t="s">
        <v>147</v>
      </c>
      <c r="F352" s="18" t="str">
        <f>HYPERLINK("https://www.youtube.com/watch?v=TLECnqGcdq8",'Players&gt;List'!$B11)</f>
        <v>[CHB]</v>
      </c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4" t="s">
        <v>2860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4"/>
    </row>
    <row r="354">
      <c r="A354" s="1"/>
      <c r="B354" s="4" t="s">
        <v>2863</v>
      </c>
      <c r="D354" s="9"/>
      <c r="E354" s="17" t="s">
        <v>14</v>
      </c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25" t="s">
        <v>117</v>
      </c>
      <c r="E355" s="26" t="s">
        <v>110</v>
      </c>
      <c r="F355" s="18" t="str">
        <f>HYPERLINK("https://www.youtube.com/watch?v=orY2ZrnIOlk",'Players&gt;List'!$B18)</f>
        <v>[HGB]</v>
      </c>
      <c r="G355" s="18" t="str">
        <f>HYPERLINK("https://www.youtube.com/watch?v=0xDW-CFhrW8",'Players&gt;List'!$B11)</f>
        <v>[CHB]</v>
      </c>
      <c r="H355" s="1"/>
      <c r="I355" s="1"/>
      <c r="J355" s="1"/>
      <c r="K355" s="1"/>
      <c r="L355" s="1"/>
      <c r="M355" s="1"/>
      <c r="N355" s="1"/>
    </row>
    <row r="356">
      <c r="A356" s="1"/>
      <c r="B356" s="25" t="s">
        <v>149</v>
      </c>
      <c r="E356" s="26" t="s">
        <v>147</v>
      </c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25" t="s">
        <v>157</v>
      </c>
      <c r="E357" s="26" t="s">
        <v>132</v>
      </c>
      <c r="F357" s="18" t="str">
        <f>HYPERLINK("https://www.youtube.com/watch?v=IWPoRgrCVKE",'Players&gt;List'!$B11)</f>
        <v>[CHB]</v>
      </c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25" t="s">
        <v>197</v>
      </c>
      <c r="E358" s="26" t="s">
        <v>147</v>
      </c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25" t="s">
        <v>2803</v>
      </c>
      <c r="E359" s="26" t="s">
        <v>1418</v>
      </c>
      <c r="F359" s="18" t="str">
        <f>HYPERLINK("https://www.youtube.com/watch?v=DDAfNIUMrGY",'Players&gt;List'!$B11)</f>
        <v>[CHB]</v>
      </c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4" t="s">
        <v>2874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4"/>
    </row>
    <row r="361">
      <c r="A361" s="1"/>
      <c r="B361" s="4" t="s">
        <v>2876</v>
      </c>
      <c r="D361" s="9"/>
      <c r="E361" s="17" t="s">
        <v>14</v>
      </c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25" t="s">
        <v>379</v>
      </c>
      <c r="E362" s="26" t="s">
        <v>380</v>
      </c>
      <c r="F362" s="18" t="str">
        <f>HYPERLINK("https://www.youtube.com/watch?v=wC3tvLzZ6Z8",'Players&gt;List'!$B18)</f>
        <v>[HGB]</v>
      </c>
      <c r="G362" s="18" t="str">
        <f>HYPERLINK("https://www.youtube.com/watch?v=OlHio0XFgm4",'Players&gt;List'!$B11)</f>
        <v>[CHB]</v>
      </c>
      <c r="H362" s="1"/>
      <c r="I362" s="1"/>
      <c r="J362" s="1"/>
      <c r="K362" s="1"/>
      <c r="L362" s="1"/>
      <c r="M362" s="1"/>
      <c r="N362" s="1"/>
    </row>
    <row r="363">
      <c r="A363" s="1"/>
      <c r="B363" s="25" t="s">
        <v>131</v>
      </c>
      <c r="E363" s="26" t="s">
        <v>132</v>
      </c>
      <c r="F363" s="18" t="str">
        <f>HYPERLINK("https://www.youtube.com/watch?v=nMR2uoFkfLY",'Players&gt;List'!$B11)</f>
        <v>[CHB]</v>
      </c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25" t="s">
        <v>197</v>
      </c>
      <c r="E364" s="26" t="s">
        <v>147</v>
      </c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25" t="s">
        <v>157</v>
      </c>
      <c r="E365" s="26" t="s">
        <v>132</v>
      </c>
      <c r="F365" s="18" t="str">
        <f>HYPERLINK("https://www.youtube.com/watch?v=Hmj9VBi7VUw",'Players&gt;List'!$B11)</f>
        <v>[CHB]</v>
      </c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25" t="s">
        <v>88</v>
      </c>
      <c r="E366" s="26" t="s">
        <v>147</v>
      </c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25" t="s">
        <v>2303</v>
      </c>
      <c r="E367" s="26" t="s">
        <v>132</v>
      </c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4" t="s">
        <v>2888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4"/>
    </row>
    <row r="369">
      <c r="A369" s="1"/>
      <c r="B369" s="4" t="s">
        <v>2890</v>
      </c>
      <c r="D369" s="9"/>
      <c r="E369" s="17" t="s">
        <v>14</v>
      </c>
      <c r="F369" s="18" t="str">
        <f>HYPERLINK("https://www.youtube.com/watch?v=aM-7EO_h95Q",'Players&gt;List'!$B11)</f>
        <v>[CHB]</v>
      </c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25" t="s">
        <v>117</v>
      </c>
      <c r="E370" s="26" t="s">
        <v>110</v>
      </c>
      <c r="F370" s="18" t="str">
        <f>HYPERLINK("https://www.youtube.com/watch?v=cZ2-lapuLA8",'Players&gt;List'!$B11)</f>
        <v>[CHB]</v>
      </c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25" t="s">
        <v>149</v>
      </c>
      <c r="E371" s="26" t="s">
        <v>147</v>
      </c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25" t="s">
        <v>88</v>
      </c>
      <c r="E372" s="26" t="s">
        <v>147</v>
      </c>
      <c r="F372" s="18" t="str">
        <f>HYPERLINK("https://www.youtube.com/watch?v=Fs9FtVzy61M",'Players&gt;List'!$B18)</f>
        <v>[HGB]</v>
      </c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4" t="s">
        <v>2899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4"/>
    </row>
    <row r="374">
      <c r="A374" s="1"/>
      <c r="B374" s="4" t="s">
        <v>2902</v>
      </c>
      <c r="D374" s="9"/>
      <c r="E374" s="17" t="s">
        <v>14</v>
      </c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25" t="s">
        <v>356</v>
      </c>
      <c r="E375" s="26" t="s">
        <v>234</v>
      </c>
      <c r="F375" s="18" t="str">
        <f>HYPERLINK("https://www.youtube.com/watch?v=NOQyN8WEfCI",'Players&gt;List'!$B11)</f>
        <v>[CHB]</v>
      </c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25" t="s">
        <v>108</v>
      </c>
      <c r="E376" s="26" t="s">
        <v>132</v>
      </c>
      <c r="F376" s="18" t="str">
        <f>HYPERLINK("https://www.youtube.com/watch?v=37u3rHgJAco",'Players&gt;List'!$B11)</f>
        <v>[CHB]</v>
      </c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25" t="s">
        <v>131</v>
      </c>
      <c r="E377" s="26" t="s">
        <v>132</v>
      </c>
      <c r="F377" s="18" t="str">
        <f>HYPERLINK("https://www.youtube.com/watch?v=mKl_MJpo52A",'Players&gt;List'!$B11)</f>
        <v>[CHB]</v>
      </c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25" t="s">
        <v>157</v>
      </c>
      <c r="E378" s="26" t="s">
        <v>132</v>
      </c>
      <c r="F378" s="18" t="str">
        <f>HYPERLINK("https://www.youtube.com/watch?v=4jToGXoNBqg",'Players&gt;List'!$B11)</f>
        <v>[CHB]</v>
      </c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25" t="s">
        <v>444</v>
      </c>
      <c r="E379" s="26" t="s">
        <v>147</v>
      </c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4" t="s">
        <v>2908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4"/>
    </row>
    <row r="381">
      <c r="A381" s="1"/>
      <c r="B381" s="4" t="s">
        <v>2911</v>
      </c>
      <c r="D381" s="9"/>
      <c r="E381" s="17" t="s">
        <v>14</v>
      </c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25" t="s">
        <v>1412</v>
      </c>
      <c r="E382" s="26" t="s">
        <v>234</v>
      </c>
      <c r="F382" s="18" t="str">
        <f>HYPERLINK("https://www.youtube.com/watch?v=KSUUOa5qkaA",'Players&gt;List'!$B11)</f>
        <v>[CHB]</v>
      </c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25" t="s">
        <v>2632</v>
      </c>
      <c r="E383" s="26" t="s">
        <v>1418</v>
      </c>
      <c r="F383" s="18" t="str">
        <f>HYPERLINK("https://www.youtube.com/watch?v=MkMCCZrsHnw",'Players&gt;List'!$B11)</f>
        <v>[CHB]</v>
      </c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25" t="s">
        <v>2213</v>
      </c>
      <c r="E384" s="26" t="s">
        <v>147</v>
      </c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25" t="s">
        <v>149</v>
      </c>
      <c r="E385" s="26" t="s">
        <v>147</v>
      </c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25" t="s">
        <v>2920</v>
      </c>
      <c r="E386" s="26" t="s">
        <v>147</v>
      </c>
      <c r="F386" s="18" t="str">
        <f>HYPERLINK("https://www.youtube.com/watch?v=5XSNRu2iJWw",'Players&gt;List'!$B11)</f>
        <v>[CHB]</v>
      </c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25" t="s">
        <v>1417</v>
      </c>
      <c r="E387" s="26" t="s">
        <v>1418</v>
      </c>
      <c r="F387" s="18" t="str">
        <f>HYPERLINK("https://www.youtube.com/watch?v=keuGkblr91U",'Players&gt;List'!$B11)</f>
        <v>[CHB]</v>
      </c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4" t="s">
        <v>2925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4"/>
    </row>
    <row r="389">
      <c r="A389" s="1"/>
      <c r="B389" s="4" t="s">
        <v>2927</v>
      </c>
      <c r="D389" s="9"/>
      <c r="E389" s="17" t="s">
        <v>14</v>
      </c>
      <c r="F389" s="18" t="str">
        <f>HYPERLINK("https://www.youtube.com/watch?v=eJ_jIOvC2XA",'Players&gt;List'!$B18)</f>
        <v>[HGB]</v>
      </c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25" t="s">
        <v>108</v>
      </c>
      <c r="E390" s="26" t="s">
        <v>110</v>
      </c>
      <c r="F390" s="18" t="str">
        <f>HYPERLINK("https://www.youtube.com/watch?v=9ahd5phm7TQ",'Players&gt;List'!$B11)</f>
        <v>[CHB]</v>
      </c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25" t="s">
        <v>88</v>
      </c>
      <c r="E391" s="26" t="s">
        <v>147</v>
      </c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25" t="s">
        <v>149</v>
      </c>
      <c r="E392" s="26" t="s">
        <v>147</v>
      </c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25" t="s">
        <v>131</v>
      </c>
      <c r="E393" s="26" t="s">
        <v>132</v>
      </c>
      <c r="F393" s="18" t="str">
        <f>HYPERLINK("https://www.youtube.com/watch?v=2xmQCrRsVsA",'Players&gt;List'!$B11)</f>
        <v>[CHB]</v>
      </c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25" t="s">
        <v>157</v>
      </c>
      <c r="E394" s="26" t="s">
        <v>132</v>
      </c>
      <c r="F394" s="18" t="str">
        <f>HYPERLINK("https://www.youtube.com/watch?v=te7kKHT4eh4",'Players&gt;List'!$B11)</f>
        <v>[CHB]</v>
      </c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4" t="s">
        <v>2935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4"/>
    </row>
    <row r="396">
      <c r="A396" s="1"/>
      <c r="B396" s="4" t="s">
        <v>2937</v>
      </c>
      <c r="D396" s="9"/>
      <c r="E396" s="17" t="s">
        <v>14</v>
      </c>
      <c r="F396" s="18" t="str">
        <f>HYPERLINK("https://www.youtube.com/watch?v=hYjWOrYoly8",'Players&gt;List'!$B11)</f>
        <v>[CHB]</v>
      </c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25" t="s">
        <v>117</v>
      </c>
      <c r="E397" s="26" t="s">
        <v>110</v>
      </c>
      <c r="F397" s="18" t="str">
        <f>HYPERLINK("https://www.youtube.com/watch?v=3QwvBBMDQ8U",'Players&gt;List'!$B18)</f>
        <v>[HGB]</v>
      </c>
      <c r="G397" s="18" t="str">
        <f>HYPERLINK("https://www.youtube.com/watch?v=Mcht44MoKQQ",'Players&gt;List'!$B11)</f>
        <v>[CHB]</v>
      </c>
      <c r="H397" s="1"/>
      <c r="I397" s="1"/>
      <c r="J397" s="1"/>
      <c r="K397" s="1"/>
      <c r="L397" s="1"/>
      <c r="M397" s="1"/>
      <c r="N397" s="1"/>
    </row>
    <row r="398">
      <c r="A398" s="1"/>
      <c r="B398" s="25" t="s">
        <v>149</v>
      </c>
      <c r="E398" s="26" t="s">
        <v>147</v>
      </c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4" t="s">
        <v>2941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4"/>
    </row>
    <row r="400">
      <c r="A400" s="1"/>
      <c r="B400" s="4" t="s">
        <v>2942</v>
      </c>
      <c r="D400" s="9"/>
      <c r="E400" s="17" t="s">
        <v>14</v>
      </c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25" t="s">
        <v>649</v>
      </c>
      <c r="E401" s="26" t="s">
        <v>90</v>
      </c>
      <c r="F401" s="18" t="str">
        <f>HYPERLINK("https://www.youtube.com/watch?v=pANJ907LDmk",'Players&gt;List'!$B11)</f>
        <v>[CHB]</v>
      </c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25" t="s">
        <v>117</v>
      </c>
      <c r="E402" s="26" t="s">
        <v>132</v>
      </c>
      <c r="F402" s="18" t="str">
        <f>HYPERLINK("https://www.youtube.com/watch?v=ak91E80grFg",'Players&gt;List'!$B11)</f>
        <v>[CHB]</v>
      </c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25" t="s">
        <v>1417</v>
      </c>
      <c r="E403" s="26" t="s">
        <v>1418</v>
      </c>
      <c r="F403" s="18" t="str">
        <f>HYPERLINK("https://www.youtube.com/watch?v=LjpkZHSb5jw",'Players&gt;List'!$B11)</f>
        <v>[CHB]</v>
      </c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25" t="s">
        <v>2790</v>
      </c>
      <c r="E404" s="26" t="s">
        <v>132</v>
      </c>
      <c r="F404" s="18" t="str">
        <f>HYPERLINK("https://www.youtube.com/watch?v=pVRA_dil5eo",'Players&gt;List'!$B11)</f>
        <v>[CHB]</v>
      </c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4" t="s">
        <v>2954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4"/>
    </row>
    <row r="406">
      <c r="A406" s="1"/>
      <c r="B406" s="4" t="s">
        <v>2956</v>
      </c>
      <c r="D406" s="9"/>
      <c r="E406" s="17" t="s">
        <v>14</v>
      </c>
      <c r="F406" s="18" t="str">
        <f>HYPERLINK("https://www.youtube.com/watch?v=IHja_kw7GqI",'Players&gt;List'!$B11)</f>
        <v>[CHB]</v>
      </c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25" t="s">
        <v>117</v>
      </c>
      <c r="E407" s="26" t="s">
        <v>110</v>
      </c>
      <c r="F407" s="18" t="str">
        <f>HYPERLINK("https://www.youtube.com/watch?v=HqpYmea5qj8",'Players&gt;List'!$B18)</f>
        <v>[HGB]</v>
      </c>
      <c r="G407" s="18" t="str">
        <f>HYPERLINK("https://www.youtube.com/watch?v=w7ovE1blhgQ",'Players&gt;List'!$B11)</f>
        <v>[CHB]</v>
      </c>
      <c r="H407" s="1"/>
      <c r="I407" s="1"/>
      <c r="J407" s="1"/>
      <c r="K407" s="1"/>
      <c r="L407" s="1"/>
      <c r="M407" s="1"/>
      <c r="N407" s="1"/>
    </row>
    <row r="408">
      <c r="A408" s="1"/>
      <c r="B408" s="25" t="s">
        <v>88</v>
      </c>
      <c r="E408" s="26" t="s">
        <v>147</v>
      </c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25" t="s">
        <v>149</v>
      </c>
      <c r="E409" s="26" t="s">
        <v>147</v>
      </c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4" t="s">
        <v>2962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4"/>
    </row>
    <row r="411">
      <c r="A411" s="1"/>
      <c r="B411" s="4" t="s">
        <v>2964</v>
      </c>
      <c r="D411" s="9"/>
      <c r="E411" s="17" t="s">
        <v>14</v>
      </c>
      <c r="F411" s="18" t="str">
        <f>HYPERLINK("https://www.youtube.com/watch?v=wAZLlTVR-EE",'Players&gt;List'!$B18)</f>
        <v>[HGB]</v>
      </c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25" t="s">
        <v>2966</v>
      </c>
      <c r="E412" s="26" t="s">
        <v>110</v>
      </c>
      <c r="F412" s="18" t="str">
        <f>HYPERLINK("https://www.youtube.com/watch?v=50Q3ADPMGT8",'Players&gt;List'!$B11)</f>
        <v>[CHB]</v>
      </c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25" t="s">
        <v>422</v>
      </c>
      <c r="E413" s="26" t="s">
        <v>132</v>
      </c>
      <c r="F413" s="18" t="str">
        <f>HYPERLINK("https://www.youtube.com/watch?v=6B3JEZCbO3s&amp;t=0s&amp;list=PLbU6uWaIKemqNvTeRxK-Ay6PRg9iwCKVi&amp;index=60",'Players&gt;List'!$B19)</f>
        <v>[HIT]</v>
      </c>
      <c r="G413" s="18" t="str">
        <f>HYPERLINK("https://www.youtube.com/watch?v=mT5LH5-Kdz0",'Players&gt;List'!$B11)</f>
        <v>[CHB]</v>
      </c>
      <c r="H413" s="1"/>
      <c r="I413" s="1"/>
      <c r="J413" s="1"/>
      <c r="K413" s="1"/>
      <c r="L413" s="1"/>
      <c r="M413" s="1"/>
      <c r="N413" s="1"/>
    </row>
    <row r="414">
      <c r="A414" s="1"/>
      <c r="B414" s="25" t="s">
        <v>2972</v>
      </c>
      <c r="E414" s="26" t="s">
        <v>132</v>
      </c>
      <c r="F414" s="18" t="str">
        <f>HYPERLINK("https://www.youtube.com/watch?v=jX_mX4l2Hy0",'Players&gt;List'!$B11)</f>
        <v>[CHB]</v>
      </c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25" t="s">
        <v>149</v>
      </c>
      <c r="E415" s="26" t="s">
        <v>147</v>
      </c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4" t="s">
        <v>2977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4"/>
    </row>
    <row r="417">
      <c r="A417" s="1"/>
      <c r="B417" s="4" t="s">
        <v>2979</v>
      </c>
      <c r="D417" s="9"/>
      <c r="E417" s="17" t="s">
        <v>14</v>
      </c>
      <c r="F417" s="18" t="str">
        <f>HYPERLINK("https://www.youtube.com/watch?v=T_sepRNChG8",'Players&gt;List'!$B11)</f>
        <v>[CHB]</v>
      </c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25" t="s">
        <v>488</v>
      </c>
      <c r="E418" s="26" t="s">
        <v>234</v>
      </c>
      <c r="F418" s="18" t="str">
        <f>HYPERLINK("https://www.youtube.com/watch?v=mikSlO1jNsw",'Players&gt;List'!$B11)</f>
        <v>[CHB]</v>
      </c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25" t="s">
        <v>117</v>
      </c>
      <c r="E419" s="26" t="s">
        <v>132</v>
      </c>
      <c r="F419" s="18" t="str">
        <f>HYPERLINK("https://www.youtube.com/watch?v=vZuHmppUzY4",'Players&gt;List'!$B11)</f>
        <v>[CHB]</v>
      </c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25" t="s">
        <v>444</v>
      </c>
      <c r="E420" s="26" t="s">
        <v>147</v>
      </c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25" t="s">
        <v>88</v>
      </c>
      <c r="E421" s="26" t="s">
        <v>147</v>
      </c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25" t="s">
        <v>649</v>
      </c>
      <c r="E422" s="26" t="s">
        <v>147</v>
      </c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25" t="s">
        <v>2838</v>
      </c>
      <c r="E423" s="26" t="s">
        <v>2185</v>
      </c>
      <c r="F423" s="18" t="str">
        <f>HYPERLINK("https://www.youtube.com/watch?v=PY0TMhkzgcY",'Players&gt;List'!$B11)</f>
        <v>[CHB]</v>
      </c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4" t="s">
        <v>2988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4"/>
    </row>
    <row r="425">
      <c r="A425" s="1"/>
      <c r="B425" s="4" t="s">
        <v>2990</v>
      </c>
      <c r="D425" s="9"/>
      <c r="E425" s="17" t="s">
        <v>14</v>
      </c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25" t="s">
        <v>2183</v>
      </c>
      <c r="E426" s="26" t="s">
        <v>380</v>
      </c>
      <c r="F426" s="18" t="str">
        <f>HYPERLINK("https://www.youtube.com/watch?v=eJGwuu8B08M",'Players&gt;List'!$B18)</f>
        <v>[HGB]</v>
      </c>
      <c r="G426" s="18" t="str">
        <f>HYPERLINK("https://www.youtube.com/watch?v=W-3hFMtfI80",'Players&gt;List'!$B11)</f>
        <v>[CHB]</v>
      </c>
      <c r="H426" s="1"/>
      <c r="I426" s="1"/>
      <c r="J426" s="1"/>
      <c r="K426" s="1"/>
      <c r="L426" s="1"/>
      <c r="M426" s="1"/>
      <c r="N426" s="1"/>
    </row>
    <row r="427">
      <c r="A427" s="1"/>
      <c r="B427" s="25" t="s">
        <v>2401</v>
      </c>
      <c r="E427" s="26" t="s">
        <v>358</v>
      </c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25" t="s">
        <v>149</v>
      </c>
      <c r="E428" s="26" t="s">
        <v>147</v>
      </c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25" t="s">
        <v>335</v>
      </c>
      <c r="E429" s="26" t="s">
        <v>147</v>
      </c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4" t="s">
        <v>2997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4"/>
    </row>
    <row r="431">
      <c r="A431" s="1"/>
      <c r="B431" s="4" t="s">
        <v>3000</v>
      </c>
      <c r="D431" s="9"/>
      <c r="E431" s="17" t="s">
        <v>14</v>
      </c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25" t="s">
        <v>3002</v>
      </c>
      <c r="E432" s="26" t="s">
        <v>234</v>
      </c>
      <c r="F432" s="18" t="str">
        <f>HYPERLINK("https://www.youtube.com/watch?v=dhJGQOoSoXA",'Players&gt;List'!$B18)</f>
        <v>[HGB]</v>
      </c>
      <c r="G432" s="18" t="str">
        <f>HYPERLINK("https://www.youtube.com/watch?v=Zd0y0I7yA_c",'Players&gt;List'!$B11)</f>
        <v>[CHB]</v>
      </c>
      <c r="H432" s="1"/>
      <c r="I432" s="1"/>
      <c r="J432" s="1"/>
      <c r="K432" s="1"/>
      <c r="L432" s="1"/>
      <c r="M432" s="1"/>
      <c r="N432" s="1"/>
    </row>
    <row r="433">
      <c r="A433" s="1"/>
      <c r="B433" s="25" t="s">
        <v>108</v>
      </c>
      <c r="E433" s="26" t="s">
        <v>132</v>
      </c>
      <c r="F433" s="18" t="str">
        <f>HYPERLINK("https://www.youtube.com/watch?v=EcUKpADk9Js",'Players&gt;List'!$B11)</f>
        <v>[CHB]</v>
      </c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25" t="s">
        <v>149</v>
      </c>
      <c r="E434" s="26" t="s">
        <v>147</v>
      </c>
      <c r="F434" s="18" t="str">
        <f>HYPERLINK("https://www.youtube.com/watch?v=tB1MFjrr-u8",'Players&gt;List'!$B28)</f>
        <v>[SUN]</v>
      </c>
      <c r="G434" s="18" t="str">
        <f>HYPERLINK("https://www.youtube.com/watch?v=gmUVn6x2SL4",'Players&gt;List'!$B11)</f>
        <v>[CHB]</v>
      </c>
      <c r="H434" s="1"/>
      <c r="I434" s="1"/>
      <c r="J434" s="1"/>
      <c r="K434" s="1"/>
      <c r="L434" s="1"/>
      <c r="M434" s="1"/>
      <c r="N434" s="1"/>
    </row>
    <row r="435">
      <c r="A435" s="1"/>
      <c r="B435" s="25" t="s">
        <v>2305</v>
      </c>
      <c r="E435" s="26" t="s">
        <v>358</v>
      </c>
      <c r="F435" s="18" t="str">
        <f>HYPERLINK("https://www.youtube.com/watch?v=_ymyJvEJ68c",'Players&gt;List'!$B28)</f>
        <v>[SUN]</v>
      </c>
      <c r="G435" s="18" t="str">
        <f>HYPERLINK("https://www.youtube.com/watch?v=lvXP7Cwk7Jg",'Players&gt;List'!$B11)</f>
        <v>[CHB]</v>
      </c>
      <c r="H435" s="1"/>
      <c r="I435" s="1"/>
      <c r="J435" s="1"/>
      <c r="K435" s="1"/>
      <c r="L435" s="1"/>
      <c r="M435" s="1"/>
      <c r="N435" s="1"/>
    </row>
    <row r="436">
      <c r="A436" s="1"/>
      <c r="B436" s="14" t="s">
        <v>3017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4"/>
    </row>
    <row r="437">
      <c r="A437" s="1"/>
      <c r="B437" s="4" t="s">
        <v>3020</v>
      </c>
      <c r="D437" s="9"/>
      <c r="E437" s="17" t="s">
        <v>14</v>
      </c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25" t="s">
        <v>108</v>
      </c>
      <c r="E438" s="26" t="s">
        <v>110</v>
      </c>
      <c r="F438" s="18" t="str">
        <f>HYPERLINK("https://www.youtube.com/watch?v=GqmAMDlSebE",'Players&gt;List'!$B11)</f>
        <v>[CHB]</v>
      </c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25" t="s">
        <v>117</v>
      </c>
      <c r="E439" s="26" t="s">
        <v>132</v>
      </c>
      <c r="F439" s="18" t="str">
        <f>HYPERLINK("https://www.youtube.com/watch?v=s7CXHxsj1-Q",'Players&gt;List'!$B18)</f>
        <v>[HGB]</v>
      </c>
      <c r="G439" s="18" t="str">
        <f>HYPERLINK("https://www.youtube.com/watch?v=AZoH9fJX5mM",'Players&gt;List'!$B11)</f>
        <v>[CHB]</v>
      </c>
      <c r="H439" s="1"/>
      <c r="I439" s="1"/>
      <c r="J439" s="1"/>
      <c r="K439" s="1"/>
      <c r="L439" s="1"/>
      <c r="M439" s="1"/>
      <c r="N439" s="1"/>
    </row>
    <row r="440">
      <c r="A440" s="1"/>
      <c r="B440" s="25" t="s">
        <v>157</v>
      </c>
      <c r="E440" s="26" t="s">
        <v>132</v>
      </c>
      <c r="F440" s="18" t="str">
        <f>HYPERLINK("https://www.youtube.com/watch?v=OWuSVcPo5ZI",'Players&gt;List'!$B11)</f>
        <v>[CHB]</v>
      </c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25" t="s">
        <v>131</v>
      </c>
      <c r="E441" s="26" t="s">
        <v>132</v>
      </c>
      <c r="F441" s="18" t="str">
        <f>HYPERLINK("https://www.youtube.com/watch?v=qdlWYQJoqs8",'Players&gt;List'!$B11)</f>
        <v>[CHB]</v>
      </c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4" t="s">
        <v>3030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4"/>
    </row>
    <row r="443">
      <c r="A443" s="1"/>
      <c r="B443" s="4" t="s">
        <v>3034</v>
      </c>
      <c r="D443" s="9"/>
      <c r="E443" s="17" t="s">
        <v>14</v>
      </c>
      <c r="F443" s="18" t="str">
        <f>HYPERLINK("https://www.youtube.com/watch?v=6PIC0I53AUc",'Players&gt;List'!$B11)</f>
        <v>[CHB]</v>
      </c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25" t="s">
        <v>149</v>
      </c>
      <c r="E444" s="26" t="s">
        <v>90</v>
      </c>
      <c r="F444" s="18" t="str">
        <f>HYPERLINK("https://www.youtube.com/watch?v=ix25wCl2U0A",'Players&gt;List'!$B11)</f>
        <v>[CHB]</v>
      </c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25" t="s">
        <v>88</v>
      </c>
      <c r="E445" s="26" t="s">
        <v>147</v>
      </c>
      <c r="F445" s="18" t="str">
        <f>HYPERLINK("https://www.youtube.com/watch?v=4lMSi0vPJD0",'Players&gt;List'!$B11)</f>
        <v>[CHB]</v>
      </c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4" t="s">
        <v>3036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4"/>
    </row>
    <row r="447">
      <c r="A447" s="1"/>
      <c r="B447" s="4" t="s">
        <v>3037</v>
      </c>
      <c r="D447" s="9"/>
      <c r="E447" s="17" t="s">
        <v>14</v>
      </c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25" t="s">
        <v>117</v>
      </c>
      <c r="E448" s="26" t="s">
        <v>110</v>
      </c>
      <c r="F448" s="18" t="str">
        <f>HYPERLINK("https://www.youtube.com/watch?v=-EmuKa3NuT0",'Players&gt;List'!$B11)</f>
        <v>[CHB]</v>
      </c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25" t="s">
        <v>2183</v>
      </c>
      <c r="E449" s="26" t="s">
        <v>1418</v>
      </c>
      <c r="F449" s="18" t="str">
        <f>HYPERLINK("https://www.youtube.com/watch?v=kz1EPWWk_H4",'Players&gt;List'!$B11)</f>
        <v>[CHB]</v>
      </c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25" t="s">
        <v>3039</v>
      </c>
      <c r="E450" s="26" t="s">
        <v>358</v>
      </c>
      <c r="F450" s="18" t="str">
        <f>HYPERLINK("https://www.youtube.com/watch?v=slZggmjZvRI&amp;index=143&amp;list=PLbU6uWaIKemqNvTeRxK-Ay6PRg9iwCKVi&amp;t=0s",'Players&gt;List'!$B19)</f>
        <v>[HIT]</v>
      </c>
      <c r="G450" s="18" t="str">
        <f>HYPERLINK("https://www.youtube.com/watch?v=IGhdlh-tq-E",'Players&gt;List'!$B11)</f>
        <v>[CHB]</v>
      </c>
      <c r="H450" s="1"/>
      <c r="I450" s="1"/>
      <c r="J450" s="1"/>
      <c r="K450" s="1"/>
      <c r="L450" s="1"/>
      <c r="M450" s="1"/>
      <c r="N450" s="1"/>
    </row>
    <row r="451">
      <c r="A451" s="1"/>
      <c r="B451" s="25" t="s">
        <v>1147</v>
      </c>
      <c r="E451" s="26" t="s">
        <v>132</v>
      </c>
      <c r="F451" s="18" t="str">
        <f>HYPERLINK("https://www.youtube.com/watch?v=ykMI9X87aRw",'Players&gt;List'!$B11)</f>
        <v>[CHB]</v>
      </c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25" t="s">
        <v>149</v>
      </c>
      <c r="E452" s="26" t="s">
        <v>147</v>
      </c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25" t="s">
        <v>197</v>
      </c>
      <c r="E453" s="26" t="s">
        <v>147</v>
      </c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4" t="s">
        <v>3041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4"/>
    </row>
    <row r="455">
      <c r="A455" s="1"/>
      <c r="B455" s="4" t="s">
        <v>3044</v>
      </c>
      <c r="D455" s="9"/>
      <c r="E455" s="17" t="s">
        <v>14</v>
      </c>
      <c r="F455" s="18" t="str">
        <f>HYPERLINK("https://www.youtube.com/watch?v=MHTldcIDaAw",'Players&gt;List'!$B11)</f>
        <v>[CHB]</v>
      </c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25" t="s">
        <v>1715</v>
      </c>
      <c r="E456" s="26" t="s">
        <v>234</v>
      </c>
      <c r="F456" s="18" t="str">
        <f>HYPERLINK("https://www.youtube.com/watch?v=fdYXyrecKK8",'Players&gt;List'!$B11)</f>
        <v>[CHB]</v>
      </c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25" t="s">
        <v>117</v>
      </c>
      <c r="E457" s="26" t="s">
        <v>132</v>
      </c>
      <c r="F457" s="18" t="str">
        <f>HYPERLINK("https://www.youtube.com/watch?v=r1Swa6IkAac",'Players&gt;List'!$B11)</f>
        <v>[CHB]</v>
      </c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4" t="s">
        <v>3048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4"/>
    </row>
    <row r="459">
      <c r="A459" s="1"/>
      <c r="B459" s="4" t="s">
        <v>3049</v>
      </c>
      <c r="D459" s="9"/>
      <c r="E459" s="17" t="s">
        <v>14</v>
      </c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25" t="s">
        <v>117</v>
      </c>
      <c r="E460" s="26" t="s">
        <v>110</v>
      </c>
      <c r="F460" s="18" t="str">
        <f>HYPERLINK("https://www.youtube.com/watch?v=SHl14XWoeSw&amp;index=150&amp;list=PLbU6uWaIKemqNvTeRxK-Ay6PRg9iwCKVi&amp;t=0s",'Players&gt;List'!$B19)</f>
        <v>[HIT]</v>
      </c>
      <c r="G460" s="18" t="str">
        <f>HYPERLINK("https://www.youtube.com/watch?v=VJCxiySIKag",'Players&gt;List'!$B15)</f>
        <v>[FNY]</v>
      </c>
      <c r="H460" s="18" t="str">
        <f>HYPERLINK("https://www.youtube.com/watch?v=0rh3gaUtLBk",'Players&gt;List'!$B11)</f>
        <v>[CHB]</v>
      </c>
      <c r="I460" s="1"/>
      <c r="J460" s="1"/>
      <c r="K460" s="1"/>
      <c r="L460" s="1"/>
      <c r="M460" s="1"/>
      <c r="N460" s="1"/>
    </row>
    <row r="461">
      <c r="A461" s="1"/>
      <c r="B461" s="25" t="s">
        <v>157</v>
      </c>
      <c r="E461" s="26" t="s">
        <v>132</v>
      </c>
      <c r="F461" s="18" t="str">
        <f>HYPERLINK("https://www.youtube.com/watch?v=l2CLSoAecKA",'Players&gt;List'!$B11)</f>
        <v>[CHB]</v>
      </c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25" t="s">
        <v>649</v>
      </c>
      <c r="E462" s="26" t="s">
        <v>147</v>
      </c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25" t="s">
        <v>2838</v>
      </c>
      <c r="E463" s="26" t="s">
        <v>2185</v>
      </c>
      <c r="F463" s="18" t="str">
        <f>HYPERLINK("https://www.youtube.com/watch?v=oQcoEthfVoU",'Players&gt;List'!$B11)</f>
        <v>[CHB]</v>
      </c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25" t="s">
        <v>2557</v>
      </c>
      <c r="E464" s="26" t="s">
        <v>2185</v>
      </c>
      <c r="F464" s="18" t="str">
        <f>HYPERLINK("https://www.youtube.com/watch?v=GnsNVHfparc",'Players&gt;List'!$B11)</f>
        <v>[CHB]</v>
      </c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4" t="s">
        <v>3060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4"/>
    </row>
    <row r="466">
      <c r="A466" s="1"/>
      <c r="B466" s="4" t="s">
        <v>3062</v>
      </c>
      <c r="D466" s="9"/>
      <c r="E466" s="17" t="s">
        <v>14</v>
      </c>
      <c r="F466" s="18" t="str">
        <f>HYPERLINK("https://www.youtube.com/watch?v=VsU8jbH-TDw",'Players&gt;List'!$B11)</f>
        <v>[CHB]</v>
      </c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25" t="s">
        <v>149</v>
      </c>
      <c r="E467" s="26" t="s">
        <v>90</v>
      </c>
      <c r="F467" s="18" t="str">
        <f>HYPERLINK("https://www.youtube.com/watch?v=KcI-H8_0RE0",'Players&gt;List'!$B11)</f>
        <v>[CHB]</v>
      </c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4" t="s">
        <v>3067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4"/>
    </row>
    <row r="469">
      <c r="A469" s="1"/>
      <c r="B469" s="4" t="s">
        <v>3069</v>
      </c>
      <c r="D469" s="9"/>
      <c r="E469" s="17" t="s">
        <v>14</v>
      </c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25" t="s">
        <v>117</v>
      </c>
      <c r="E470" s="26" t="s">
        <v>110</v>
      </c>
      <c r="F470" s="18" t="str">
        <f>HYPERLINK("https://www.youtube.com/watch?v=zmsrClxRtsM",'Players&gt;List'!$B11)</f>
        <v>[CHB]</v>
      </c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25" t="s">
        <v>157</v>
      </c>
      <c r="E471" s="26" t="s">
        <v>132</v>
      </c>
      <c r="F471" s="18" t="str">
        <f>HYPERLINK("https://www.youtube.com/watch?v=sCwV5o79rcg",'Players&gt;List'!$B11)</f>
        <v>[CHB]</v>
      </c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25" t="s">
        <v>108</v>
      </c>
      <c r="E472" s="26" t="s">
        <v>132</v>
      </c>
      <c r="F472" s="18" t="str">
        <f>HYPERLINK("https://www.youtube.com/watch?v=Nbq5i9eju1g",'Players&gt;List'!$B11)</f>
        <v>[CHB]</v>
      </c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25" t="s">
        <v>131</v>
      </c>
      <c r="E473" s="26" t="s">
        <v>132</v>
      </c>
      <c r="F473" s="18" t="str">
        <f>HYPERLINK("https://www.youtube.com/watch?v=w8p1-yyal9Q",'Players&gt;List'!$B11)</f>
        <v>[CHB]</v>
      </c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4" t="s">
        <v>3077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4"/>
    </row>
    <row r="475">
      <c r="A475" s="1"/>
      <c r="B475" s="4" t="s">
        <v>3079</v>
      </c>
      <c r="D475" s="9"/>
      <c r="E475" s="17" t="s">
        <v>14</v>
      </c>
      <c r="F475" s="18" t="str">
        <f>HYPERLINK("https://www.youtube.com/watch?v=EdJ7_dU-LdU",'Players&gt;List'!$B18)</f>
        <v>[HGB]</v>
      </c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25" t="s">
        <v>108</v>
      </c>
      <c r="E476" s="26" t="s">
        <v>110</v>
      </c>
      <c r="F476" s="18" t="str">
        <f>HYPERLINK("https://www.youtube.com/watch?v=sOhMuheWOCE",'Players&gt;List'!$B11)</f>
        <v>[CHB]</v>
      </c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25" t="s">
        <v>117</v>
      </c>
      <c r="E477" s="26" t="s">
        <v>132</v>
      </c>
      <c r="F477" s="18" t="str">
        <f>HYPERLINK("https://www.youtube.com/watch?v=3O_em844CMg",'Players&gt;List'!$B11)</f>
        <v>[CHB]</v>
      </c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25" t="s">
        <v>157</v>
      </c>
      <c r="E478" s="26" t="s">
        <v>132</v>
      </c>
      <c r="F478" s="18" t="str">
        <f>HYPERLINK("https://www.youtube.com/watch?v=1prGOfmVKPc",'Players&gt;List'!$B11)</f>
        <v>[CHB]</v>
      </c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25" t="s">
        <v>131</v>
      </c>
      <c r="E479" s="26" t="s">
        <v>132</v>
      </c>
      <c r="F479" s="18" t="str">
        <f>HYPERLINK("https://www.youtube.com/watch?v=rjHchsTCbUs",'Players&gt;List'!$B11)</f>
        <v>[CHB]</v>
      </c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25" t="s">
        <v>149</v>
      </c>
      <c r="E480" s="26" t="s">
        <v>147</v>
      </c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25" t="s">
        <v>197</v>
      </c>
      <c r="E481" s="26" t="s">
        <v>147</v>
      </c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4" t="s">
        <v>3090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4"/>
    </row>
    <row r="483">
      <c r="A483" s="1"/>
      <c r="B483" s="4" t="s">
        <v>3092</v>
      </c>
      <c r="D483" s="9"/>
      <c r="E483" s="17" t="s">
        <v>14</v>
      </c>
      <c r="F483" s="18" t="str">
        <f>HYPERLINK("https://www.youtube.com/watch?v=7ud9iJyCycI",'Players&gt;List'!$B11)</f>
        <v>[CHB]</v>
      </c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25" t="s">
        <v>149</v>
      </c>
      <c r="E484" s="26" t="s">
        <v>3096</v>
      </c>
      <c r="F484" s="18" t="str">
        <f>HYPERLINK("https://www.youtube.com/watch?v=ja-q7_deD-s",'Players&gt;List'!$B11)</f>
        <v>[CHB]</v>
      </c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25" t="s">
        <v>108</v>
      </c>
      <c r="E485" s="26" t="s">
        <v>132</v>
      </c>
      <c r="F485" s="18" t="str">
        <f>HYPERLINK("https://www.youtube.com/watch?v=Ty70sxA2LyI",'Players&gt;List'!$B11)</f>
        <v>[CHB]</v>
      </c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25" t="s">
        <v>197</v>
      </c>
      <c r="E486" s="26" t="s">
        <v>147</v>
      </c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25" t="s">
        <v>88</v>
      </c>
      <c r="E487" s="26" t="s">
        <v>147</v>
      </c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4" t="s">
        <v>3099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4"/>
    </row>
    <row r="489">
      <c r="A489" s="1"/>
      <c r="B489" s="4" t="s">
        <v>3101</v>
      </c>
      <c r="D489" s="9"/>
      <c r="E489" s="17" t="s">
        <v>14</v>
      </c>
      <c r="F489" s="18" t="str">
        <f>HYPERLINK("https://www.youtube.com/watch?v=t82XYrZb5yI",'Players&gt;List'!$B18)</f>
        <v>[HGB]</v>
      </c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25" t="s">
        <v>117</v>
      </c>
      <c r="E490" s="26" t="s">
        <v>110</v>
      </c>
      <c r="F490" s="18" t="str">
        <f>HYPERLINK("https://www.youtube.com/watch?v=ta_HYwp6S2w&amp;index=146&amp;list=PLbU6uWaIKemqNvTeRxK-Ay6PRg9iwCKVi&amp;t=0s",'Players&gt;List'!$B19)</f>
        <v>[HIT]</v>
      </c>
      <c r="G490" s="18" t="str">
        <f>HYPERLINK("https://www.youtube.com/watch?v=6wpkLXAgq0s",'Players&gt;List'!$B15)</f>
        <v>[FNY]</v>
      </c>
      <c r="H490" s="18" t="str">
        <f>HYPERLINK("https://www.youtube.com/watch?v=tl9WqCgw9u4",'Players&gt;List'!$B11)</f>
        <v>[CHB]</v>
      </c>
      <c r="I490" s="1"/>
      <c r="J490" s="1"/>
      <c r="K490" s="1"/>
      <c r="L490" s="1"/>
      <c r="M490" s="1"/>
      <c r="N490" s="1"/>
    </row>
    <row r="491">
      <c r="A491" s="1"/>
      <c r="B491" s="25" t="s">
        <v>108</v>
      </c>
      <c r="E491" s="26" t="s">
        <v>132</v>
      </c>
      <c r="F491" s="18" t="str">
        <f>HYPERLINK("https://www.youtube.com/watch?v=lWEcqYH7kno",'Players&gt;List'!$B11)</f>
        <v>[CHB]</v>
      </c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25" t="s">
        <v>157</v>
      </c>
      <c r="E492" s="26" t="s">
        <v>132</v>
      </c>
      <c r="F492" s="18" t="str">
        <f>HYPERLINK("https://www.youtube.com/watch?v=aY1tnWTTg88",'Players&gt;List'!$B11)</f>
        <v>[CHB]</v>
      </c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25" t="s">
        <v>131</v>
      </c>
      <c r="E493" s="26" t="s">
        <v>132</v>
      </c>
      <c r="F493" s="18" t="str">
        <f>HYPERLINK("https://www.youtube.com/watch?v=7vVY8Nty1u8",'Players&gt;List'!$B11)</f>
        <v>[CHB]</v>
      </c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4" t="s">
        <v>3115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4"/>
    </row>
    <row r="495">
      <c r="A495" s="1"/>
      <c r="B495" s="4" t="s">
        <v>3117</v>
      </c>
      <c r="D495" s="9"/>
      <c r="E495" s="17" t="s">
        <v>14</v>
      </c>
      <c r="F495" s="18" t="str">
        <f>HYPERLINK("https://www.youtube.com/watch?v=6S58Ci-h-9U",'Players&gt;List'!$B11)</f>
        <v>[CHB]</v>
      </c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25" t="s">
        <v>117</v>
      </c>
      <c r="E496" s="26" t="s">
        <v>110</v>
      </c>
      <c r="F496" s="18" t="str">
        <f>HYPERLINK("https://www.youtube.com/watch?v=ZsbCN1mxj34",'Players&gt;List'!$B11)</f>
        <v>[CHB]</v>
      </c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25" t="s">
        <v>149</v>
      </c>
      <c r="E497" s="26" t="s">
        <v>147</v>
      </c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4" t="s">
        <v>3120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4"/>
    </row>
    <row r="499">
      <c r="A499" s="1"/>
      <c r="B499" s="4" t="s">
        <v>3122</v>
      </c>
      <c r="D499" s="9"/>
      <c r="E499" s="17" t="s">
        <v>14</v>
      </c>
      <c r="F499" s="18" t="str">
        <f>HYPERLINK("https://www.youtube.com/watch?v=d0vL6SmbF2g",'Players&gt;List'!$B18)</f>
        <v>[HGB]</v>
      </c>
      <c r="G499" s="18" t="str">
        <f>HYPERLINK("https://www.youtube.com/watch?v=ul7-g3Q_Q5k",'Players&gt;List'!$B11)</f>
        <v>[CHB]</v>
      </c>
      <c r="H499" s="1"/>
      <c r="I499" s="1"/>
      <c r="J499" s="1"/>
      <c r="K499" s="1"/>
      <c r="L499" s="1"/>
      <c r="M499" s="1"/>
      <c r="N499" s="1"/>
    </row>
    <row r="500">
      <c r="A500" s="1"/>
      <c r="B500" s="25" t="s">
        <v>335</v>
      </c>
      <c r="E500" s="26" t="s">
        <v>90</v>
      </c>
      <c r="F500" s="18" t="str">
        <f>HYPERLINK("https://www.youtube.com/watch?v=5jobpRE95Dg",'Players&gt;List'!$B18)</f>
        <v>[HGB]</v>
      </c>
      <c r="G500" s="18" t="str">
        <f>HYPERLINK("https://www.youtube.com/watch?v=XsCoidV8tXg",'Players&gt;List'!$B11)</f>
        <v>[CHB]</v>
      </c>
      <c r="H500" s="1"/>
      <c r="I500" s="1"/>
      <c r="J500" s="1"/>
      <c r="K500" s="1"/>
      <c r="L500" s="1"/>
      <c r="M500" s="1"/>
      <c r="N500" s="1"/>
    </row>
    <row r="501">
      <c r="A501" s="1"/>
      <c r="B501" s="25" t="s">
        <v>88</v>
      </c>
      <c r="E501" s="26" t="s">
        <v>147</v>
      </c>
      <c r="F501" s="18" t="str">
        <f>HYPERLINK("https://www.youtube.com/watch?v=owqZIRdCk8Y",'Players&gt;List'!$B11)</f>
        <v>[CHB]</v>
      </c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4" t="s">
        <v>3133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4"/>
    </row>
    <row r="503">
      <c r="A503" s="1"/>
      <c r="B503" s="4" t="s">
        <v>3134</v>
      </c>
      <c r="D503" s="9"/>
      <c r="E503" s="17" t="s">
        <v>14</v>
      </c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25" t="s">
        <v>973</v>
      </c>
      <c r="E504" s="26" t="s">
        <v>234</v>
      </c>
      <c r="F504" s="18" t="str">
        <f>HYPERLINK("https://www.youtube.com/watch?v=4N6CkAuvtf0",'Players&gt;List'!$B11)</f>
        <v>[CHB]</v>
      </c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25" t="s">
        <v>502</v>
      </c>
      <c r="E505" s="26" t="s">
        <v>358</v>
      </c>
      <c r="F505" s="18" t="str">
        <f>HYPERLINK("https://www.youtube.com/watch?v=d-6kWAUOEQQ",'Players&gt;List'!$B11)</f>
        <v>[CHB]</v>
      </c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25" t="s">
        <v>400</v>
      </c>
      <c r="E506" s="26" t="s">
        <v>358</v>
      </c>
      <c r="F506" s="18" t="str">
        <f>HYPERLINK("https://www.youtube.com/watch?v=lYTdjpXEQKY",'Players&gt;List'!$B11)</f>
        <v>[CHB]</v>
      </c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25" t="s">
        <v>488</v>
      </c>
      <c r="E507" s="26" t="s">
        <v>358</v>
      </c>
      <c r="F507" s="18" t="str">
        <f>HYPERLINK("https://www.youtube.com/watch?v=6kbr1OGxBQw",'Players&gt;List'!$B11)</f>
        <v>[CHB]</v>
      </c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4" t="s">
        <v>3141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4"/>
    </row>
    <row r="509">
      <c r="A509" s="1"/>
      <c r="B509" s="4" t="s">
        <v>3144</v>
      </c>
      <c r="D509" s="9"/>
      <c r="E509" s="17" t="s">
        <v>14</v>
      </c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25" t="s">
        <v>149</v>
      </c>
      <c r="E510" s="26" t="s">
        <v>90</v>
      </c>
      <c r="F510" s="18" t="str">
        <f>HYPERLINK("https://www.youtube.com/watch?v=MXSJZyx9VTg",'Players&gt;List'!$B11)</f>
        <v>[CHB]</v>
      </c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25" t="s">
        <v>3145</v>
      </c>
      <c r="E511" s="26" t="s">
        <v>147</v>
      </c>
      <c r="F511" s="18" t="str">
        <f>HYPERLINK("https://www.youtube.com/watch?v=_8J4VYXqKEY",'Players&gt;List'!$B11)</f>
        <v>[CHB]</v>
      </c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25" t="s">
        <v>157</v>
      </c>
      <c r="E512" s="26" t="s">
        <v>132</v>
      </c>
      <c r="F512" s="18" t="str">
        <f>HYPERLINK("https://www.youtube.com/watch?v=fj3nTnJD_PE",'Players&gt;List'!$B11)</f>
        <v>[CHB]</v>
      </c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4" t="s">
        <v>3148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4"/>
    </row>
    <row r="514">
      <c r="A514" s="1"/>
      <c r="B514" s="4" t="s">
        <v>3150</v>
      </c>
      <c r="D514" s="9"/>
      <c r="E514" s="17" t="s">
        <v>14</v>
      </c>
      <c r="F514" s="18" t="str">
        <f>HYPERLINK("https://www.youtube.com/watch?v=WbELkhI5sGw",'Players&gt;List'!$B18)</f>
        <v>[HGB]</v>
      </c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25" t="s">
        <v>2557</v>
      </c>
      <c r="E515" s="26" t="s">
        <v>915</v>
      </c>
      <c r="F515" s="18" t="str">
        <f>HYPERLINK("https://www.twitch.tv/videos/90420109",'Players&gt;List'!$B32)</f>
        <v>[XEL]</v>
      </c>
      <c r="G515" s="18" t="str">
        <f>HYPERLINK("https://www.youtube.com/watch?v=Znn0WegR2no",'Players&gt;List'!$B11)</f>
        <v>[CHB]</v>
      </c>
      <c r="H515" s="1"/>
      <c r="I515" s="1"/>
      <c r="J515" s="1"/>
      <c r="K515" s="1"/>
      <c r="L515" s="1"/>
      <c r="M515" s="1"/>
      <c r="N515" s="1"/>
    </row>
    <row r="516">
      <c r="A516" s="1"/>
      <c r="B516" s="25" t="s">
        <v>2171</v>
      </c>
      <c r="E516" s="26" t="s">
        <v>1418</v>
      </c>
      <c r="F516" s="18" t="str">
        <f>HYPERLINK("https://www.youtube.com/watch?v=e4Yzp7oJcNE",'Players&gt;List'!$B11)</f>
        <v>[CHB]</v>
      </c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25" t="s">
        <v>149</v>
      </c>
      <c r="E517" s="26" t="s">
        <v>147</v>
      </c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25" t="s">
        <v>649</v>
      </c>
      <c r="E518" s="26" t="s">
        <v>147</v>
      </c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25" t="s">
        <v>335</v>
      </c>
      <c r="E519" s="26" t="s">
        <v>147</v>
      </c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25" t="s">
        <v>2213</v>
      </c>
      <c r="E520" s="26" t="s">
        <v>147</v>
      </c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4" t="s">
        <v>3158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4"/>
    </row>
    <row r="522">
      <c r="A522" s="1"/>
      <c r="B522" s="4" t="s">
        <v>3159</v>
      </c>
      <c r="D522" s="9"/>
      <c r="E522" s="17" t="s">
        <v>14</v>
      </c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25" t="s">
        <v>157</v>
      </c>
      <c r="E523" s="26" t="s">
        <v>110</v>
      </c>
      <c r="F523" s="18" t="str">
        <f>HYPERLINK("https://www.youtube.com/watch?v=2AHdhlhS0W8",'Players&gt;List'!$B11)</f>
        <v>[CHB]</v>
      </c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25" t="s">
        <v>149</v>
      </c>
      <c r="E524" s="26" t="s">
        <v>147</v>
      </c>
      <c r="F524" s="18" t="str">
        <f>HYPERLINK("https://www.youtube.com/watch?v=VgGIyRspq0s",'Players&gt;List'!$B11)</f>
        <v>[CHB]</v>
      </c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4" t="s">
        <v>3164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4"/>
    </row>
    <row r="526">
      <c r="A526" s="1"/>
      <c r="B526" s="4" t="s">
        <v>3167</v>
      </c>
      <c r="D526" s="9"/>
      <c r="E526" s="17" t="s">
        <v>14</v>
      </c>
      <c r="F526" s="18" t="str">
        <f>HYPERLINK("https://www.youtube.com/watch?v=xkdqLzWetHg",'Players&gt;List'!$B11)</f>
        <v>[CHB]</v>
      </c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25" t="s">
        <v>117</v>
      </c>
      <c r="E527" s="26" t="s">
        <v>110</v>
      </c>
      <c r="F527" s="18" t="str">
        <f>HYPERLINK("https://www.youtube.com/watch?v=vqLRwNCc0S8",'Players&gt;List'!$B11)</f>
        <v>[CHB]</v>
      </c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25" t="s">
        <v>88</v>
      </c>
      <c r="E528" s="26" t="s">
        <v>147</v>
      </c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25" t="s">
        <v>149</v>
      </c>
      <c r="E529" s="26" t="s">
        <v>147</v>
      </c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4" t="s">
        <v>3174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4"/>
    </row>
    <row r="531">
      <c r="A531" s="1"/>
      <c r="B531" s="4" t="s">
        <v>3177</v>
      </c>
      <c r="D531" s="9"/>
      <c r="E531" s="17" t="s">
        <v>14</v>
      </c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25" t="s">
        <v>117</v>
      </c>
      <c r="E532" s="26" t="s">
        <v>110</v>
      </c>
      <c r="F532" s="18" t="str">
        <f>HYPERLINK("https://www.youtube.com/watch?v=0LI5d-y6K-E",'Players&gt;List'!$B11)</f>
        <v>[CHB]</v>
      </c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25" t="s">
        <v>1715</v>
      </c>
      <c r="E533" s="26" t="s">
        <v>358</v>
      </c>
      <c r="F533" s="18" t="str">
        <f>HYPERLINK("https://www.youtube.com/watch?v=Ix2I3QViwjk",'Players&gt;List'!$B11)</f>
        <v>[CHB]</v>
      </c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25" t="s">
        <v>671</v>
      </c>
      <c r="E534" s="26" t="s">
        <v>358</v>
      </c>
      <c r="F534" s="18" t="str">
        <f>HYPERLINK("https://www.youtube.com/watch?v=vtxp7i-be78",'Players&gt;List'!$B11)</f>
        <v>[CHB]</v>
      </c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25" t="s">
        <v>2296</v>
      </c>
      <c r="E535" s="26" t="s">
        <v>358</v>
      </c>
      <c r="F535" s="18" t="str">
        <f>HYPERLINK("https://www.youtube.com/watch?v=8LIsWFn4l5w",'Players&gt;List'!$B11)</f>
        <v>[CHB]</v>
      </c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4" t="s">
        <v>3188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4"/>
    </row>
    <row r="537">
      <c r="A537" s="1"/>
      <c r="B537" s="4" t="s">
        <v>3195</v>
      </c>
      <c r="D537" s="9"/>
      <c r="E537" s="17" t="s">
        <v>14</v>
      </c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25" t="s">
        <v>3198</v>
      </c>
      <c r="E538" s="26" t="s">
        <v>234</v>
      </c>
      <c r="F538" s="18" t="str">
        <f>HYPERLINK("https://www.twitch.tv/videos/322774056",'Players&gt;List'!$B24)</f>
        <v>[NIM]</v>
      </c>
      <c r="G538" s="18" t="str">
        <f>HYPERLINK("https://www.youtube.com/watch?v=lZeJIPce_T0",'Players&gt;List'!$B11)</f>
        <v>[CHB]</v>
      </c>
      <c r="H538" s="1"/>
      <c r="I538" s="1"/>
      <c r="J538" s="1"/>
      <c r="K538" s="1"/>
      <c r="L538" s="1"/>
      <c r="M538" s="1"/>
      <c r="N538" s="1"/>
    </row>
    <row r="539">
      <c r="A539" s="1"/>
      <c r="B539" s="25" t="s">
        <v>149</v>
      </c>
      <c r="E539" s="26" t="s">
        <v>147</v>
      </c>
      <c r="F539" s="18" t="str">
        <f>HYPERLINK("https://www.youtube.com/watch?v=Y7kJ6wfPFGI",'Players&gt;List'!$B11)</f>
        <v>[CHB]</v>
      </c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25" t="s">
        <v>88</v>
      </c>
      <c r="E540" s="26" t="s">
        <v>147</v>
      </c>
      <c r="F540" s="18" t="str">
        <f>HYPERLINK("https://www.youtube.com/watch?v=xzRGXGDq6bA",'Players&gt;List'!$B11)</f>
        <v>[CHB]</v>
      </c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4" t="s">
        <v>3208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4"/>
    </row>
    <row r="542">
      <c r="A542" s="1"/>
      <c r="B542" s="4" t="s">
        <v>3210</v>
      </c>
      <c r="D542" s="9"/>
      <c r="E542" s="17" t="s">
        <v>14</v>
      </c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25" t="s">
        <v>3211</v>
      </c>
      <c r="E543" s="26" t="s">
        <v>380</v>
      </c>
      <c r="F543" s="18" t="str">
        <f>HYPERLINK("https://www.youtube.com/watch?v=g3ZiEzNEU18&amp;index=158&amp;list=PLbU6uWaIKemqNvTeRxK-Ay6PRg9iwCKVi&amp;t=0s",'Players&gt;List'!$B19)</f>
        <v>[HIT]</v>
      </c>
      <c r="G543" s="18" t="str">
        <f>HYPERLINK("https://www.youtube.com/watch?v=2i_1WYJt0Y4",'Players&gt;List'!$B11)</f>
        <v>[CHB]</v>
      </c>
      <c r="H543" s="1"/>
      <c r="I543" s="1"/>
      <c r="J543" s="1"/>
      <c r="K543" s="1"/>
      <c r="L543" s="1"/>
      <c r="M543" s="1"/>
      <c r="N543" s="1"/>
    </row>
    <row r="544">
      <c r="A544" s="1"/>
      <c r="B544" s="25" t="s">
        <v>2293</v>
      </c>
      <c r="E544" s="26" t="s">
        <v>132</v>
      </c>
      <c r="F544" s="18" t="str">
        <f>HYPERLINK("https://www.youtube.com/watch?v=MB6Brrr6kaE",'Players&gt;List'!$B11)</f>
        <v>[CHB]</v>
      </c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25" t="s">
        <v>2167</v>
      </c>
      <c r="E545" s="26" t="s">
        <v>358</v>
      </c>
      <c r="F545" s="18" t="str">
        <f>HYPERLINK("https://www.youtube.com/watch?v=bYWytKit48o",'Players&gt;List'!$B11)</f>
        <v>[CHB]</v>
      </c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25" t="s">
        <v>335</v>
      </c>
      <c r="E546" s="26" t="s">
        <v>147</v>
      </c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25" t="s">
        <v>444</v>
      </c>
      <c r="E547" s="26" t="s">
        <v>147</v>
      </c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25" t="s">
        <v>149</v>
      </c>
      <c r="E548" s="26" t="s">
        <v>147</v>
      </c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4" t="s">
        <v>3220</v>
      </c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4"/>
    </row>
    <row r="550">
      <c r="A550" s="1"/>
      <c r="B550" s="4" t="s">
        <v>3222</v>
      </c>
      <c r="D550" s="9"/>
      <c r="E550" s="17" t="s">
        <v>14</v>
      </c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25" t="s">
        <v>3223</v>
      </c>
      <c r="E551" s="26" t="s">
        <v>915</v>
      </c>
      <c r="F551" s="18" t="str">
        <f>HYPERLINK("https://www.youtube.com/watch?v=Rs6s0hiElNs",'Players&gt;List'!$B11)</f>
        <v>[CHB]</v>
      </c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25" t="s">
        <v>2557</v>
      </c>
      <c r="E552" s="26" t="s">
        <v>2185</v>
      </c>
      <c r="F552" s="18" t="str">
        <f>HYPERLINK("https://www.twitch.tv/videos/89948422",'Players&gt;List'!$B32)</f>
        <v>[XEL]</v>
      </c>
      <c r="G552" s="18" t="str">
        <f>HYPERLINK("https://www.youtube.com/watch?v=4Yz9H8b7bJw",'Players&gt;List'!$B11)</f>
        <v>[CHB]</v>
      </c>
      <c r="H552" s="1"/>
      <c r="I552" s="1"/>
      <c r="J552" s="1"/>
      <c r="K552" s="1"/>
      <c r="L552" s="1"/>
      <c r="M552" s="1"/>
      <c r="N552" s="1"/>
    </row>
    <row r="553">
      <c r="A553" s="1"/>
      <c r="B553" s="25" t="s">
        <v>2838</v>
      </c>
      <c r="E553" s="26" t="s">
        <v>2185</v>
      </c>
      <c r="F553" s="18" t="str">
        <f>HYPERLINK("https://www.youtube.com/watch?v=bNjOHib32_A",'Players&gt;List'!$B11)</f>
        <v>[CHB]</v>
      </c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25" t="s">
        <v>149</v>
      </c>
      <c r="E554" s="26" t="s">
        <v>147</v>
      </c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25" t="s">
        <v>335</v>
      </c>
      <c r="E555" s="26" t="s">
        <v>147</v>
      </c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25" t="s">
        <v>649</v>
      </c>
      <c r="E556" s="26" t="s">
        <v>147</v>
      </c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4" t="s">
        <v>3233</v>
      </c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4"/>
    </row>
    <row r="558">
      <c r="A558" s="1"/>
      <c r="B558" s="4" t="s">
        <v>3234</v>
      </c>
      <c r="D558" s="9"/>
      <c r="E558" s="17" t="s">
        <v>14</v>
      </c>
      <c r="F558" s="18" t="str">
        <f>HYPERLINK("https://www.youtube.com/watch?v=pMkw55za8LY",'Players&gt;List'!$B18)</f>
        <v>[HGB]</v>
      </c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25" t="s">
        <v>400</v>
      </c>
      <c r="E559" s="26" t="s">
        <v>234</v>
      </c>
      <c r="F559" s="18" t="str">
        <f>HYPERLINK("https://www.youtube.com/watch?v=yMIbl_ky4Mg",'Players&gt;List'!$B11)</f>
        <v>[CHB]</v>
      </c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25" t="s">
        <v>3239</v>
      </c>
      <c r="E560" s="26" t="s">
        <v>2185</v>
      </c>
      <c r="F560" s="18" t="str">
        <f>HYPERLINK("https://www.youtube.com/watch?v=OaDLXbV2uos",'Players&gt;List'!$B11)</f>
        <v>[CHB]</v>
      </c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25" t="s">
        <v>3240</v>
      </c>
      <c r="E561" s="26" t="s">
        <v>358</v>
      </c>
      <c r="F561" s="18" t="str">
        <f>HYPERLINK("https://www.youtube.com/watch?v=yMIbl_ky4Mg",'Players&gt;List'!$B11)</f>
        <v>[CHB]</v>
      </c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25" t="s">
        <v>502</v>
      </c>
      <c r="E562" s="26" t="s">
        <v>358</v>
      </c>
      <c r="F562" s="18" t="str">
        <f>HYPERLINK("https://www.youtube.com/watch?v=D9LwsQ-j4lc",'Players&gt;List'!$B8)</f>
        <v>[ABA]</v>
      </c>
      <c r="G562" s="18" t="str">
        <f>HYPERLINK("https://www.youtube.com/watch?v=42RrbIBjVx0&amp;index=155&amp;list=PLbU6uWaIKemqNvTeRxK-Ay6PRg9iwCKVi&amp;t=0s",'Players&gt;List'!$B19)</f>
        <v>[HIT]</v>
      </c>
      <c r="H562" s="18" t="str">
        <f>HYPERLINK("https://www.youtube.com/watch?v=D6HXhwmzu6Y",'Players&gt;List'!$B15)</f>
        <v>[FNY]</v>
      </c>
      <c r="I562" s="18" t="str">
        <f>HYPERLINK("https://www.youtube.com/watch?v=ZcqNipKB01M",'Players&gt;List'!$B11)</f>
        <v>[CHB]</v>
      </c>
      <c r="J562" s="1"/>
      <c r="K562" s="1"/>
      <c r="L562" s="1"/>
      <c r="M562" s="1"/>
      <c r="N562" s="1"/>
    </row>
    <row r="563">
      <c r="A563" s="1"/>
      <c r="B563" s="25" t="s">
        <v>157</v>
      </c>
      <c r="E563" s="26" t="s">
        <v>132</v>
      </c>
      <c r="F563" s="18" t="str">
        <f>HYPERLINK("https://www.youtube.com/watch?v=gIvyu1E9VVs",'Players&gt;List'!$B11)</f>
        <v>[CHB]</v>
      </c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25" t="s">
        <v>649</v>
      </c>
      <c r="E564" s="26" t="s">
        <v>147</v>
      </c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4" t="s">
        <v>3247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4"/>
    </row>
    <row r="566">
      <c r="A566" s="1"/>
      <c r="B566" s="4" t="s">
        <v>3249</v>
      </c>
      <c r="D566" s="9"/>
      <c r="E566" s="17" t="s">
        <v>14</v>
      </c>
      <c r="F566" s="18" t="str">
        <f>HYPERLINK("https://www.youtube.com/watch?v=LZbDIr-Sywk",'Players&gt;List'!$B18)</f>
        <v>[HGB]</v>
      </c>
      <c r="G566" s="18" t="str">
        <f>HYPERLINK("https://www.youtube.com/watch?v=8f-sKzd3juo",'Players&gt;List'!$B11)</f>
        <v>[CHB]</v>
      </c>
      <c r="H566" s="1"/>
      <c r="I566" s="1"/>
      <c r="J566" s="1"/>
      <c r="K566" s="1"/>
      <c r="L566" s="1"/>
      <c r="M566" s="1"/>
      <c r="N566" s="1"/>
    </row>
    <row r="567">
      <c r="A567" s="1"/>
      <c r="B567" s="25" t="s">
        <v>668</v>
      </c>
      <c r="E567" s="26" t="s">
        <v>234</v>
      </c>
      <c r="F567" s="18" t="str">
        <f>HYPERLINK("https://youtu.be/ooksQfzByzo",'Players&gt;List'!$B18)</f>
        <v>[HGB]</v>
      </c>
      <c r="G567" s="18" t="str">
        <f>HYPERLINK("https://www.youtube.com/watch?v=SrbJAA5tKN0&amp;t=0s&amp;list=PLbU6uWaIKemqNvTeRxK-Ay6PRg9iwCKVi&amp;index=25",'Players&gt;List'!$B19)</f>
        <v>[HIT]</v>
      </c>
      <c r="H567" s="18" t="str">
        <f>HYPERLINK("https://www.youtube.com/watch?v=IJVq6XT-WUk",'Players&gt;List'!$B11)</f>
        <v>[CHB]</v>
      </c>
      <c r="I567" s="1"/>
      <c r="J567" s="1"/>
      <c r="K567" s="1"/>
      <c r="L567" s="1"/>
      <c r="M567" s="1"/>
      <c r="N567" s="1"/>
    </row>
    <row r="568">
      <c r="A568" s="1"/>
      <c r="B568" s="14" t="s">
        <v>3256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4"/>
    </row>
    <row r="569">
      <c r="A569" s="1"/>
      <c r="B569" s="4" t="s">
        <v>3258</v>
      </c>
      <c r="D569" s="9"/>
      <c r="E569" s="17" t="s">
        <v>14</v>
      </c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25" t="s">
        <v>502</v>
      </c>
      <c r="E570" s="26" t="s">
        <v>234</v>
      </c>
      <c r="F570" s="18" t="str">
        <f>HYPERLINK("https://www.youtube.com/watch?v=MocpdPBman0",'Players&gt;List'!$B11)</f>
        <v>[CHB]</v>
      </c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25" t="s">
        <v>157</v>
      </c>
      <c r="E571" s="26" t="s">
        <v>132</v>
      </c>
      <c r="F571" s="18" t="str">
        <f>HYPERLINK("https://www.youtube.com/watch?v=ej961mzCEzs",'Players&gt;List'!$B11)</f>
        <v>[CHB]</v>
      </c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25" t="s">
        <v>400</v>
      </c>
      <c r="E572" s="26" t="s">
        <v>358</v>
      </c>
      <c r="F572" s="18" t="str">
        <f>HYPERLINK("https://www.youtube.com/watch?v=uZeRfuIY-XQ",'Players&gt;List'!$B11)</f>
        <v>[CHB]</v>
      </c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25" t="s">
        <v>149</v>
      </c>
      <c r="E573" s="26" t="s">
        <v>147</v>
      </c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25" t="s">
        <v>88</v>
      </c>
      <c r="E574" s="26" t="s">
        <v>147</v>
      </c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25" t="s">
        <v>197</v>
      </c>
      <c r="E575" s="26" t="s">
        <v>147</v>
      </c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4" t="s">
        <v>3267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4"/>
    </row>
    <row r="577">
      <c r="A577" s="1"/>
      <c r="B577" s="4" t="s">
        <v>3268</v>
      </c>
      <c r="D577" s="9"/>
      <c r="E577" s="17" t="s">
        <v>14</v>
      </c>
      <c r="F577" s="18" t="str">
        <f>HYPERLINK("https://www.youtube.com/watch?v=qTV5BjIb-lk&amp;index=30&amp;t=0s",'Players&gt;List'!$B23)</f>
        <v>[MOL]</v>
      </c>
      <c r="G577" s="18" t="str">
        <f>HYPERLINK("https://www.youtube.com/watch?v=Ru9Cuz3uTMU",'Players&gt;List'!$B18)</f>
        <v>[HGB]</v>
      </c>
      <c r="H577" s="18" t="str">
        <f>HYPERLINK("https://www.twitch.tv/videos/133749603",'Players&gt;List'!$B17)</f>
        <v>[GOL]</v>
      </c>
      <c r="I577" s="1"/>
      <c r="J577" s="1"/>
      <c r="K577" s="1"/>
      <c r="L577" s="1"/>
      <c r="M577" s="1"/>
      <c r="N577" s="1"/>
    </row>
    <row r="578">
      <c r="A578" s="1"/>
      <c r="B578" s="25" t="s">
        <v>2183</v>
      </c>
      <c r="E578" s="26" t="s">
        <v>380</v>
      </c>
      <c r="F578" s="18" t="str">
        <f>HYPERLINK("https://www.twitch.tv/videos/90757586",'Players&gt;List'!$B32)</f>
        <v>[XEL]</v>
      </c>
      <c r="G578" s="18" t="str">
        <f>HYPERLINK("https://www.youtube.com/watch?v=vPSa4bIZCT8&amp;list=PLbVGARhZL4D3Lq70cwW57ZaYW2LqWbHoA&amp;index=3",'Players&gt;List'!$B8)</f>
        <v>[ABA]</v>
      </c>
      <c r="H578" s="18" t="str">
        <f>HYPERLINK("https://youtu.be/A1H_7LG_nGo",'Players&gt;List'!$B23)</f>
        <v>[MOL]</v>
      </c>
      <c r="I578" s="18" t="str">
        <f>HYPERLINK("https://www.youtube.com/watch?v=I1qPkrbUnP4&amp;list=PLbVGARhZL4D3Lq70cwW57ZaYW2LqWbHoA&amp;index=2",'Players&gt;List'!$B19)</f>
        <v>[HIT]</v>
      </c>
      <c r="J578" s="18" t="str">
        <f>HYPERLINK("https://www.youtube.com/watch?v=uYilVwj90ro&amp;list=PLbVGARhZL4D3Lq70cwW57ZaYW2LqWbHoA&amp;index=4",'Players&gt;List'!$B15)</f>
        <v>[FNY]</v>
      </c>
      <c r="K578" s="18" t="str">
        <f>HYPERLINK("https://www.youtube.com/watch?v=LJKL1CxeXbs&amp;list=PLbVGARhZL4D3Lq70cwW57ZaYW2LqWbHoA&amp;index=5",'Players&gt;List'!$B11)</f>
        <v>[CHB]</v>
      </c>
      <c r="L578" s="1"/>
      <c r="M578" s="1"/>
      <c r="N578" s="1"/>
    </row>
    <row r="579">
      <c r="A579" s="1"/>
      <c r="B579" s="25" t="s">
        <v>149</v>
      </c>
      <c r="E579" s="26" t="s">
        <v>147</v>
      </c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25" t="s">
        <v>2701</v>
      </c>
      <c r="E580" s="26" t="s">
        <v>147</v>
      </c>
      <c r="F580" s="18" t="str">
        <f>HYPERLINK("https://www.youtube.com/watch?v=j6WoraPwI1A",'Players&gt;List'!$B11)</f>
        <v>[CHB]</v>
      </c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25" t="s">
        <v>649</v>
      </c>
      <c r="E581" s="26" t="s">
        <v>147</v>
      </c>
      <c r="F581" s="18" t="str">
        <f>HYPERLINK("https://www.youtube.com/watch?v=l9FQWAjVNFM",'Players&gt;List'!$B23)</f>
        <v>[MOL]</v>
      </c>
      <c r="G581" s="18" t="str">
        <f>HYPERLINK("https://www.youtube.com/watch?v=1796yjrl9TI",'Players&gt;List'!$B11)</f>
        <v>[CHB]</v>
      </c>
      <c r="H581" s="1"/>
      <c r="I581" s="1"/>
      <c r="J581" s="1"/>
      <c r="K581" s="1"/>
      <c r="L581" s="1"/>
      <c r="M581" s="1"/>
      <c r="N581" s="1"/>
    </row>
    <row r="582">
      <c r="A582" s="1"/>
      <c r="B582" s="25" t="s">
        <v>2213</v>
      </c>
      <c r="E582" s="26" t="s">
        <v>147</v>
      </c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25" t="s">
        <v>335</v>
      </c>
      <c r="E583" s="26" t="s">
        <v>147</v>
      </c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4" t="s">
        <v>3277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4"/>
    </row>
    <row r="585">
      <c r="A585" s="1"/>
      <c r="B585" s="4" t="s">
        <v>3280</v>
      </c>
      <c r="D585" s="9"/>
      <c r="E585" s="17" t="s">
        <v>14</v>
      </c>
      <c r="F585" s="18" t="str">
        <f>HYPERLINK("https://www.youtube.com/watch?v=f7St2T-lBJ4",'Players&gt;List'!$B28)</f>
        <v>[SUN]</v>
      </c>
      <c r="G585" s="18" t="str">
        <f>HYPERLINK("https://www.youtube.com/watch?v=U57a9zI5pxc",'Players&gt;List'!$B11)</f>
        <v>[CHB]</v>
      </c>
      <c r="H585" s="1"/>
      <c r="I585" s="1"/>
      <c r="J585" s="1"/>
      <c r="K585" s="1"/>
      <c r="L585" s="1"/>
      <c r="M585" s="1"/>
      <c r="N585" s="1"/>
    </row>
    <row r="586">
      <c r="A586" s="1"/>
      <c r="B586" s="25" t="s">
        <v>149</v>
      </c>
      <c r="E586" s="26" t="s">
        <v>90</v>
      </c>
      <c r="F586" s="18" t="str">
        <f>HYPERLINK("https://www.youtube.com/watch?v=f7St2T-lBJ4",'Players&gt;List'!$B28)</f>
        <v>[SUN]</v>
      </c>
      <c r="G586" s="18" t="str">
        <f>HYPERLINK("https://www.youtube.com/watch?v=zMLirIowqUw",'Players&gt;List'!$B11)</f>
        <v>[CHB]</v>
      </c>
      <c r="H586" s="1"/>
      <c r="I586" s="1"/>
      <c r="J586" s="1"/>
      <c r="K586" s="1"/>
      <c r="L586" s="1"/>
      <c r="M586" s="1"/>
      <c r="N586" s="1"/>
    </row>
    <row r="587">
      <c r="A587" s="1"/>
      <c r="B587" s="25" t="s">
        <v>88</v>
      </c>
      <c r="E587" s="26" t="s">
        <v>147</v>
      </c>
      <c r="F587" s="18" t="str">
        <f>HYPERLINK("https://www.youtube.com/watch?v=rKwrwirkIt8",'Players&gt;List'!$B28)</f>
        <v>[SUN]</v>
      </c>
      <c r="G587" s="18" t="str">
        <f>HYPERLINK("https://www.youtube.com/watch?v=p_78sELn8YQ",'Players&gt;List'!$B11)</f>
        <v>[CHB]</v>
      </c>
      <c r="H587" s="1"/>
      <c r="I587" s="1"/>
      <c r="J587" s="1"/>
      <c r="K587" s="1"/>
      <c r="L587" s="1"/>
      <c r="M587" s="1"/>
      <c r="N587" s="1"/>
    </row>
    <row r="588">
      <c r="A588" s="1"/>
      <c r="B588" s="25" t="s">
        <v>335</v>
      </c>
      <c r="E588" s="26" t="s">
        <v>147</v>
      </c>
      <c r="F588" s="18" t="str">
        <f>HYPERLINK("https://www.youtube.com/watch?v=2bDqnYeUE48",'Players&gt;List'!$B28)</f>
        <v>[SUN]</v>
      </c>
      <c r="G588" s="18" t="str">
        <f>HYPERLINK("https://www.youtube.com/watch?v=jZakDzCc9Vw",'Players&gt;List'!$B11)</f>
        <v>[CHB]</v>
      </c>
      <c r="H588" s="1"/>
      <c r="I588" s="1"/>
      <c r="J588" s="1"/>
      <c r="K588" s="1"/>
      <c r="L588" s="1"/>
      <c r="M588" s="1"/>
      <c r="N588" s="1"/>
    </row>
    <row r="589">
      <c r="A589" s="1"/>
      <c r="B589" s="14" t="s">
        <v>3298</v>
      </c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4"/>
    </row>
    <row r="590">
      <c r="A590" s="1"/>
      <c r="B590" s="4" t="s">
        <v>3300</v>
      </c>
      <c r="D590" s="9"/>
      <c r="E590" s="17" t="s">
        <v>14</v>
      </c>
      <c r="F590" s="18" t="str">
        <f>HYPERLINK("https://www.youtube.com/watch?v=RvFUf3bb2Ao",'Players&gt;List'!$B18)</f>
        <v>[HGB]</v>
      </c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25" t="s">
        <v>149</v>
      </c>
      <c r="E591" s="26" t="s">
        <v>90</v>
      </c>
      <c r="F591" s="18" t="str">
        <f>HYPERLINK("https://www.youtube.com/watch?v=57oHTcTRcO8",'Players&gt;List'!$B11)</f>
        <v>[CHB]</v>
      </c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25" t="s">
        <v>157</v>
      </c>
      <c r="E592" s="26" t="s">
        <v>132</v>
      </c>
      <c r="F592" s="18" t="str">
        <f>HYPERLINK("https://www.youtube.com/watch?v=3LcbmgKrHGI",'Players&gt;List'!$B28)</f>
        <v>[SUN]</v>
      </c>
      <c r="G592" s="18" t="str">
        <f>HYPERLINK("https://www.youtube.com/watch?v=-NSJ0o_xI80",'Players&gt;List'!$B11)</f>
        <v>[CHB]</v>
      </c>
      <c r="H592" s="1"/>
      <c r="I592" s="1"/>
      <c r="J592" s="1"/>
      <c r="K592" s="1"/>
      <c r="L592" s="1"/>
      <c r="M592" s="1"/>
      <c r="N592" s="1"/>
    </row>
    <row r="593">
      <c r="A593" s="1"/>
      <c r="B593" s="14" t="s">
        <v>3307</v>
      </c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4"/>
    </row>
    <row r="594">
      <c r="A594" s="1"/>
      <c r="B594" s="4" t="s">
        <v>3308</v>
      </c>
      <c r="D594" s="9"/>
      <c r="E594" s="17" t="s">
        <v>14</v>
      </c>
      <c r="F594" s="18" t="str">
        <f>HYPERLINK("https://www.youtube.com/watch?v=Bxd5cj0g5lk",'Players&gt;List'!$B28)</f>
        <v>[SUN]</v>
      </c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25" t="s">
        <v>2557</v>
      </c>
      <c r="E595" s="26" t="s">
        <v>915</v>
      </c>
      <c r="F595" s="18" t="str">
        <f>HYPERLINK("https://www.youtube.com/watch?v=BAjuG3KpOho&amp;list=PLbVGARhZL4D0RWrruNps6YMCTbVdzhlWN&amp;index=4&amp;t=0s",'Players&gt;List'!$B19)</f>
        <v>[HIT]</v>
      </c>
      <c r="G595" s="18" t="str">
        <f>HYPERLINK("https://youtu.be/0VxI9iT7zYY",'Players&gt;List'!$B28)</f>
        <v>[SUN]</v>
      </c>
      <c r="H595" s="18" t="str">
        <f>HYPERLINK("https://youtu.be/jmZTTM13Vxg",'Players&gt;List'!$B15)</f>
        <v>[FNY]</v>
      </c>
      <c r="I595" s="18" t="str">
        <f>HYPERLINK("https://youtu.be/66k7e9QzizQ",'Players&gt;List'!$B11)</f>
        <v>[CHB]</v>
      </c>
      <c r="J595" s="1"/>
      <c r="K595" s="1"/>
      <c r="L595" s="1"/>
      <c r="M595" s="1"/>
      <c r="N595" s="1"/>
    </row>
    <row r="596">
      <c r="A596" s="1"/>
      <c r="B596" s="25" t="s">
        <v>649</v>
      </c>
      <c r="E596" s="26" t="s">
        <v>147</v>
      </c>
      <c r="F596" s="18" t="str">
        <f>HYPERLINK("https://www.youtube.com/watch?v=Bxd5cj0g5lk",'Players&gt;List'!$B28)</f>
        <v>[SUN]</v>
      </c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25" t="s">
        <v>3145</v>
      </c>
      <c r="E597" s="26" t="s">
        <v>147</v>
      </c>
      <c r="F597" s="18" t="str">
        <f>HYPERLINK("https://www.youtube.com/watch?v=iSMi1GVM9K0",'Players&gt;List'!$B11)</f>
        <v>[CHB]</v>
      </c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25" t="s">
        <v>197</v>
      </c>
      <c r="E598" s="26" t="s">
        <v>147</v>
      </c>
      <c r="F598" s="18" t="str">
        <f>HYPERLINK("https://www.youtube.com/watch?v=fEyD6GRYFCY",'Players&gt;List'!$B28)</f>
        <v>[SUN]</v>
      </c>
      <c r="G598" s="18" t="str">
        <f>HYPERLINK("https://www.youtube.com/watch?v=A7Ff8tMmgjs",'Players&gt;List'!$B11)</f>
        <v>[CHB]</v>
      </c>
      <c r="H598" s="1"/>
      <c r="I598" s="1"/>
      <c r="J598" s="1"/>
      <c r="K598" s="1"/>
      <c r="L598" s="1"/>
      <c r="M598" s="1"/>
      <c r="N598" s="1"/>
    </row>
    <row r="599">
      <c r="A599" s="1"/>
      <c r="B599" s="25" t="s">
        <v>149</v>
      </c>
      <c r="E599" s="26" t="s">
        <v>147</v>
      </c>
      <c r="F599" s="18" t="str">
        <f>HYPERLINK("https://www.youtube.com/watch?v=Z1YX7rQXFTg",'Players&gt;List'!$B28)</f>
        <v>[SUN]</v>
      </c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25" t="s">
        <v>3323</v>
      </c>
      <c r="E600" s="26" t="s">
        <v>132</v>
      </c>
      <c r="F600" s="18" t="str">
        <f>HYPERLINK("https://www.youtube.com/watch?v=iZ2hkkvEcTU",'Players&gt;List'!$B28)</f>
        <v>[SUN]</v>
      </c>
      <c r="G600" s="18" t="str">
        <f>HYPERLINK("https://www.youtube.com/watch?v=NeoHs6ovX8I",'Players&gt;List'!$B11)</f>
        <v>[CHB]</v>
      </c>
      <c r="H600" s="1"/>
      <c r="I600" s="1"/>
      <c r="J600" s="1"/>
      <c r="K600" s="1"/>
      <c r="L600" s="1"/>
      <c r="M600" s="1"/>
      <c r="N600" s="1"/>
    </row>
    <row r="601">
      <c r="A601" s="1"/>
      <c r="B601" s="14" t="s">
        <v>3329</v>
      </c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4"/>
    </row>
    <row r="602">
      <c r="A602" s="1"/>
      <c r="B602" s="4" t="s">
        <v>3330</v>
      </c>
      <c r="D602" s="9"/>
      <c r="E602" s="17" t="s">
        <v>14</v>
      </c>
      <c r="F602" s="1"/>
      <c r="G602" s="1"/>
      <c r="H602" s="1"/>
      <c r="I602" s="1"/>
      <c r="J602" s="1"/>
      <c r="K602" s="1"/>
      <c r="L602" s="1"/>
      <c r="M602" s="1"/>
      <c r="N602" s="4"/>
    </row>
    <row r="603">
      <c r="A603" s="1"/>
      <c r="B603" s="25" t="s">
        <v>668</v>
      </c>
      <c r="E603" s="26" t="s">
        <v>234</v>
      </c>
      <c r="F603" s="18" t="str">
        <f>HYPERLINK("https://www.youtube.com/watch?v=3rfgVSWNiYE",'Players&gt;List'!$B8)</f>
        <v>[ABA]</v>
      </c>
      <c r="G603" s="18" t="str">
        <f>HYPERLINK("https://www.youtube.com/watch?v=GmGYB5ny8SY",'Players&gt;List'!$B11)</f>
        <v>[CHB]</v>
      </c>
      <c r="H603" s="1"/>
      <c r="I603" s="1"/>
      <c r="J603" s="1"/>
      <c r="K603" s="1"/>
      <c r="L603" s="1"/>
      <c r="M603" s="1"/>
      <c r="N603" s="1"/>
    </row>
    <row r="604">
      <c r="A604" s="1"/>
      <c r="B604" s="25" t="s">
        <v>117</v>
      </c>
      <c r="E604" s="26" t="s">
        <v>132</v>
      </c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25" t="s">
        <v>2183</v>
      </c>
      <c r="E605" s="26" t="s">
        <v>1418</v>
      </c>
      <c r="F605" s="18" t="str">
        <f>HYPERLINK("https://www.youtube.com/watch?v=dLgOlcIuCwY",'Players&gt;List'!$B11)</f>
        <v>[CHB]</v>
      </c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25" t="s">
        <v>855</v>
      </c>
      <c r="E606" s="26" t="s">
        <v>132</v>
      </c>
      <c r="F606" s="18" t="str">
        <f>HYPERLINK("https://www.youtube.com/watch?v=AznwInNnbjE",'Players&gt;List'!$B11)</f>
        <v>[CHB]</v>
      </c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4" t="s">
        <v>3334</v>
      </c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4"/>
    </row>
    <row r="608">
      <c r="A608" s="1"/>
      <c r="B608" s="4" t="s">
        <v>3336</v>
      </c>
      <c r="D608" s="9"/>
      <c r="E608" s="17" t="s">
        <v>14</v>
      </c>
      <c r="F608" s="18" t="str">
        <f>HYPERLINK("https://www.youtube.com/watch?v=q7bhQIR8oTI",'Players&gt;List'!$B18)</f>
        <v>[HGB]</v>
      </c>
      <c r="G608" s="18" t="str">
        <f>HYPERLINK("https://www.youtube.com/watch?v=lVF7Zz_YdC4",'Players&gt;List'!$B11)</f>
        <v>[CHB]</v>
      </c>
      <c r="H608" s="1"/>
      <c r="I608" s="1"/>
      <c r="J608" s="1"/>
      <c r="K608" s="1"/>
      <c r="L608" s="1"/>
      <c r="M608" s="1"/>
      <c r="N608" s="4"/>
    </row>
    <row r="609">
      <c r="A609" s="1"/>
      <c r="B609" s="25" t="s">
        <v>2493</v>
      </c>
      <c r="E609" s="26" t="s">
        <v>380</v>
      </c>
      <c r="F609" s="18" t="str">
        <f>HYPERLINK("https://www.twitch.tv/videos/90160148",'Players&gt;List'!$B32)</f>
        <v>[XEL]</v>
      </c>
      <c r="G609" s="18" t="str">
        <f>HYPERLINK("https://www.youtube.com/watch?v=0o0PjBczmCQ&amp;list=PLbVGARhZL4D0uXQTGzvfC1QtCcyY1OPUp&amp;index=4&amp;t=0s",'Players&gt;List'!$B8)</f>
        <v>[ABA]</v>
      </c>
      <c r="H609" s="18" t="str">
        <f>HYPERLINK("https://www.youtube.com/watch?v=Z4eGj2wjT9o&amp;t=0s&amp;index=2&amp;list=PLbVGARhZL4D0uXQTGzvfC1QtCcyY1OPUp",'Players&gt;List'!$B23)</f>
        <v>[MOL]</v>
      </c>
      <c r="I609" s="18" t="str">
        <f>HYPERLINK("https://youtu.be/2h5u9z2nB4A",'Players&gt;List'!$B19)</f>
        <v>[HIT]</v>
      </c>
      <c r="J609" s="18" t="str">
        <f>HYPERLINK("https://youtu.be/6CgLH8VKC_A",'Players&gt;List'!$B11)</f>
        <v>[CHB]</v>
      </c>
      <c r="K609" s="1"/>
      <c r="L609" s="1"/>
      <c r="M609" s="1"/>
      <c r="N609" s="1"/>
    </row>
    <row r="610">
      <c r="A610" s="1"/>
      <c r="B610" s="25" t="s">
        <v>88</v>
      </c>
      <c r="E610" s="26" t="s">
        <v>147</v>
      </c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25" t="s">
        <v>149</v>
      </c>
      <c r="E611" s="26" t="s">
        <v>147</v>
      </c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25" t="s">
        <v>2303</v>
      </c>
      <c r="E612" s="26" t="s">
        <v>132</v>
      </c>
      <c r="F612" s="18" t="str">
        <f>HYPERLINK("https://www.youtube.com/watch?v=q7bhQIR8oTI",'Players&gt;List'!$B18)</f>
        <v>[HGB]</v>
      </c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4" t="s">
        <v>3349</v>
      </c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4"/>
    </row>
    <row r="614">
      <c r="A614" s="1"/>
      <c r="B614" s="4" t="s">
        <v>3350</v>
      </c>
      <c r="D614" s="9"/>
      <c r="E614" s="17" t="s">
        <v>14</v>
      </c>
      <c r="F614" s="18" t="str">
        <f>HYPERLINK("https://www.youtube.com/watch?v=xIkmnwtZuhc",'Players&gt;List'!$B18)</f>
        <v>[HGB]</v>
      </c>
      <c r="G614" s="1"/>
      <c r="H614" s="1"/>
      <c r="I614" s="1"/>
      <c r="J614" s="1"/>
      <c r="K614" s="1"/>
      <c r="L614" s="1"/>
      <c r="M614" s="1"/>
      <c r="N614" s="4"/>
    </row>
    <row r="615">
      <c r="A615" s="1"/>
      <c r="B615" s="25" t="s">
        <v>2557</v>
      </c>
      <c r="E615" s="26" t="s">
        <v>915</v>
      </c>
      <c r="F615" s="18" t="str">
        <f>HYPERLINK("https://www.youtube.com/watch?v=Vu64HiGSj8Y",'Players&gt;List'!$B11)</f>
        <v>[CHB]</v>
      </c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25" t="s">
        <v>3354</v>
      </c>
      <c r="E616" s="26" t="s">
        <v>1418</v>
      </c>
      <c r="F616" s="18" t="str">
        <f>HYPERLINK("https://www.youtube.com/watch?v=Z5fERARHo_Q&amp;t=0s&amp;list=PLbU6uWaIKemqNvTeRxK-Ay6PRg9iwCKVi&amp;index=98",'Players&gt;List'!$B19)</f>
        <v>[HIT]</v>
      </c>
      <c r="G616" s="18" t="str">
        <f>HYPERLINK("https://www.youtube.com/watch?v=PtwA8MPVlII",'Players&gt;List'!$B11)</f>
        <v>[CHB]</v>
      </c>
      <c r="H616" s="1"/>
      <c r="I616" s="1"/>
      <c r="J616" s="1"/>
      <c r="K616" s="1"/>
      <c r="L616" s="1"/>
      <c r="M616" s="1"/>
      <c r="N616" s="1"/>
    </row>
    <row r="617">
      <c r="A617" s="1"/>
      <c r="B617" s="25" t="s">
        <v>3356</v>
      </c>
      <c r="E617" s="26" t="s">
        <v>358</v>
      </c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25" t="s">
        <v>1797</v>
      </c>
      <c r="E618" s="26" t="s">
        <v>358</v>
      </c>
      <c r="F618" s="18" t="str">
        <f>HYPERLINK("https://www.youtube.com/watch?v=cE1LNtFPkO0",'Players&gt;List'!$B11)</f>
        <v>[CHB]</v>
      </c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25" t="s">
        <v>117</v>
      </c>
      <c r="E619" s="26" t="s">
        <v>132</v>
      </c>
      <c r="F619" s="18" t="str">
        <f>HYPERLINK("https://www.youtube.com/watch?v=Jz3cH1n7-pI",'Players&gt;List'!$B11)</f>
        <v>[CHB]</v>
      </c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25" t="s">
        <v>2299</v>
      </c>
      <c r="E620" s="26" t="s">
        <v>132</v>
      </c>
      <c r="F620" s="18" t="str">
        <f>HYPERLINK("https://www.youtube.com/watch?v=C3a59RvuWAk",'Players&gt;List'!$B11)</f>
        <v>[CHB]</v>
      </c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4" t="s">
        <v>3364</v>
      </c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4"/>
    </row>
    <row r="622">
      <c r="A622" s="1"/>
      <c r="B622" s="4" t="s">
        <v>3366</v>
      </c>
      <c r="D622" s="9"/>
      <c r="E622" s="17" t="s">
        <v>14</v>
      </c>
      <c r="F622" s="18" t="str">
        <f>HYPERLINK("https://www.youtube.com/watch?v=0DNFvE3n90k",'Players&gt;List'!$B11)</f>
        <v>[CHB]</v>
      </c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25" t="s">
        <v>88</v>
      </c>
      <c r="E623" s="26" t="s">
        <v>90</v>
      </c>
      <c r="F623" s="18" t="str">
        <f>HYPERLINK("https://www.youtube.com/watch?v=yNmvXsPJeIk&amp;index=144&amp;list=PLbU6uWaIKemqNvTeRxK-Ay6PRg9iwCKVi&amp;t=0s",'Players&gt;List'!$B19)</f>
        <v>[HIT]</v>
      </c>
      <c r="G623" s="18" t="str">
        <f>HYPERLINK("https://www.youtube.com/watch?v=-T84gJ5NvGc",'Players&gt;List'!$B11)</f>
        <v>[CHB]</v>
      </c>
      <c r="H623" s="1"/>
      <c r="I623" s="1"/>
      <c r="J623" s="1"/>
      <c r="K623" s="1"/>
      <c r="L623" s="1"/>
      <c r="M623" s="1"/>
      <c r="N623" s="1"/>
    </row>
    <row r="624">
      <c r="A624" s="1"/>
      <c r="B624" s="14" t="s">
        <v>3372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4"/>
    </row>
    <row r="625">
      <c r="A625" s="1"/>
      <c r="B625" s="4" t="s">
        <v>3374</v>
      </c>
      <c r="D625" s="9"/>
      <c r="E625" s="17" t="s">
        <v>14</v>
      </c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25" t="s">
        <v>3375</v>
      </c>
      <c r="E626" s="26" t="s">
        <v>915</v>
      </c>
      <c r="F626" s="18" t="str">
        <f>HYPERLINK("https://www.youtube.com/watch?v=LWlzYvr_VJ8",'Players&gt;List'!$B11)</f>
        <v>[CHB]</v>
      </c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25" t="s">
        <v>335</v>
      </c>
      <c r="E627" s="26" t="s">
        <v>147</v>
      </c>
      <c r="F627" s="18" t="str">
        <f>HYPERLINK("https://www.youtube.com/watch?v=uMljI1Va9Vs",'Players&gt;List'!$B11)</f>
        <v>[CHB]</v>
      </c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25" t="s">
        <v>1719</v>
      </c>
      <c r="E628" s="26" t="s">
        <v>132</v>
      </c>
      <c r="F628" s="18" t="str">
        <f>HYPERLINK("https://www.youtube.com/watch?v=M2MddsA8q-Q",'Players&gt;List'!$B11)</f>
        <v>[CHB]</v>
      </c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25" t="s">
        <v>387</v>
      </c>
      <c r="E629" s="26" t="s">
        <v>132</v>
      </c>
      <c r="F629" s="18" t="str">
        <f>HYPERLINK("https://www.youtube.com/watch?v=5E0miK2yUww",'Players&gt;List'!$B11)</f>
        <v>[CHB]</v>
      </c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25" t="s">
        <v>2393</v>
      </c>
      <c r="E630" s="26" t="s">
        <v>358</v>
      </c>
      <c r="F630" s="18" t="str">
        <f>HYPERLINK("https://www.youtube.com/watch?v=XdlyptyZpAo",'Players&gt;List'!$B11)</f>
        <v>[CHB]</v>
      </c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4" t="s">
        <v>3383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4"/>
    </row>
    <row r="632">
      <c r="A632" s="1"/>
      <c r="B632" s="4" t="s">
        <v>3386</v>
      </c>
      <c r="D632" s="9"/>
      <c r="E632" s="17" t="s">
        <v>14</v>
      </c>
      <c r="F632" s="18" t="str">
        <f>HYPERLINK("https://www.youtube.com/watch?v=J5gguBlwoSI&amp;index=108&amp;list=PLbU6uWaIKemqNvTeRxK-Ay6PRg9iwCKVi&amp;t=0s",'Players&gt;List'!$B19)</f>
        <v>[HIT]</v>
      </c>
      <c r="G632" s="18" t="str">
        <f>HYPERLINK("https://www.youtube.com/watch?v=NTUTmxs4eL8",'Players&gt;List'!$B11)</f>
        <v>[CHB]</v>
      </c>
      <c r="H632" s="1"/>
      <c r="I632" s="1"/>
      <c r="J632" s="1"/>
      <c r="K632" s="1"/>
      <c r="L632" s="1"/>
      <c r="M632" s="1"/>
      <c r="N632" s="1"/>
    </row>
    <row r="633">
      <c r="A633" s="1"/>
      <c r="B633" s="25" t="s">
        <v>197</v>
      </c>
      <c r="E633" s="26" t="s">
        <v>90</v>
      </c>
      <c r="F633" s="18" t="str">
        <f>HYPERLINK("https://www.youtube.com/watch?v=vmeMfzEVNb8",'Players&gt;List'!$B11)</f>
        <v>[CHB]</v>
      </c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25" t="s">
        <v>149</v>
      </c>
      <c r="E634" s="26" t="s">
        <v>147</v>
      </c>
      <c r="F634" s="18" t="str">
        <f>HYPERLINK("https://www.youtube.com/watch?v=J5gguBlwoSI&amp;index=108&amp;list=PLbU6uWaIKemqNvTeRxK-Ay6PRg9iwCKVi&amp;t=0s",'Players&gt;List'!$B19)</f>
        <v>[HIT]</v>
      </c>
      <c r="G634" s="18" t="str">
        <f>HYPERLINK("https://www.youtube.com/watch?v=NTUTmxs4eL8",'Players&gt;List'!$B11)</f>
        <v>[CHB]</v>
      </c>
      <c r="H634" s="1"/>
      <c r="I634" s="1"/>
      <c r="J634" s="1"/>
      <c r="K634" s="1"/>
      <c r="L634" s="1"/>
      <c r="M634" s="1"/>
      <c r="N634" s="1"/>
    </row>
    <row r="635">
      <c r="A635" s="1"/>
      <c r="B635" s="14" t="s">
        <v>3394</v>
      </c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4"/>
    </row>
    <row r="636">
      <c r="A636" s="1"/>
      <c r="B636" s="4" t="s">
        <v>3396</v>
      </c>
      <c r="D636" s="9"/>
      <c r="E636" s="17" t="s">
        <v>14</v>
      </c>
      <c r="F636" s="18" t="str">
        <f>HYPERLINK("https://www.youtube.com/watch?v=gcRysNBxuxc",'Players&gt;List'!$B18)</f>
        <v>[HGB]</v>
      </c>
      <c r="G636" s="18" t="str">
        <f>HYPERLINK("https://www.youtube.com/watch?v=qIvaOo2zHuY",'Players&gt;List'!$B28)</f>
        <v>[SUN]</v>
      </c>
      <c r="H636" s="1"/>
      <c r="I636" s="1"/>
      <c r="J636" s="1"/>
      <c r="K636" s="1"/>
      <c r="L636" s="1"/>
      <c r="M636" s="1"/>
      <c r="N636" s="1"/>
    </row>
    <row r="637">
      <c r="A637" s="1"/>
      <c r="B637" s="25" t="s">
        <v>2241</v>
      </c>
      <c r="E637" s="26" t="s">
        <v>110</v>
      </c>
      <c r="F637" s="18" t="str">
        <f>HYPERLINK("https://www.youtube.com/watch?v=TgWaZkbKofU",'Players&gt;List'!$B11)</f>
        <v>[CHB]</v>
      </c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25" t="s">
        <v>2293</v>
      </c>
      <c r="E638" s="26" t="s">
        <v>132</v>
      </c>
      <c r="F638" s="18" t="str">
        <f>HYPERLINK("https://www.youtube.com/watch?v=TgWaZkbKofU",'Players&gt;List'!$B11)</f>
        <v>[CHB]</v>
      </c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25" t="s">
        <v>149</v>
      </c>
      <c r="E639" s="26" t="s">
        <v>147</v>
      </c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25" t="s">
        <v>3239</v>
      </c>
      <c r="E640" s="26" t="s">
        <v>2185</v>
      </c>
      <c r="F640" s="18" t="str">
        <f>HYPERLINK("https://www.youtube.com/watch?v=LF6VFxx_gjY",'Players&gt;List'!$B11)</f>
        <v>[CHB]</v>
      </c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25" t="s">
        <v>356</v>
      </c>
      <c r="E641" s="26" t="s">
        <v>358</v>
      </c>
      <c r="F641" s="18" t="str">
        <f>HYPERLINK("https://www.youtube.com/watch?v=2B65BZZlZlA",'Players&gt;List'!$B8)</f>
        <v>[ABA]</v>
      </c>
      <c r="G641" s="18" t="str">
        <f>HYPERLINK("https://www.youtube.com/watch?v=DDp7R6jibY4&amp;index=137&amp;list=PLbU6uWaIKemqNvTeRxK-Ay6PRg9iwCKVi&amp;t=0s",'Players&gt;List'!$B19)</f>
        <v>[HIT]</v>
      </c>
      <c r="H641" s="18" t="str">
        <f>HYPERLINK("https://www.youtube.com/watch?v=xs8kHBJvpzE",'Players&gt;List'!$B11)</f>
        <v>[CHB]</v>
      </c>
      <c r="I641" s="1"/>
      <c r="J641" s="1"/>
      <c r="K641" s="1"/>
      <c r="L641" s="1"/>
      <c r="M641" s="1"/>
      <c r="N641" s="1"/>
    </row>
    <row r="642">
      <c r="A642" s="1"/>
      <c r="B642" s="25" t="s">
        <v>357</v>
      </c>
      <c r="E642" s="26" t="s">
        <v>358</v>
      </c>
      <c r="F642" s="18" t="str">
        <f>HYPERLINK("https://www.twitch.tv/videos/90422471",'Players&gt;List'!$B32)</f>
        <v>[XEL]</v>
      </c>
      <c r="G642" s="18" t="str">
        <f>HYPERLINK("https://www.youtube.com/watch?v=QKgM1bQvWO0",'Players&gt;List'!$B11)</f>
        <v>[CHB]</v>
      </c>
      <c r="H642" s="1"/>
      <c r="I642" s="1"/>
      <c r="J642" s="1"/>
      <c r="K642" s="1"/>
      <c r="L642" s="1"/>
      <c r="M642" s="1"/>
      <c r="N642" s="1"/>
    </row>
    <row r="643">
      <c r="A643" s="1"/>
      <c r="B643" s="14" t="s">
        <v>3416</v>
      </c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4"/>
    </row>
    <row r="644">
      <c r="A644" s="1"/>
      <c r="B644" s="4" t="s">
        <v>3418</v>
      </c>
      <c r="D644" s="9"/>
      <c r="E644" s="17" t="s">
        <v>14</v>
      </c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25" t="s">
        <v>2532</v>
      </c>
      <c r="E645" s="26" t="s">
        <v>380</v>
      </c>
      <c r="F645" s="18" t="str">
        <f>HYPERLINK("https://www.youtube.com/watch?v=E-N0z7PQ4yA",'Players&gt;List'!$B18)</f>
        <v>[HGB]</v>
      </c>
      <c r="G645" s="18" t="str">
        <f>HYPERLINK("https://www.youtube.com/watch?v=qH6SWa2bFfI",'Players&gt;List'!$B11)</f>
        <v>[CHB]</v>
      </c>
      <c r="H645" s="1"/>
      <c r="I645" s="1"/>
      <c r="J645" s="1"/>
      <c r="K645" s="1"/>
      <c r="L645" s="1"/>
      <c r="M645" s="1"/>
      <c r="N645" s="1"/>
    </row>
    <row r="646">
      <c r="A646" s="1"/>
      <c r="B646" s="14" t="s">
        <v>3424</v>
      </c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4"/>
    </row>
    <row r="647">
      <c r="A647" s="1"/>
      <c r="B647" s="4" t="s">
        <v>3426</v>
      </c>
      <c r="D647" s="9"/>
      <c r="E647" s="17" t="s">
        <v>14</v>
      </c>
      <c r="F647" s="18" t="str">
        <f>HYPERLINK("https://www.youtube.com/watch?v=IPqi3CHRAqw",'Players&gt;List'!$B11)</f>
        <v>[CHB]</v>
      </c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25" t="s">
        <v>439</v>
      </c>
      <c r="E648" s="26" t="s">
        <v>110</v>
      </c>
      <c r="F648" s="18" t="str">
        <f>HYPERLINK("https://www.youtube.com/watch?v=wmUiPd7L05I",'Players&gt;List'!$B11)</f>
        <v>[CHB]</v>
      </c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4" t="s">
        <v>3431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4"/>
    </row>
    <row r="650">
      <c r="A650" s="1"/>
      <c r="B650" s="4" t="s">
        <v>3434</v>
      </c>
      <c r="D650" s="9"/>
      <c r="E650" s="17" t="s">
        <v>14</v>
      </c>
      <c r="F650" s="18" t="str">
        <f>HYPERLINK("https://www.youtube.com/watch?v=7SaX8OFXYpo",'Players&gt;List'!$B11)</f>
        <v>[CHB]</v>
      </c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25" t="s">
        <v>108</v>
      </c>
      <c r="E651" s="26" t="s">
        <v>110</v>
      </c>
      <c r="F651" s="18" t="str">
        <f>HYPERLINK("https://www.youtube.com/watch?v=g8FexmvmwiM",'Players&gt;List'!$B11)</f>
        <v>[CHB]</v>
      </c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25" t="s">
        <v>2966</v>
      </c>
      <c r="E652" s="26" t="s">
        <v>132</v>
      </c>
      <c r="F652" s="18" t="str">
        <f>HYPERLINK("https://www.youtube.com/watch?v=auGFDPy88OM",'Players&gt;List'!$B11)</f>
        <v>[CHB]</v>
      </c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25" t="s">
        <v>149</v>
      </c>
      <c r="E653" s="26" t="s">
        <v>147</v>
      </c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25" t="s">
        <v>649</v>
      </c>
      <c r="E654" s="26" t="s">
        <v>147</v>
      </c>
      <c r="F654" s="18" t="str">
        <f>HYPERLINK("https://www.youtube.com/watch?v=8WXnxglDeOA",'Players&gt;List'!$B11)</f>
        <v>[CHB]</v>
      </c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4" t="s">
        <v>3441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4"/>
    </row>
    <row r="656">
      <c r="A656" s="1"/>
      <c r="B656" s="4" t="s">
        <v>3443</v>
      </c>
      <c r="D656" s="9"/>
      <c r="E656" s="17" t="s">
        <v>14</v>
      </c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25" t="s">
        <v>649</v>
      </c>
      <c r="E657" s="26" t="s">
        <v>90</v>
      </c>
      <c r="F657" s="18" t="str">
        <f>HYPERLINK("https://www.youtube.com/watch?v=LiU_djksh14&amp;index=152&amp;list=PLbU6uWaIKemqNvTeRxK-Ay6PRg9iwCKVi&amp;t=0s",'Players&gt;List'!$B19)</f>
        <v>[HIT]</v>
      </c>
      <c r="G657" s="18" t="str">
        <f>HYPERLINK("https://www.youtube.com/watch?v=Iodkw7_TtVw",'Players&gt;List'!$B15)</f>
        <v>[FNY]</v>
      </c>
      <c r="H657" s="18" t="str">
        <f>HYPERLINK("https://www.youtube.com/watch?v=GchFiJgJ-_E",'Players&gt;List'!$B11)</f>
        <v>[CHB]</v>
      </c>
      <c r="I657" s="1"/>
      <c r="J657" s="1"/>
      <c r="K657" s="1"/>
      <c r="L657" s="1"/>
      <c r="M657" s="1"/>
      <c r="N657" s="1"/>
    </row>
    <row r="658">
      <c r="A658" s="1"/>
      <c r="B658" s="25" t="s">
        <v>335</v>
      </c>
      <c r="E658" s="26" t="s">
        <v>147</v>
      </c>
      <c r="F658" s="18" t="str">
        <f>HYPERLINK("https://www.youtube.com/watch?v=LiU_djksh14&amp;index=152&amp;list=PLbU6uWaIKemqNvTeRxK-Ay6PRg9iwCKVi&amp;t=0s",'Players&gt;List'!$B19)</f>
        <v>[HIT]</v>
      </c>
      <c r="G658" s="18" t="str">
        <f>HYPERLINK("https://www.youtube.com/watch?v=Iodkw7_TtVw",'Players&gt;List'!$B15)</f>
        <v>[FNY]</v>
      </c>
      <c r="H658" s="18" t="str">
        <f>HYPERLINK("https://www.youtube.com/watch?v=GchFiJgJ-_E",'Players&gt;List'!$B11)</f>
        <v>[CHB]</v>
      </c>
      <c r="I658" s="1"/>
      <c r="J658" s="1"/>
      <c r="K658" s="1"/>
      <c r="L658" s="1"/>
      <c r="M658" s="1"/>
      <c r="N658" s="1"/>
    </row>
    <row r="659">
      <c r="A659" s="1"/>
      <c r="B659" s="25" t="s">
        <v>88</v>
      </c>
      <c r="E659" s="26" t="s">
        <v>147</v>
      </c>
      <c r="F659" s="18" t="str">
        <f>HYPERLINK("https://www.youtube.com/watch?v=-vEPcRDtl0w",'Players&gt;List'!$B11)</f>
        <v>[CHB]</v>
      </c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25" t="s">
        <v>149</v>
      </c>
      <c r="E660" s="26" t="s">
        <v>147</v>
      </c>
      <c r="F660" s="18" t="str">
        <f>HYPERLINK("https://www.twitch.tv/videos/90423299",'Players&gt;List'!$B32)</f>
        <v>[XEL]</v>
      </c>
      <c r="G660" s="18" t="str">
        <f>HYPERLINK("https://www.youtube.com/watch?v=3eNCDbrycMc&amp;index=2&amp;list=PLbVGARhZL4D3nX5OVj0C7iwGpZceRrlo0&amp;t=0s",'Players&gt;List'!$B23)</f>
        <v>[MOL]</v>
      </c>
      <c r="H660" s="18" t="str">
        <f>HYPERLINK("https://youtu.be/gZbrM61RBP8",'Players&gt;List'!$B8)</f>
        <v>[ABA]</v>
      </c>
      <c r="I660" s="18" t="str">
        <f>HYPERLINK("https://www.youtube.com/watch?v=C_OSI6Ds3SQ&amp;index=3&amp;list=PLbVGARhZL4D3nX5OVj0C7iwGpZceRrlo0&amp;t=0s",'Players&gt;List'!$B19)</f>
        <v>[HIT]</v>
      </c>
      <c r="J660" s="18" t="str">
        <f>HYPERLINK("https://youtu.be/zwqzhsYDctk",'Players&gt;List'!$B15)</f>
        <v>[FNY]</v>
      </c>
      <c r="K660" s="18" t="str">
        <f>HYPERLINK("https://www.youtube.com/watch?v=fbRBR9bxL7E",'Players&gt;List'!$B11)</f>
        <v>[CHB]</v>
      </c>
      <c r="L660" s="1"/>
      <c r="M660" s="1"/>
      <c r="N660" s="1"/>
    </row>
    <row r="661">
      <c r="A661" s="1"/>
      <c r="B661" s="25" t="s">
        <v>197</v>
      </c>
      <c r="E661" s="26" t="s">
        <v>147</v>
      </c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25" t="s">
        <v>157</v>
      </c>
      <c r="E662" s="26" t="s">
        <v>132</v>
      </c>
      <c r="F662" s="18" t="str">
        <f>HYPERLINK("https://www.youtube.com/watch?v=g8gh13ogWW8",'Players&gt;List'!$B8)</f>
        <v>[ABA]</v>
      </c>
      <c r="G662" s="18" t="str">
        <f>HYPERLINK("https://www.youtube.com/watch?v=nkf4s0wRBRw&amp;index=151&amp;list=PLbU6uWaIKemqNvTeRxK-Ay6PRg9iwCKVi&amp;t=0s",'Players&gt;List'!$B19)</f>
        <v>[HIT]</v>
      </c>
      <c r="H662" s="18" t="str">
        <f>HYPERLINK("https://www.youtube.com/watch?v=3Dq3giU-kjI",'Players&gt;List'!$B15)</f>
        <v>[FNY]</v>
      </c>
      <c r="I662" s="18" t="str">
        <f>HYPERLINK("https://www.youtube.com/watch?v=S7R2Doy7lWE",'Players&gt;List'!$B11)</f>
        <v>[CHB]</v>
      </c>
      <c r="J662" s="1"/>
      <c r="K662" s="1"/>
      <c r="L662" s="1"/>
      <c r="M662" s="1"/>
      <c r="N662" s="1"/>
    </row>
    <row r="663">
      <c r="A663" s="1"/>
      <c r="B663" s="14" t="s">
        <v>3461</v>
      </c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4"/>
    </row>
    <row r="664">
      <c r="A664" s="1"/>
      <c r="B664" s="4" t="s">
        <v>3463</v>
      </c>
      <c r="D664" s="9"/>
      <c r="E664" s="17" t="s">
        <v>14</v>
      </c>
      <c r="F664" s="18" t="str">
        <f>HYPERLINK("https://www.youtube.com/watch?v=eWUG39PeYU0",'Players&gt;List'!$B18)</f>
        <v>[HGB]</v>
      </c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25" t="s">
        <v>131</v>
      </c>
      <c r="E665" s="26" t="s">
        <v>110</v>
      </c>
      <c r="F665" s="18" t="str">
        <f>HYPERLINK("https://www.youtube.com/watch?v=XS1whV47QRo",'Players&gt;List'!$B11)</f>
        <v>[CHB]</v>
      </c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25" t="s">
        <v>149</v>
      </c>
      <c r="E666" s="26" t="s">
        <v>147</v>
      </c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25" t="s">
        <v>855</v>
      </c>
      <c r="E667" s="26" t="s">
        <v>132</v>
      </c>
      <c r="F667" s="18" t="str">
        <f>HYPERLINK("https://www.youtube.com/watch?v=qNL-HpNGxH8&amp;index=138&amp;list=PLbU6uWaIKemqNvTeRxK-Ay6PRg9iwCKVi&amp;t=0s",'Players&gt;List'!$B19)</f>
        <v>[HIT]</v>
      </c>
      <c r="G667" s="18" t="str">
        <f>HYPERLINK("https://www.youtube.com/watch?v=LtnBjKH4s4Y",'Players&gt;List'!$B11)</f>
        <v>[CHB]</v>
      </c>
      <c r="H667" s="1"/>
      <c r="I667" s="1"/>
      <c r="J667" s="1"/>
      <c r="K667" s="1"/>
      <c r="L667" s="1"/>
      <c r="M667" s="1"/>
      <c r="N667" s="1"/>
    </row>
    <row r="668">
      <c r="A668" s="1"/>
      <c r="B668" s="14" t="s">
        <v>3468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4"/>
    </row>
    <row r="669">
      <c r="A669" s="1"/>
      <c r="B669" s="4" t="s">
        <v>3469</v>
      </c>
      <c r="D669" s="9"/>
      <c r="E669" s="17" t="s">
        <v>14</v>
      </c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25" t="s">
        <v>3471</v>
      </c>
      <c r="E670" s="26" t="s">
        <v>915</v>
      </c>
      <c r="F670" s="18" t="str">
        <f>HYPERLINK("https://www.youtube.com/watch?v=Vl2RJkwIWjo",'Players&gt;List'!$B11)</f>
        <v>[CHB]</v>
      </c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25" t="s">
        <v>335</v>
      </c>
      <c r="E671" s="26" t="s">
        <v>147</v>
      </c>
      <c r="F671" s="18" t="str">
        <f>HYPERLINK("https://www.youtube.com/watch?v=b8iEPw5SODI",'Players&gt;List'!$B11)</f>
        <v>[CHB]</v>
      </c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4" t="s">
        <v>3476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4"/>
    </row>
    <row r="673">
      <c r="A673" s="1"/>
      <c r="B673" s="4" t="s">
        <v>3477</v>
      </c>
      <c r="D673" s="9"/>
      <c r="E673" s="17" t="s">
        <v>14</v>
      </c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25" t="s">
        <v>131</v>
      </c>
      <c r="E674" s="26" t="s">
        <v>110</v>
      </c>
      <c r="F674" s="18" t="str">
        <f>HYPERLINK("https://www.youtube.com/watch?v=3Hzn7F2POcM&amp;index=240&amp;t=0s&amp;list=PLbU6uWaIKemqNvTeRxK-Ay6PRg9iwCKVi",'Players&gt;List'!$B19)</f>
        <v>[HIT]</v>
      </c>
      <c r="G674" s="18" t="str">
        <f>HYPERLINK("https://www.youtube.com/watch?v=hVD1OtuuZ5E",'Players&gt;List'!$B11)</f>
        <v>[CHB]</v>
      </c>
      <c r="H674" s="1"/>
      <c r="I674" s="1"/>
      <c r="J674" s="1"/>
      <c r="K674" s="1"/>
      <c r="L674" s="1"/>
      <c r="M674" s="1"/>
      <c r="N674" s="1"/>
    </row>
    <row r="675">
      <c r="A675" s="1"/>
      <c r="B675" s="25" t="s">
        <v>149</v>
      </c>
      <c r="E675" s="26" t="s">
        <v>147</v>
      </c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25" t="s">
        <v>855</v>
      </c>
      <c r="E676" s="26" t="s">
        <v>132</v>
      </c>
      <c r="F676" s="18" t="str">
        <f>HYPERLINK("https://www.youtube.com/watch?v=yTwVEcvUSks",'Players&gt;List'!$B11)</f>
        <v>[CHB]</v>
      </c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4" t="s">
        <v>3481</v>
      </c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4"/>
    </row>
    <row r="678">
      <c r="A678" s="1"/>
      <c r="B678" s="4" t="s">
        <v>3483</v>
      </c>
      <c r="D678" s="9"/>
      <c r="E678" s="17" t="s">
        <v>14</v>
      </c>
      <c r="F678" s="18" t="str">
        <f>HYPERLINK("https://www.youtube.com/watch?v=vftBCy5hGNQ",'Players&gt;List'!$B18)</f>
        <v>[HGB]</v>
      </c>
      <c r="G678" s="18" t="str">
        <f>HYPERLINK("https://www.youtube.com/watch?v=MA9aGJgNr3M",'Players&gt;List'!$B11)</f>
        <v>[CHB]</v>
      </c>
      <c r="H678" s="1"/>
      <c r="I678" s="1"/>
      <c r="J678" s="1"/>
      <c r="K678" s="1"/>
      <c r="L678" s="1"/>
      <c r="M678" s="1"/>
      <c r="N678" s="1"/>
    </row>
    <row r="679">
      <c r="A679" s="1"/>
      <c r="B679" s="25" t="s">
        <v>3484</v>
      </c>
      <c r="E679" s="26" t="s">
        <v>234</v>
      </c>
      <c r="F679" s="18" t="str">
        <f>HYPERLINK("https://www.youtube.com/watch?v=aDNNDOupcqI",'Players&gt;List'!$B8)</f>
        <v>[ABA]</v>
      </c>
      <c r="G679" s="18" t="str">
        <f>HYPERLINK("https://www.youtube.com/watch?v=GxcguuIy6h8&amp;index=154&amp;list=PLbU6uWaIKemqNvTeRxK-Ay6PRg9iwCKVi&amp;t=0s",'Players&gt;List'!$B19)</f>
        <v>[HIT]</v>
      </c>
      <c r="H679" s="18" t="str">
        <f>HYPERLINK("https://www.youtube.com/watch?v=MA9aGJgNr3M",'Players&gt;List'!$B11)</f>
        <v>[CHB]</v>
      </c>
      <c r="I679" s="1"/>
      <c r="J679" s="1"/>
      <c r="K679" s="1"/>
      <c r="L679" s="1"/>
      <c r="M679" s="1"/>
      <c r="N679" s="1"/>
    </row>
    <row r="680">
      <c r="A680" s="1"/>
      <c r="B680" s="25" t="s">
        <v>488</v>
      </c>
      <c r="E680" s="26" t="s">
        <v>358</v>
      </c>
      <c r="F680" s="18" t="str">
        <f>HYPERLINK("https://www.youtube.com/watch?v=OhMyoS9K434",'Players&gt;List'!$B11)</f>
        <v>[CHB]</v>
      </c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4" t="s">
        <v>3487</v>
      </c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"/>
    </row>
    <row r="682">
      <c r="A682" s="1"/>
      <c r="B682" s="4" t="s">
        <v>3489</v>
      </c>
      <c r="D682" s="9"/>
      <c r="E682" s="17" t="s">
        <v>14</v>
      </c>
      <c r="F682" s="18" t="str">
        <f>HYPERLINK("https://www.youtube.com/watch?v=Wdzzjocd_OA",'Players&gt;List'!$B11)</f>
        <v>[CHB]</v>
      </c>
      <c r="G682" s="1"/>
      <c r="H682" s="1"/>
      <c r="I682" s="1"/>
      <c r="J682" s="1"/>
      <c r="K682" s="1"/>
      <c r="L682" s="1"/>
      <c r="M682" s="1"/>
      <c r="N682" s="4"/>
    </row>
    <row r="683">
      <c r="A683" s="1"/>
      <c r="B683" s="25" t="s">
        <v>88</v>
      </c>
      <c r="E683" s="26" t="s">
        <v>90</v>
      </c>
      <c r="F683" s="18" t="str">
        <f>HYPERLINK("https://www.youtube.com/watch?v=Yp3tedDnDlA",'Players&gt;List'!$B11)</f>
        <v>[CHB]</v>
      </c>
      <c r="G683" s="1"/>
      <c r="H683" s="1"/>
      <c r="I683" s="1"/>
      <c r="J683" s="1"/>
      <c r="K683" s="1"/>
      <c r="L683" s="1"/>
      <c r="M683" s="1"/>
      <c r="N683" s="4"/>
    </row>
    <row r="684">
      <c r="A684" s="1"/>
      <c r="B684" s="14" t="s">
        <v>3494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"/>
    </row>
    <row r="685">
      <c r="A685" s="1"/>
      <c r="B685" s="4" t="s">
        <v>3496</v>
      </c>
      <c r="D685" s="9"/>
      <c r="E685" s="17" t="s">
        <v>14</v>
      </c>
      <c r="F685" s="18" t="str">
        <f>HYPERLINK("https://www.youtube.com/watch?v=qjtBQBrqo5A",'Players&gt;List'!$B11)</f>
        <v>[CHB]</v>
      </c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25" t="s">
        <v>913</v>
      </c>
      <c r="E686" s="26" t="s">
        <v>915</v>
      </c>
      <c r="F686" s="18" t="str">
        <f>HYPERLINK("https://www.twitch.tv/videos/89951759",'Players&gt;List'!$B32)</f>
        <v>[XEL]</v>
      </c>
      <c r="G686" s="18" t="str">
        <f>HYPERLINK("https://www.youtube.com/watch?v=qsGQFMeiMOg",'Players&gt;List'!$B28)</f>
        <v>[SUN]</v>
      </c>
      <c r="H686" s="18" t="str">
        <f>HYPERLINK("https://www.youtube.com/watch?v=C7ks0YUHpZY",'Players&gt;List'!$B11)</f>
        <v>[CHB]</v>
      </c>
      <c r="I686" s="1"/>
      <c r="J686" s="1"/>
      <c r="K686" s="1"/>
      <c r="L686" s="1"/>
      <c r="M686" s="1"/>
      <c r="N686" s="1"/>
    </row>
    <row r="687">
      <c r="A687" s="1"/>
      <c r="B687" s="25" t="s">
        <v>88</v>
      </c>
      <c r="E687" s="26" t="s">
        <v>147</v>
      </c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25" t="s">
        <v>149</v>
      </c>
      <c r="E688" s="26" t="s">
        <v>147</v>
      </c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25" t="s">
        <v>649</v>
      </c>
      <c r="E689" s="26" t="s">
        <v>147</v>
      </c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4" t="s">
        <v>3505</v>
      </c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"/>
    </row>
    <row r="691">
      <c r="A691" s="1"/>
      <c r="B691" s="4" t="s">
        <v>3506</v>
      </c>
      <c r="D691" s="9"/>
      <c r="E691" s="17" t="s">
        <v>14</v>
      </c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25" t="s">
        <v>131</v>
      </c>
      <c r="E692" s="26" t="s">
        <v>110</v>
      </c>
      <c r="F692" s="18" t="str">
        <f>HYPERLINK("https://www.youtube.com/watch?v=O-Pd6--KWuk",'Players&gt;List'!$B18)</f>
        <v>[HGB]</v>
      </c>
      <c r="G692" s="18" t="str">
        <f>HYPERLINK("https://www.youtube.com/watch?v=z-KyjORycxs",'Players&gt;List'!$B11)</f>
        <v>[CHB]</v>
      </c>
      <c r="H692" s="1"/>
      <c r="I692" s="1"/>
      <c r="J692" s="1"/>
      <c r="K692" s="1"/>
      <c r="L692" s="1"/>
      <c r="M692" s="1"/>
      <c r="N692" s="1"/>
    </row>
    <row r="693">
      <c r="A693" s="1"/>
      <c r="B693" s="14" t="s">
        <v>3510</v>
      </c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"/>
    </row>
    <row r="694">
      <c r="A694" s="1"/>
      <c r="B694" s="4" t="s">
        <v>3512</v>
      </c>
      <c r="D694" s="9"/>
      <c r="E694" s="17" t="s">
        <v>14</v>
      </c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25" t="s">
        <v>2701</v>
      </c>
      <c r="E695" s="26" t="s">
        <v>90</v>
      </c>
      <c r="F695" s="18" t="str">
        <f>HYPERLINK("https://www.youtube.com/watch?v=kdqyFYBkarU",'Players&gt;List'!$B28)</f>
        <v>[SUN]</v>
      </c>
      <c r="G695" s="18" t="str">
        <f>HYPERLINK("https://www.youtube.com/watch?v=tAEtsKFCYes",'Players&gt;List'!$B11)</f>
        <v>[CHB]</v>
      </c>
      <c r="H695" s="1"/>
      <c r="I695" s="1"/>
      <c r="J695" s="1"/>
      <c r="K695" s="1"/>
      <c r="L695" s="1"/>
      <c r="M695" s="1"/>
      <c r="N695" s="1"/>
    </row>
    <row r="696">
      <c r="A696" s="1"/>
      <c r="B696" s="25" t="s">
        <v>2251</v>
      </c>
      <c r="E696" s="26" t="s">
        <v>358</v>
      </c>
      <c r="F696" s="18" t="str">
        <f>HYPERLINK("https://www.youtube.com/watch?v=4XVtecbh34k",'Players&gt;List'!$B18)</f>
        <v>[HGB]</v>
      </c>
      <c r="G696" s="18" t="str">
        <f>HYPERLINK("https://www.youtube.com/watch?v=mKoBVYyvVUs",'Players&gt;List'!$B11)</f>
        <v>[CHB]</v>
      </c>
      <c r="H696" s="1"/>
      <c r="I696" s="1"/>
      <c r="J696" s="1"/>
      <c r="K696" s="1"/>
      <c r="L696" s="1"/>
      <c r="M696" s="1"/>
      <c r="N696" s="1"/>
    </row>
    <row r="697">
      <c r="A697" s="1"/>
      <c r="B697" s="25" t="s">
        <v>149</v>
      </c>
      <c r="E697" s="26" t="s">
        <v>147</v>
      </c>
      <c r="F697" s="18" t="str">
        <f>HYPERLINK("https://www.youtube.com/watch?v=tAEtsKFCYes",'Players&gt;List'!$B11)</f>
        <v>[CHB]</v>
      </c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4" t="s">
        <v>3521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"/>
    </row>
    <row r="699">
      <c r="A699" s="1"/>
      <c r="B699" s="4" t="s">
        <v>3523</v>
      </c>
      <c r="D699" s="9"/>
      <c r="E699" s="17" t="s">
        <v>14</v>
      </c>
      <c r="F699" s="1"/>
      <c r="G699" s="1"/>
      <c r="H699" s="1"/>
      <c r="I699" s="1"/>
      <c r="J699" s="1"/>
      <c r="K699" s="1"/>
      <c r="L699" s="1"/>
      <c r="M699" s="1"/>
      <c r="N699" s="4"/>
    </row>
    <row r="700">
      <c r="A700" s="1"/>
      <c r="B700" s="25" t="s">
        <v>2618</v>
      </c>
      <c r="E700" s="26" t="s">
        <v>380</v>
      </c>
      <c r="F700" s="18" t="str">
        <f>HYPERLINK("https://www.youtube.com/watch?v=N065E-60ZX4",'Players&gt;List'!$B11)</f>
        <v>[CHB]</v>
      </c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25" t="s">
        <v>2532</v>
      </c>
      <c r="E701" s="26" t="s">
        <v>1418</v>
      </c>
      <c r="F701" s="18" t="str">
        <f>HYPERLINK("https://www.twitch.tv/videos/110154711",'Players&gt;List'!$B32)</f>
        <v>[XEL]</v>
      </c>
      <c r="G701" s="18" t="str">
        <f>HYPERLINK("https://youtu.be/xbf4NDYo13U",'Players&gt;List'!$B23)</f>
        <v>[MOL]</v>
      </c>
      <c r="H701" s="18" t="str">
        <f>HYPERLINK("https://www.youtube.com/watch?v=STG16DXASRA&amp;list=PLbVGARhZL4D0tnIYt_TR-n6Bb8-Hut-ZI&amp;index=5&amp;t=0s",'Players&gt;List'!$B8)</f>
        <v>[ABA]</v>
      </c>
      <c r="I701" s="18" t="str">
        <f>HYPERLINK("https://www.youtube.com/watch?v=qDYZXJuoKTo&amp;list=PLbVGARhZL4D0tnIYt_TR-n6Bb8-Hut-ZI&amp;index=4&amp;t=0s",'Players&gt;List'!$B19)</f>
        <v>[HIT]</v>
      </c>
      <c r="J701" s="18" t="str">
        <f>HYPERLINK("https://www.youtube.com/watch?v=W-CaWBej8Gk&amp;list=PLbVGARhZL4D0tnIYt_TR-n6Bb8-Hut-ZI&amp;index=3&amp;t=0s",'Players&gt;List'!$B14)</f>
        <v>[ESP]</v>
      </c>
      <c r="K701" s="18" t="str">
        <f>HYPERLINK("https://www.youtube.com/watch?v=MZMVOLOF2B8&amp;list=PLbVGARhZL4D0tnIYt_TR-n6Bb8-Hut-ZI&amp;index=6&amp;t=0s",'Players&gt;List'!$B15)</f>
        <v>[FNY]</v>
      </c>
      <c r="L701" s="18" t="str">
        <f>HYPERLINK("https://www.youtube.com/watch?v=WLZQIJTkSyY",'Players&gt;List'!$B11)</f>
        <v>[CHB]</v>
      </c>
      <c r="M701" s="1"/>
      <c r="N701" s="1"/>
    </row>
    <row r="702">
      <c r="A702" s="1"/>
      <c r="B702" s="14" t="s">
        <v>3538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"/>
    </row>
    <row r="703">
      <c r="A703" s="1"/>
      <c r="B703" s="4" t="s">
        <v>3539</v>
      </c>
      <c r="D703" s="9"/>
      <c r="E703" s="17" t="s">
        <v>14</v>
      </c>
      <c r="F703" s="18" t="str">
        <f>HYPERLINK("https://www.youtube.com/watch?v=_NG0xHjrXHQ",'Players&gt;List'!$B18)</f>
        <v>[HGB]</v>
      </c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25" t="s">
        <v>1861</v>
      </c>
      <c r="E704" s="26" t="s">
        <v>234</v>
      </c>
      <c r="F704" s="18" t="str">
        <f>HYPERLINK("https://www.youtube.com/watch?v=SwwwNRmSAKY",'Players&gt;List'!$B11)</f>
        <v>[CHB]</v>
      </c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25" t="s">
        <v>149</v>
      </c>
      <c r="E705" s="26" t="s">
        <v>147</v>
      </c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25" t="s">
        <v>335</v>
      </c>
      <c r="E706" s="26" t="s">
        <v>147</v>
      </c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4" t="s">
        <v>3547</v>
      </c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4"/>
    </row>
    <row r="708">
      <c r="A708" s="1"/>
      <c r="B708" s="4" t="s">
        <v>3549</v>
      </c>
      <c r="D708" s="9"/>
      <c r="E708" s="17" t="s">
        <v>14</v>
      </c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25" t="s">
        <v>131</v>
      </c>
      <c r="E709" s="26" t="s">
        <v>110</v>
      </c>
      <c r="F709" s="18" t="str">
        <f>HYPERLINK("https://www.youtube.com/watch?v=GrPQMxUNBw8",'Players&gt;List'!$B18)</f>
        <v>[HGB]</v>
      </c>
      <c r="G709" s="18" t="str">
        <f>HYPERLINK("https://www.youtube.com/watch?v=_tgztRaOuhI&amp;t=0s&amp;list=PLbU6uWaIKemqNvTeRxK-Ay6PRg9iwCKVi&amp;index=28",'Players&gt;List'!$B19)</f>
        <v>[HIT]</v>
      </c>
      <c r="H709" s="18" t="str">
        <f>HYPERLINK("https://www.youtube.com/watch?v=Bn19UCoypeE",'Players&gt;List'!$B11)</f>
        <v>[CHB]</v>
      </c>
      <c r="I709" s="1"/>
      <c r="J709" s="1"/>
      <c r="K709" s="1"/>
      <c r="L709" s="1"/>
      <c r="M709" s="1"/>
      <c r="N709" s="1"/>
    </row>
    <row r="710">
      <c r="A710" s="1"/>
      <c r="B710" s="23"/>
      <c r="C710" s="23"/>
      <c r="D710" s="23"/>
      <c r="E710" s="9"/>
      <c r="F710" s="1"/>
      <c r="G710" s="1"/>
      <c r="H710" s="1"/>
      <c r="I710" s="1"/>
      <c r="J710" s="1"/>
      <c r="K710" s="1"/>
      <c r="L710" s="1"/>
      <c r="M710" s="1"/>
      <c r="N710" s="1"/>
    </row>
  </sheetData>
  <mergeCells count="711">
    <mergeCell ref="B457:D457"/>
    <mergeCell ref="B459:C459"/>
    <mergeCell ref="B491:D491"/>
    <mergeCell ref="B480:D480"/>
    <mergeCell ref="B487:D487"/>
    <mergeCell ref="B490:D490"/>
    <mergeCell ref="B489:C489"/>
    <mergeCell ref="B484:D484"/>
    <mergeCell ref="B483:C483"/>
    <mergeCell ref="B481:D481"/>
    <mergeCell ref="B461:D461"/>
    <mergeCell ref="B463:D463"/>
    <mergeCell ref="B471:D471"/>
    <mergeCell ref="B472:D472"/>
    <mergeCell ref="B473:D473"/>
    <mergeCell ref="B476:D476"/>
    <mergeCell ref="B470:D470"/>
    <mergeCell ref="B467:D467"/>
    <mergeCell ref="B464:D464"/>
    <mergeCell ref="B466:C466"/>
    <mergeCell ref="B453:D453"/>
    <mergeCell ref="B455:C455"/>
    <mergeCell ref="B443:C443"/>
    <mergeCell ref="B444:D444"/>
    <mergeCell ref="B447:C447"/>
    <mergeCell ref="B445:D445"/>
    <mergeCell ref="B431:C431"/>
    <mergeCell ref="B423:D423"/>
    <mergeCell ref="B372:D372"/>
    <mergeCell ref="B374:C374"/>
    <mergeCell ref="B417:C417"/>
    <mergeCell ref="B407:D407"/>
    <mergeCell ref="B430:M430"/>
    <mergeCell ref="B424:M424"/>
    <mergeCell ref="B380:M380"/>
    <mergeCell ref="B373:M373"/>
    <mergeCell ref="B388:M388"/>
    <mergeCell ref="B456:D456"/>
    <mergeCell ref="B432:D432"/>
    <mergeCell ref="B352:D352"/>
    <mergeCell ref="B351:D351"/>
    <mergeCell ref="B495:C495"/>
    <mergeCell ref="B492:D492"/>
    <mergeCell ref="B469:C469"/>
    <mergeCell ref="B479:D479"/>
    <mergeCell ref="B409:D409"/>
    <mergeCell ref="B376:D376"/>
    <mergeCell ref="B377:D377"/>
    <mergeCell ref="B378:D378"/>
    <mergeCell ref="B379:D379"/>
    <mergeCell ref="B415:D415"/>
    <mergeCell ref="B412:D412"/>
    <mergeCell ref="B413:D413"/>
    <mergeCell ref="B414:D414"/>
    <mergeCell ref="B355:D355"/>
    <mergeCell ref="B365:D365"/>
    <mergeCell ref="B364:D364"/>
    <mergeCell ref="B356:D356"/>
    <mergeCell ref="B357:D357"/>
    <mergeCell ref="B358:D358"/>
    <mergeCell ref="B363:D363"/>
    <mergeCell ref="B359:D359"/>
    <mergeCell ref="B382:D382"/>
    <mergeCell ref="B381:C381"/>
    <mergeCell ref="B366:D366"/>
    <mergeCell ref="B367:D367"/>
    <mergeCell ref="B478:D478"/>
    <mergeCell ref="B477:D477"/>
    <mergeCell ref="B342:D342"/>
    <mergeCell ref="B344:C344"/>
    <mergeCell ref="B341:D341"/>
    <mergeCell ref="B347:M347"/>
    <mergeCell ref="B339:D339"/>
    <mergeCell ref="B340:D340"/>
    <mergeCell ref="B350:D350"/>
    <mergeCell ref="B349:D349"/>
    <mergeCell ref="B343:M343"/>
    <mergeCell ref="B299:D299"/>
    <mergeCell ref="B296:D296"/>
    <mergeCell ref="B295:C295"/>
    <mergeCell ref="B307:D307"/>
    <mergeCell ref="B311:D311"/>
    <mergeCell ref="B309:C309"/>
    <mergeCell ref="B304:D304"/>
    <mergeCell ref="B306:D306"/>
    <mergeCell ref="B305:D305"/>
    <mergeCell ref="B312:D312"/>
    <mergeCell ref="B310:D310"/>
    <mergeCell ref="B292:D292"/>
    <mergeCell ref="B293:D293"/>
    <mergeCell ref="B283:C283"/>
    <mergeCell ref="B284:D284"/>
    <mergeCell ref="B285:D285"/>
    <mergeCell ref="B281:D281"/>
    <mergeCell ref="B287:C287"/>
    <mergeCell ref="B291:D291"/>
    <mergeCell ref="B290:D290"/>
    <mergeCell ref="B273:D273"/>
    <mergeCell ref="B274:D274"/>
    <mergeCell ref="B251:D251"/>
    <mergeCell ref="B250:D250"/>
    <mergeCell ref="B264:C264"/>
    <mergeCell ref="B272:C272"/>
    <mergeCell ref="B275:D275"/>
    <mergeCell ref="B262:D262"/>
    <mergeCell ref="B261:D261"/>
    <mergeCell ref="B258:C258"/>
    <mergeCell ref="B333:D333"/>
    <mergeCell ref="B332:D332"/>
    <mergeCell ref="B330:M330"/>
    <mergeCell ref="B322:M322"/>
    <mergeCell ref="B324:D324"/>
    <mergeCell ref="B323:C323"/>
    <mergeCell ref="B449:D449"/>
    <mergeCell ref="B448:D448"/>
    <mergeCell ref="B458:M458"/>
    <mergeCell ref="B454:M454"/>
    <mergeCell ref="B535:D535"/>
    <mergeCell ref="B534:D534"/>
    <mergeCell ref="B533:D533"/>
    <mergeCell ref="B493:D493"/>
    <mergeCell ref="B354:C354"/>
    <mergeCell ref="B361:C361"/>
    <mergeCell ref="B369:C369"/>
    <mergeCell ref="B368:M368"/>
    <mergeCell ref="B360:M360"/>
    <mergeCell ref="B353:M353"/>
    <mergeCell ref="B336:C336"/>
    <mergeCell ref="B335:M335"/>
    <mergeCell ref="B338:D338"/>
    <mergeCell ref="B337:D337"/>
    <mergeCell ref="B319:D319"/>
    <mergeCell ref="B318:D318"/>
    <mergeCell ref="B317:C317"/>
    <mergeCell ref="B320:D320"/>
    <mergeCell ref="B314:D314"/>
    <mergeCell ref="B315:D315"/>
    <mergeCell ref="B308:M308"/>
    <mergeCell ref="B316:M316"/>
    <mergeCell ref="B277:D277"/>
    <mergeCell ref="B279:M279"/>
    <mergeCell ref="B286:M286"/>
    <mergeCell ref="B282:M282"/>
    <mergeCell ref="B294:M294"/>
    <mergeCell ref="B257:M257"/>
    <mergeCell ref="B263:M263"/>
    <mergeCell ref="B300:M300"/>
    <mergeCell ref="B401:D401"/>
    <mergeCell ref="B408:D408"/>
    <mergeCell ref="B403:D403"/>
    <mergeCell ref="B402:D402"/>
    <mergeCell ref="B406:C406"/>
    <mergeCell ref="B384:D384"/>
    <mergeCell ref="B383:D383"/>
    <mergeCell ref="B574:D574"/>
    <mergeCell ref="B567:D567"/>
    <mergeCell ref="B387:D387"/>
    <mergeCell ref="B386:D386"/>
    <mergeCell ref="B398:D398"/>
    <mergeCell ref="B400:C400"/>
    <mergeCell ref="B385:D385"/>
    <mergeCell ref="B389:C389"/>
    <mergeCell ref="B390:D390"/>
    <mergeCell ref="B397:D397"/>
    <mergeCell ref="B391:D391"/>
    <mergeCell ref="B426:D426"/>
    <mergeCell ref="B425:C425"/>
    <mergeCell ref="B427:D427"/>
    <mergeCell ref="B428:D428"/>
    <mergeCell ref="B434:D434"/>
    <mergeCell ref="B433:D433"/>
    <mergeCell ref="B543:D543"/>
    <mergeCell ref="B501:D501"/>
    <mergeCell ref="B437:C437"/>
    <mergeCell ref="B441:D441"/>
    <mergeCell ref="B440:D440"/>
    <mergeCell ref="B435:D435"/>
    <mergeCell ref="B545:D545"/>
    <mergeCell ref="B438:D438"/>
    <mergeCell ref="B577:C577"/>
    <mergeCell ref="B626:D626"/>
    <mergeCell ref="B622:C622"/>
    <mergeCell ref="B608:C608"/>
    <mergeCell ref="B604:D604"/>
    <mergeCell ref="B612:D612"/>
    <mergeCell ref="B609:D609"/>
    <mergeCell ref="B610:D610"/>
    <mergeCell ref="B611:D611"/>
    <mergeCell ref="B602:C602"/>
    <mergeCell ref="B586:D586"/>
    <mergeCell ref="B585:C585"/>
    <mergeCell ref="B592:D592"/>
    <mergeCell ref="B591:D591"/>
    <mergeCell ref="B595:D595"/>
    <mergeCell ref="B594:C594"/>
    <mergeCell ref="B588:D588"/>
    <mergeCell ref="B582:D582"/>
    <mergeCell ref="B583:D583"/>
    <mergeCell ref="B597:D597"/>
    <mergeCell ref="B598:D598"/>
    <mergeCell ref="B578:D578"/>
    <mergeCell ref="B579:D579"/>
    <mergeCell ref="B580:D580"/>
    <mergeCell ref="B581:D581"/>
    <mergeCell ref="B607:M607"/>
    <mergeCell ref="B631:M631"/>
    <mergeCell ref="B630:D630"/>
    <mergeCell ref="B627:D627"/>
    <mergeCell ref="B625:C625"/>
    <mergeCell ref="B632:C632"/>
    <mergeCell ref="B633:D633"/>
    <mergeCell ref="B636:C636"/>
    <mergeCell ref="B646:M646"/>
    <mergeCell ref="B643:M643"/>
    <mergeCell ref="B640:D640"/>
    <mergeCell ref="B639:D639"/>
    <mergeCell ref="B641:D641"/>
    <mergeCell ref="B642:D642"/>
    <mergeCell ref="B584:M584"/>
    <mergeCell ref="B593:M593"/>
    <mergeCell ref="B557:M557"/>
    <mergeCell ref="B549:M549"/>
    <mergeCell ref="B568:M568"/>
    <mergeCell ref="B606:D606"/>
    <mergeCell ref="B576:M576"/>
    <mergeCell ref="B541:M541"/>
    <mergeCell ref="B521:M521"/>
    <mergeCell ref="B524:D524"/>
    <mergeCell ref="B536:M536"/>
    <mergeCell ref="B685:C685"/>
    <mergeCell ref="B682:C682"/>
    <mergeCell ref="B565:M565"/>
    <mergeCell ref="B564:D564"/>
    <mergeCell ref="B617:D617"/>
    <mergeCell ref="B616:D616"/>
    <mergeCell ref="B613:M613"/>
    <mergeCell ref="B621:M621"/>
    <mergeCell ref="B614:C614"/>
    <mergeCell ref="B615:D615"/>
    <mergeCell ref="B618:D618"/>
    <mergeCell ref="B619:D619"/>
    <mergeCell ref="B620:D620"/>
    <mergeCell ref="B527:D527"/>
    <mergeCell ref="B526:C526"/>
    <mergeCell ref="B523:D523"/>
    <mergeCell ref="B522:C522"/>
    <mergeCell ref="B635:M635"/>
    <mergeCell ref="B634:D634"/>
    <mergeCell ref="B649:M649"/>
    <mergeCell ref="B655:M655"/>
    <mergeCell ref="B500:D500"/>
    <mergeCell ref="B499:C499"/>
    <mergeCell ref="B475:C475"/>
    <mergeCell ref="B486:D486"/>
    <mergeCell ref="B496:D496"/>
    <mergeCell ref="B485:D485"/>
    <mergeCell ref="B504:D504"/>
    <mergeCell ref="B503:C503"/>
    <mergeCell ref="B497:D497"/>
    <mergeCell ref="B393:D393"/>
    <mergeCell ref="B394:D394"/>
    <mergeCell ref="B396:C396"/>
    <mergeCell ref="B429:D429"/>
    <mergeCell ref="B421:D421"/>
    <mergeCell ref="B422:D422"/>
    <mergeCell ref="B420:D420"/>
    <mergeCell ref="B418:D418"/>
    <mergeCell ref="B419:D419"/>
    <mergeCell ref="B404:D404"/>
    <mergeCell ref="B462:D462"/>
    <mergeCell ref="B460:D460"/>
    <mergeCell ref="B452:D452"/>
    <mergeCell ref="B450:D450"/>
    <mergeCell ref="B623:D623"/>
    <mergeCell ref="B605:D605"/>
    <mergeCell ref="B599:D599"/>
    <mergeCell ref="B603:D603"/>
    <mergeCell ref="B596:D596"/>
    <mergeCell ref="B587:D587"/>
    <mergeCell ref="B590:C590"/>
    <mergeCell ref="B600:D600"/>
    <mergeCell ref="B505:D505"/>
    <mergeCell ref="B507:D507"/>
    <mergeCell ref="B506:D506"/>
    <mergeCell ref="B514:C514"/>
    <mergeCell ref="B537:C537"/>
    <mergeCell ref="B538:D538"/>
    <mergeCell ref="B539:D539"/>
    <mergeCell ref="B540:D540"/>
    <mergeCell ref="B517:D517"/>
    <mergeCell ref="B515:D515"/>
    <mergeCell ref="B516:D516"/>
    <mergeCell ref="B511:D511"/>
    <mergeCell ref="B509:C509"/>
    <mergeCell ref="B510:D510"/>
    <mergeCell ref="B512:D512"/>
    <mergeCell ref="B544:D544"/>
    <mergeCell ref="B553:D553"/>
    <mergeCell ref="B573:D573"/>
    <mergeCell ref="B575:D575"/>
    <mergeCell ref="B571:D571"/>
    <mergeCell ref="B570:D570"/>
    <mergeCell ref="B572:D572"/>
    <mergeCell ref="B542:C542"/>
    <mergeCell ref="B554:D554"/>
    <mergeCell ref="B566:C566"/>
    <mergeCell ref="B563:D563"/>
    <mergeCell ref="B552:D552"/>
    <mergeCell ref="B548:D548"/>
    <mergeCell ref="B551:D551"/>
    <mergeCell ref="B550:C550"/>
    <mergeCell ref="B546:D546"/>
    <mergeCell ref="B547:D547"/>
    <mergeCell ref="B555:D555"/>
    <mergeCell ref="B556:D556"/>
    <mergeCell ref="B559:D559"/>
    <mergeCell ref="B558:C558"/>
    <mergeCell ref="B569:C569"/>
    <mergeCell ref="B562:D562"/>
    <mergeCell ref="B561:D561"/>
    <mergeCell ref="B560:D560"/>
    <mergeCell ref="B519:D519"/>
    <mergeCell ref="B518:D518"/>
    <mergeCell ref="B529:D529"/>
    <mergeCell ref="B520:D520"/>
    <mergeCell ref="B528:D528"/>
    <mergeCell ref="B525:M525"/>
    <mergeCell ref="B530:M530"/>
    <mergeCell ref="B532:D532"/>
    <mergeCell ref="B531:C531"/>
    <mergeCell ref="B683:D683"/>
    <mergeCell ref="B680:D680"/>
    <mergeCell ref="B686:D686"/>
    <mergeCell ref="B684:M684"/>
    <mergeCell ref="B679:D679"/>
    <mergeCell ref="B678:C678"/>
    <mergeCell ref="B677:M677"/>
    <mergeCell ref="B673:C673"/>
    <mergeCell ref="B670:D670"/>
    <mergeCell ref="B671:D671"/>
    <mergeCell ref="B675:D675"/>
    <mergeCell ref="B674:D674"/>
    <mergeCell ref="B681:M681"/>
    <mergeCell ref="B676:D676"/>
    <mergeCell ref="B664:C664"/>
    <mergeCell ref="B660:D660"/>
    <mergeCell ref="B661:D661"/>
    <mergeCell ref="B672:M672"/>
    <mergeCell ref="B663:M663"/>
    <mergeCell ref="B668:M668"/>
    <mergeCell ref="B667:D667"/>
    <mergeCell ref="B669:C669"/>
    <mergeCell ref="B666:D666"/>
    <mergeCell ref="B665:D665"/>
    <mergeCell ref="B271:M271"/>
    <mergeCell ref="B268:M268"/>
    <mergeCell ref="B266:D266"/>
    <mergeCell ref="B265:D265"/>
    <mergeCell ref="B267:D267"/>
    <mergeCell ref="B269:C269"/>
    <mergeCell ref="B270:D270"/>
    <mergeCell ref="B302:D302"/>
    <mergeCell ref="B303:D303"/>
    <mergeCell ref="B298:D298"/>
    <mergeCell ref="B297:D297"/>
    <mergeCell ref="B247:M247"/>
    <mergeCell ref="B243:M243"/>
    <mergeCell ref="B255:D255"/>
    <mergeCell ref="B253:M253"/>
    <mergeCell ref="B252:D252"/>
    <mergeCell ref="B248:C248"/>
    <mergeCell ref="B256:D256"/>
    <mergeCell ref="B301:C301"/>
    <mergeCell ref="B280:C280"/>
    <mergeCell ref="B289:D289"/>
    <mergeCell ref="B288:D288"/>
    <mergeCell ref="B260:D260"/>
    <mergeCell ref="B259:D259"/>
    <mergeCell ref="B276:D276"/>
    <mergeCell ref="B278:D278"/>
    <mergeCell ref="B249:D249"/>
    <mergeCell ref="B254:C254"/>
    <mergeCell ref="B244:C244"/>
    <mergeCell ref="B245:D245"/>
    <mergeCell ref="B246:D246"/>
    <mergeCell ref="B242:D242"/>
    <mergeCell ref="B241:D241"/>
    <mergeCell ref="B695:D695"/>
    <mergeCell ref="B694:C694"/>
    <mergeCell ref="B700:D700"/>
    <mergeCell ref="B701:D701"/>
    <mergeCell ref="B697:D697"/>
    <mergeCell ref="B698:M698"/>
    <mergeCell ref="B696:D696"/>
    <mergeCell ref="B692:D692"/>
    <mergeCell ref="B693:M693"/>
    <mergeCell ref="B703:C703"/>
    <mergeCell ref="B705:D705"/>
    <mergeCell ref="B704:D704"/>
    <mergeCell ref="B699:C699"/>
    <mergeCell ref="B702:M702"/>
    <mergeCell ref="B708:C708"/>
    <mergeCell ref="B709:D709"/>
    <mergeCell ref="B690:M690"/>
    <mergeCell ref="B691:C691"/>
    <mergeCell ref="B687:D687"/>
    <mergeCell ref="B707:M707"/>
    <mergeCell ref="B706:D706"/>
    <mergeCell ref="B657:D657"/>
    <mergeCell ref="B656:C656"/>
    <mergeCell ref="B651:D651"/>
    <mergeCell ref="B650:C650"/>
    <mergeCell ref="B688:D688"/>
    <mergeCell ref="B689:D689"/>
    <mergeCell ref="B662:D662"/>
    <mergeCell ref="B659:D659"/>
    <mergeCell ref="B658:D658"/>
    <mergeCell ref="B652:D652"/>
    <mergeCell ref="B653:D653"/>
    <mergeCell ref="B654:D654"/>
    <mergeCell ref="B410:M410"/>
    <mergeCell ref="B405:M405"/>
    <mergeCell ref="B371:D371"/>
    <mergeCell ref="B370:D370"/>
    <mergeCell ref="B346:D346"/>
    <mergeCell ref="B345:D345"/>
    <mergeCell ref="B416:M416"/>
    <mergeCell ref="B411:C411"/>
    <mergeCell ref="B439:D439"/>
    <mergeCell ref="B436:M436"/>
    <mergeCell ref="B399:M399"/>
    <mergeCell ref="B645:D645"/>
    <mergeCell ref="B647:C647"/>
    <mergeCell ref="B648:D648"/>
    <mergeCell ref="B629:D629"/>
    <mergeCell ref="B628:D628"/>
    <mergeCell ref="B513:M513"/>
    <mergeCell ref="B589:M589"/>
    <mergeCell ref="B601:M601"/>
    <mergeCell ref="B624:M624"/>
    <mergeCell ref="B637:D637"/>
    <mergeCell ref="B638:D638"/>
    <mergeCell ref="B644:C644"/>
    <mergeCell ref="B327:D327"/>
    <mergeCell ref="B325:D325"/>
    <mergeCell ref="B326:D326"/>
    <mergeCell ref="B313:D313"/>
    <mergeCell ref="B328:D328"/>
    <mergeCell ref="B329:D329"/>
    <mergeCell ref="B334:D334"/>
    <mergeCell ref="B331:C331"/>
    <mergeCell ref="B348:C348"/>
    <mergeCell ref="B321:D321"/>
    <mergeCell ref="B392:D392"/>
    <mergeCell ref="B395:M395"/>
    <mergeCell ref="B474:M474"/>
    <mergeCell ref="B465:M465"/>
    <mergeCell ref="B468:M468"/>
    <mergeCell ref="B498:M498"/>
    <mergeCell ref="B494:M494"/>
    <mergeCell ref="B362:D362"/>
    <mergeCell ref="B375:D375"/>
    <mergeCell ref="B442:M442"/>
    <mergeCell ref="B446:M446"/>
    <mergeCell ref="B488:M488"/>
    <mergeCell ref="B482:M482"/>
    <mergeCell ref="B508:M508"/>
    <mergeCell ref="B451:D451"/>
    <mergeCell ref="B502:M502"/>
    <mergeCell ref="B16:D16"/>
    <mergeCell ref="B18:D18"/>
    <mergeCell ref="B28:D28"/>
    <mergeCell ref="B13:C13"/>
    <mergeCell ref="B9:D9"/>
    <mergeCell ref="B8:D8"/>
    <mergeCell ref="B21:C21"/>
    <mergeCell ref="B7:C7"/>
    <mergeCell ref="B19:D19"/>
    <mergeCell ref="B23:D23"/>
    <mergeCell ref="B1:M3"/>
    <mergeCell ref="L4:M4"/>
    <mergeCell ref="B6:M6"/>
    <mergeCell ref="J4:K4"/>
    <mergeCell ref="H4:I4"/>
    <mergeCell ref="D4:E4"/>
    <mergeCell ref="F4:G4"/>
    <mergeCell ref="B4:C4"/>
    <mergeCell ref="B10:D10"/>
    <mergeCell ref="B11:D11"/>
    <mergeCell ref="B97:D97"/>
    <mergeCell ref="B98:D98"/>
    <mergeCell ref="B91:D91"/>
    <mergeCell ref="B86:C86"/>
    <mergeCell ref="B49:D49"/>
    <mergeCell ref="B50:D50"/>
    <mergeCell ref="B71:D71"/>
    <mergeCell ref="B41:D41"/>
    <mergeCell ref="B40:D40"/>
    <mergeCell ref="B26:D26"/>
    <mergeCell ref="B25:C25"/>
    <mergeCell ref="B30:C30"/>
    <mergeCell ref="B31:D31"/>
    <mergeCell ref="B32:D32"/>
    <mergeCell ref="B34:D34"/>
    <mergeCell ref="B33:D33"/>
    <mergeCell ref="B84:D84"/>
    <mergeCell ref="B69:D69"/>
    <mergeCell ref="B36:C36"/>
    <mergeCell ref="B35:M35"/>
    <mergeCell ref="B101:M101"/>
    <mergeCell ref="B85:M85"/>
    <mergeCell ref="B100:D100"/>
    <mergeCell ref="B88:D88"/>
    <mergeCell ref="B87:D87"/>
    <mergeCell ref="B55:D55"/>
    <mergeCell ref="B57:D57"/>
    <mergeCell ref="B95:D95"/>
    <mergeCell ref="B96:D96"/>
    <mergeCell ref="B65:D65"/>
    <mergeCell ref="B60:D60"/>
    <mergeCell ref="B62:D62"/>
    <mergeCell ref="B64:D64"/>
    <mergeCell ref="B63:D63"/>
    <mergeCell ref="B61:D61"/>
    <mergeCell ref="B73:C73"/>
    <mergeCell ref="B74:D74"/>
    <mergeCell ref="B80:D80"/>
    <mergeCell ref="B83:D83"/>
    <mergeCell ref="B59:C59"/>
    <mergeCell ref="B68:D68"/>
    <mergeCell ref="B67:C67"/>
    <mergeCell ref="B72:M72"/>
    <mergeCell ref="B70:D70"/>
    <mergeCell ref="B129:D129"/>
    <mergeCell ref="B119:D119"/>
    <mergeCell ref="B162:D162"/>
    <mergeCell ref="B161:D161"/>
    <mergeCell ref="B75:D75"/>
    <mergeCell ref="B77:D77"/>
    <mergeCell ref="B76:D76"/>
    <mergeCell ref="B94:C94"/>
    <mergeCell ref="B106:D106"/>
    <mergeCell ref="B183:D183"/>
    <mergeCell ref="B182:D182"/>
    <mergeCell ref="B187:C187"/>
    <mergeCell ref="B189:D189"/>
    <mergeCell ref="B188:D188"/>
    <mergeCell ref="B185:D185"/>
    <mergeCell ref="B184:D184"/>
    <mergeCell ref="B180:D180"/>
    <mergeCell ref="B179:C179"/>
    <mergeCell ref="B191:C191"/>
    <mergeCell ref="B175:D175"/>
    <mergeCell ref="B174:D174"/>
    <mergeCell ref="B176:D176"/>
    <mergeCell ref="B181:D181"/>
    <mergeCell ref="B203:C203"/>
    <mergeCell ref="B204:D204"/>
    <mergeCell ref="B208:D208"/>
    <mergeCell ref="B207:C207"/>
    <mergeCell ref="B199:C199"/>
    <mergeCell ref="B200:D200"/>
    <mergeCell ref="B197:D197"/>
    <mergeCell ref="B196:D196"/>
    <mergeCell ref="B205:D205"/>
    <mergeCell ref="B201:D201"/>
    <mergeCell ref="B230:D230"/>
    <mergeCell ref="B228:D228"/>
    <mergeCell ref="B229:D229"/>
    <mergeCell ref="B227:D227"/>
    <mergeCell ref="B226:C226"/>
    <mergeCell ref="B240:D240"/>
    <mergeCell ref="B224:D224"/>
    <mergeCell ref="B234:C234"/>
    <mergeCell ref="B235:D235"/>
    <mergeCell ref="B231:D231"/>
    <mergeCell ref="B232:D232"/>
    <mergeCell ref="B239:D239"/>
    <mergeCell ref="B237:C237"/>
    <mergeCell ref="B238:D238"/>
    <mergeCell ref="B105:C105"/>
    <mergeCell ref="B102:C102"/>
    <mergeCell ref="B38:D38"/>
    <mergeCell ref="B39:D39"/>
    <mergeCell ref="B192:D192"/>
    <mergeCell ref="B193:D193"/>
    <mergeCell ref="B194:D194"/>
    <mergeCell ref="B195:D195"/>
    <mergeCell ref="B211:C211"/>
    <mergeCell ref="B212:D212"/>
    <mergeCell ref="B209:D209"/>
    <mergeCell ref="B214:D214"/>
    <mergeCell ref="B215:D215"/>
    <mergeCell ref="B216:D216"/>
    <mergeCell ref="B213:D213"/>
    <mergeCell ref="B221:D221"/>
    <mergeCell ref="B220:D220"/>
    <mergeCell ref="B218:C218"/>
    <mergeCell ref="B223:D223"/>
    <mergeCell ref="B222:D222"/>
    <mergeCell ref="B90:D90"/>
    <mergeCell ref="B92:D92"/>
    <mergeCell ref="B79:C79"/>
    <mergeCell ref="B82:C82"/>
    <mergeCell ref="B104:M104"/>
    <mergeCell ref="B78:M78"/>
    <mergeCell ref="B81:M81"/>
    <mergeCell ref="B103:D103"/>
    <mergeCell ref="B89:D89"/>
    <mergeCell ref="B99:D99"/>
    <mergeCell ref="B93:M93"/>
    <mergeCell ref="B145:C145"/>
    <mergeCell ref="B146:D146"/>
    <mergeCell ref="B125:M125"/>
    <mergeCell ref="B122:D122"/>
    <mergeCell ref="B124:D124"/>
    <mergeCell ref="B123:D123"/>
    <mergeCell ref="B121:D121"/>
    <mergeCell ref="B127:D127"/>
    <mergeCell ref="B126:C126"/>
    <mergeCell ref="B107:D107"/>
    <mergeCell ref="B108:D108"/>
    <mergeCell ref="B128:D128"/>
    <mergeCell ref="B130:D130"/>
    <mergeCell ref="B109:M109"/>
    <mergeCell ref="B112:D112"/>
    <mergeCell ref="B111:D111"/>
    <mergeCell ref="B110:C110"/>
    <mergeCell ref="B120:D120"/>
    <mergeCell ref="B118:C118"/>
    <mergeCell ref="B114:D114"/>
    <mergeCell ref="B113:D113"/>
    <mergeCell ref="B115:D115"/>
    <mergeCell ref="B116:D116"/>
    <mergeCell ref="B51:M51"/>
    <mergeCell ref="B58:M58"/>
    <mergeCell ref="B52:C52"/>
    <mergeCell ref="B54:D54"/>
    <mergeCell ref="B53:D53"/>
    <mergeCell ref="B56:D56"/>
    <mergeCell ref="B44:C44"/>
    <mergeCell ref="B42:D42"/>
    <mergeCell ref="B37:D37"/>
    <mergeCell ref="B66:M66"/>
    <mergeCell ref="B43:M43"/>
    <mergeCell ref="B45:D45"/>
    <mergeCell ref="B46:D46"/>
    <mergeCell ref="B48:D48"/>
    <mergeCell ref="B47:D47"/>
    <mergeCell ref="B15:D15"/>
    <mergeCell ref="B17:D17"/>
    <mergeCell ref="B29:M29"/>
    <mergeCell ref="B24:M24"/>
    <mergeCell ref="B27:D27"/>
    <mergeCell ref="B22:D22"/>
    <mergeCell ref="B12:M12"/>
    <mergeCell ref="B20:M20"/>
    <mergeCell ref="B14:D14"/>
    <mergeCell ref="B136:M136"/>
    <mergeCell ref="B144:M144"/>
    <mergeCell ref="B138:D138"/>
    <mergeCell ref="B137:C137"/>
    <mergeCell ref="B139:D139"/>
    <mergeCell ref="B142:D142"/>
    <mergeCell ref="B143:D143"/>
    <mergeCell ref="B186:M186"/>
    <mergeCell ref="B198:M198"/>
    <mergeCell ref="B190:M190"/>
    <mergeCell ref="B219:D219"/>
    <mergeCell ref="B206:M206"/>
    <mergeCell ref="B210:M210"/>
    <mergeCell ref="B225:M225"/>
    <mergeCell ref="B217:M217"/>
    <mergeCell ref="B236:M236"/>
    <mergeCell ref="B233:M233"/>
    <mergeCell ref="B131:M131"/>
    <mergeCell ref="B117:M117"/>
    <mergeCell ref="B132:C132"/>
    <mergeCell ref="B150:M150"/>
    <mergeCell ref="B164:M164"/>
    <mergeCell ref="B178:M178"/>
    <mergeCell ref="B202:M202"/>
    <mergeCell ref="B147:D147"/>
    <mergeCell ref="B149:D149"/>
    <mergeCell ref="B148:D148"/>
    <mergeCell ref="B158:D158"/>
    <mergeCell ref="B157:C157"/>
    <mergeCell ref="B159:D159"/>
    <mergeCell ref="B160:D160"/>
    <mergeCell ref="B151:C151"/>
    <mergeCell ref="B156:M156"/>
    <mergeCell ref="B152:D152"/>
    <mergeCell ref="B155:D155"/>
    <mergeCell ref="B153:D153"/>
    <mergeCell ref="B154:D154"/>
    <mergeCell ref="B133:D133"/>
    <mergeCell ref="B135:D135"/>
    <mergeCell ref="B134:D134"/>
    <mergeCell ref="B141:D141"/>
    <mergeCell ref="B140:D140"/>
    <mergeCell ref="B170:M170"/>
    <mergeCell ref="B171:C171"/>
    <mergeCell ref="B167:D167"/>
    <mergeCell ref="B168:D168"/>
    <mergeCell ref="B163:D163"/>
    <mergeCell ref="B177:D177"/>
    <mergeCell ref="B166:D166"/>
    <mergeCell ref="B165:C165"/>
    <mergeCell ref="B169:D169"/>
    <mergeCell ref="B172:D172"/>
    <mergeCell ref="B173:D173"/>
  </mergeCells>
  <hyperlinks>
    <hyperlink display="N++&gt;Solo&gt;Levels" location="Main Menu!A1" ref="B1"/>
    <hyperlink display="Intro" location="Solo&gt;Levels&gt;Intro!A1" ref="B4"/>
    <hyperlink display="N++" location="Solo&gt;Levels&gt;N++!A1" ref="D4"/>
    <hyperlink display="Ultimate" location="Solo&gt;Levels&gt;Ultimate!A1" ref="F4"/>
    <hyperlink display="Legacy" location="Solo&gt;Levels&gt;Legacy!A1" ref="H4"/>
    <hyperlink display="!" location="Solo&gt;Levels&gt;!!A1" ref="L4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1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7" t="s">
        <v>3</v>
      </c>
      <c r="E4" s="6"/>
      <c r="F4" s="8" t="s">
        <v>4</v>
      </c>
      <c r="G4" s="6"/>
      <c r="H4" s="7" t="s">
        <v>5</v>
      </c>
      <c r="I4" s="6"/>
      <c r="J4" s="8" t="s">
        <v>6</v>
      </c>
      <c r="K4" s="6"/>
      <c r="L4" s="31" t="s">
        <v>7</v>
      </c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3600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3602</v>
      </c>
      <c r="D7" s="9"/>
      <c r="E7" s="17" t="s">
        <v>14</v>
      </c>
      <c r="F7" s="18" t="str">
        <f>HYPERLINK("https://www.youtube.com/watch?v=rbRX4Qb6WRI",'Players&gt;List'!$B11)</f>
        <v>[CHB]</v>
      </c>
      <c r="G7" s="1"/>
      <c r="H7" s="1"/>
      <c r="I7" s="1"/>
      <c r="J7" s="1"/>
      <c r="K7" s="1"/>
      <c r="L7" s="1"/>
      <c r="M7" s="1"/>
      <c r="N7" s="1"/>
    </row>
    <row r="8">
      <c r="A8" s="1"/>
      <c r="B8" s="25" t="s">
        <v>117</v>
      </c>
      <c r="E8" s="26" t="s">
        <v>110</v>
      </c>
      <c r="F8" s="18" t="str">
        <f>HYPERLINK("https://www.youtube.com/watch?v=HKMGtUxAr-s",'Players&gt;List'!$B11)</f>
        <v>[CHB]</v>
      </c>
      <c r="G8" s="1"/>
      <c r="H8" s="1"/>
      <c r="I8" s="1"/>
      <c r="J8" s="1"/>
      <c r="K8" s="1"/>
      <c r="L8" s="1"/>
      <c r="M8" s="1"/>
      <c r="N8" s="1"/>
    </row>
    <row r="9">
      <c r="A9" s="1"/>
      <c r="B9" s="14" t="s">
        <v>3606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4"/>
    </row>
    <row r="10">
      <c r="A10" s="1"/>
      <c r="B10" s="4" t="s">
        <v>3609</v>
      </c>
      <c r="D10" s="9"/>
      <c r="E10" s="17" t="s">
        <v>14</v>
      </c>
      <c r="F10" s="18" t="str">
        <f>HYPERLINK("https://www.youtube.com/watch?v=KFHu-LuAPaw",'Players&gt;List'!$B11)</f>
        <v>[CHB]</v>
      </c>
      <c r="G10" s="1"/>
      <c r="H10" s="1"/>
      <c r="I10" s="1"/>
      <c r="J10" s="1"/>
      <c r="K10" s="1"/>
      <c r="L10" s="1"/>
      <c r="M10" s="1"/>
      <c r="N10" s="1"/>
    </row>
    <row r="11">
      <c r="A11" s="1"/>
      <c r="B11" s="25" t="s">
        <v>149</v>
      </c>
      <c r="E11" s="26" t="s">
        <v>90</v>
      </c>
      <c r="F11" s="18" t="str">
        <f>HYPERLINK("https://www.youtube.com/watch?v=xzX28Ghi-Ww",'Players&gt;List'!$B19)</f>
        <v>[HIT]</v>
      </c>
      <c r="G11" s="18" t="str">
        <f>HYPERLINK("https://www.youtube.com/watch?v=hHWFK7clCPk",'Players&gt;List'!$B11)</f>
        <v>[CHB]</v>
      </c>
      <c r="H11" s="1"/>
      <c r="I11" s="1"/>
      <c r="J11" s="1"/>
      <c r="K11" s="1"/>
      <c r="L11" s="1"/>
      <c r="M11" s="1"/>
      <c r="N11" s="1"/>
    </row>
    <row r="12">
      <c r="A12" s="1"/>
      <c r="B12" s="14" t="s">
        <v>3614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3615</v>
      </c>
      <c r="D13" s="9"/>
      <c r="E13" s="17" t="s">
        <v>14</v>
      </c>
      <c r="F13" s="18" t="str">
        <f>HYPERLINK("https://www.youtube.com/watch?v=Tp6ZSh1kBsE",'Players&gt;List'!$B19)</f>
        <v>[HIT]</v>
      </c>
      <c r="G13" s="18" t="str">
        <f>HYPERLINK("https://www.youtube.com/watch?v=TRBCBsFr5Nk",'Players&gt;List'!$B11)</f>
        <v>[CHB]</v>
      </c>
      <c r="H13" s="1"/>
      <c r="I13" s="1"/>
      <c r="J13" s="1"/>
      <c r="K13" s="1"/>
      <c r="L13" s="1"/>
      <c r="M13" s="1"/>
      <c r="N13" s="1"/>
    </row>
    <row r="14">
      <c r="A14" s="1"/>
      <c r="B14" s="25" t="s">
        <v>149</v>
      </c>
      <c r="E14" s="26" t="s">
        <v>90</v>
      </c>
      <c r="F14" s="18" t="str">
        <f>HYPERLINK("https://www.youtube.com/watch?v=Tp6ZSh1kBsE",'Players&gt;List'!$B19)</f>
        <v>[HIT]</v>
      </c>
      <c r="G14" s="18" t="str">
        <f>HYPERLINK("https://www.youtube.com/watch?v=TRBCBsFr5Nk",'Players&gt;List'!$B11)</f>
        <v>[CHB]</v>
      </c>
      <c r="H14" s="1"/>
      <c r="I14" s="1"/>
      <c r="J14" s="1"/>
      <c r="K14" s="1"/>
      <c r="L14" s="1"/>
      <c r="M14" s="1"/>
      <c r="N14" s="1"/>
    </row>
    <row r="15">
      <c r="A15" s="1"/>
      <c r="B15" s="14" t="s">
        <v>3619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4"/>
    </row>
    <row r="16">
      <c r="A16" s="1"/>
      <c r="B16" s="4" t="s">
        <v>3620</v>
      </c>
      <c r="D16" s="9"/>
      <c r="E16" s="17" t="s">
        <v>14</v>
      </c>
      <c r="F16" s="18" t="str">
        <f>HYPERLINK("https://www.youtube.com/watch?v=xE6ZqyFRZfM",'Players&gt;List'!$B11)</f>
        <v>[CHB]</v>
      </c>
      <c r="G16" s="1"/>
      <c r="H16" s="1"/>
      <c r="I16" s="1"/>
      <c r="J16" s="1"/>
      <c r="K16" s="1"/>
      <c r="L16" s="1"/>
      <c r="M16" s="1"/>
      <c r="N16" s="1"/>
    </row>
    <row r="17">
      <c r="A17" s="1"/>
      <c r="B17" s="25" t="s">
        <v>117</v>
      </c>
      <c r="E17" s="26" t="s">
        <v>110</v>
      </c>
      <c r="F17" s="18" t="str">
        <f>HYPERLINK("https://www.youtube.com/watch?v=0gU_VVEa878",'Players&gt;List'!$B11)</f>
        <v>[CHB]</v>
      </c>
      <c r="G17" s="1"/>
      <c r="H17" s="1"/>
      <c r="I17" s="1"/>
      <c r="J17" s="1"/>
      <c r="K17" s="1"/>
      <c r="L17" s="1"/>
      <c r="M17" s="1"/>
      <c r="N17" s="1"/>
    </row>
    <row r="18">
      <c r="A18" s="1"/>
      <c r="B18" s="25" t="s">
        <v>88</v>
      </c>
      <c r="E18" s="26" t="s">
        <v>147</v>
      </c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25" t="s">
        <v>649</v>
      </c>
      <c r="E19" s="26" t="s">
        <v>147</v>
      </c>
      <c r="F19" s="18" t="str">
        <f>HYPERLINK("https://www.youtube.com/watch?v=XeS7AUD5XD4",'Players&gt;List'!$B15)</f>
        <v>[FNY]</v>
      </c>
      <c r="G19" s="18" t="str">
        <f>HYPERLINK("https://www.youtube.com/watch?v=xE6ZqyFRZfM",'Players&gt;List'!$B11)</f>
        <v>[CHB]</v>
      </c>
      <c r="H19" s="1"/>
      <c r="I19" s="1"/>
      <c r="J19" s="1"/>
      <c r="K19" s="1"/>
      <c r="L19" s="1"/>
      <c r="M19" s="1"/>
      <c r="N19" s="1"/>
    </row>
    <row r="20">
      <c r="A20" s="1"/>
      <c r="B20" s="14" t="s">
        <v>3626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"/>
    </row>
    <row r="21">
      <c r="A21" s="1"/>
      <c r="B21" s="4" t="s">
        <v>3628</v>
      </c>
      <c r="D21" s="9"/>
      <c r="E21" s="17" t="s">
        <v>14</v>
      </c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25" t="s">
        <v>131</v>
      </c>
      <c r="E22" s="26" t="s">
        <v>110</v>
      </c>
      <c r="F22" s="18" t="str">
        <f>HYPERLINK("https://www.youtube.com/watch?v=Gec1SOpCo8w",'Players&gt;List'!$B11)</f>
        <v>[CHB]</v>
      </c>
      <c r="G22" s="1"/>
      <c r="H22" s="1"/>
      <c r="I22" s="1"/>
      <c r="J22" s="1"/>
      <c r="K22" s="1"/>
      <c r="L22" s="1"/>
      <c r="M22" s="1"/>
      <c r="N22" s="1"/>
    </row>
    <row r="23">
      <c r="A23" s="1"/>
      <c r="B23" s="14" t="s">
        <v>3630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4"/>
    </row>
    <row r="24">
      <c r="A24" s="1"/>
      <c r="B24" s="4" t="s">
        <v>3632</v>
      </c>
      <c r="D24" s="9"/>
      <c r="E24" s="17" t="s">
        <v>14</v>
      </c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25" t="s">
        <v>387</v>
      </c>
      <c r="E25" s="26" t="s">
        <v>110</v>
      </c>
      <c r="F25" s="18" t="str">
        <f>HYPERLINK("https://www.youtube.com/watch?v=yuE2RvzKNUM",'Players&gt;List'!$B11)</f>
        <v>[CHB]</v>
      </c>
      <c r="G25" s="1"/>
      <c r="H25" s="1"/>
      <c r="I25" s="1"/>
      <c r="J25" s="1"/>
      <c r="K25" s="1"/>
      <c r="L25" s="1"/>
      <c r="M25" s="1"/>
      <c r="N25" s="1"/>
    </row>
    <row r="26">
      <c r="A26" s="1"/>
      <c r="B26" s="25" t="s">
        <v>422</v>
      </c>
      <c r="E26" s="26" t="s">
        <v>132</v>
      </c>
      <c r="F26" s="18" t="str">
        <f>HYPERLINK("https://www.youtube.com/watch?v=pySQdXpWUsM",'Players&gt;List'!$B23)</f>
        <v>[MOL]</v>
      </c>
      <c r="G26" s="18" t="str">
        <f>HYPERLINK("https://www.youtube.com/watch?v=4_z5e2qvmWM",'Players&gt;List'!$B11)</f>
        <v>[CHB]</v>
      </c>
      <c r="H26" s="1"/>
      <c r="I26" s="1"/>
      <c r="J26" s="1"/>
      <c r="K26" s="1"/>
      <c r="L26" s="1"/>
      <c r="M26" s="1"/>
      <c r="N26" s="1"/>
    </row>
    <row r="27">
      <c r="A27" s="1"/>
      <c r="B27" s="14" t="s">
        <v>3636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4"/>
    </row>
    <row r="28">
      <c r="A28" s="1"/>
      <c r="B28" s="4" t="s">
        <v>3638</v>
      </c>
      <c r="D28" s="9"/>
      <c r="E28" s="17" t="s">
        <v>14</v>
      </c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25" t="s">
        <v>400</v>
      </c>
      <c r="E29" s="26" t="s">
        <v>234</v>
      </c>
      <c r="F29" s="18" t="str">
        <f>HYPERLINK("https://www.youtube.com/watch?v=9AChxSL_wxg",'Players&gt;List'!$B19)</f>
        <v>[HIT]</v>
      </c>
      <c r="G29" s="18" t="str">
        <f>HYPERLINK("https://www.youtube.com/watch?v=rZUQ1ISZ13s",'Players&gt;List'!$B15)</f>
        <v>[FNY]</v>
      </c>
      <c r="H29" s="18" t="str">
        <f>HYPERLINK("https://www.youtube.com/watch?v=ri3M9VAbQ2U",'Players&gt;List'!$B11)</f>
        <v>[CHB]</v>
      </c>
      <c r="I29" s="1"/>
      <c r="J29" s="1"/>
      <c r="K29" s="1"/>
      <c r="L29" s="1"/>
      <c r="M29" s="1"/>
      <c r="N29" s="1"/>
    </row>
    <row r="30">
      <c r="A30" s="1"/>
      <c r="B30" s="25" t="s">
        <v>488</v>
      </c>
      <c r="E30" s="26" t="s">
        <v>358</v>
      </c>
      <c r="F30" s="18" t="str">
        <f>HYPERLINK("https://www.youtube.com/watch?v=jwgImE2kdFc",'Players&gt;List'!$B11)</f>
        <v>[CHB]</v>
      </c>
      <c r="G30" s="1"/>
      <c r="H30" s="1"/>
      <c r="I30" s="1"/>
      <c r="J30" s="1"/>
      <c r="K30" s="1"/>
      <c r="L30" s="1"/>
      <c r="M30" s="1"/>
      <c r="N30" s="1"/>
    </row>
    <row r="31">
      <c r="A31" s="1"/>
      <c r="B31" s="14" t="s">
        <v>3647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4"/>
    </row>
    <row r="32">
      <c r="A32" s="1"/>
      <c r="B32" s="4" t="s">
        <v>3649</v>
      </c>
      <c r="D32" s="9"/>
      <c r="E32" s="17" t="s">
        <v>14</v>
      </c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25" t="s">
        <v>149</v>
      </c>
      <c r="E33" s="26" t="s">
        <v>90</v>
      </c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25" t="s">
        <v>88</v>
      </c>
      <c r="E34" s="26" t="s">
        <v>147</v>
      </c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25" t="s">
        <v>117</v>
      </c>
      <c r="E35" s="26" t="s">
        <v>132</v>
      </c>
      <c r="F35" s="18" t="str">
        <f>HYPERLINK("https://www.youtube.com/watch?v=0snigJBUKq0",'Players&gt;List'!$B32)</f>
        <v>[XEL]</v>
      </c>
      <c r="G35" s="18" t="str">
        <f>HYPERLINK("https://www.youtube.com/watch?v=KyzI1Ah7vd4",'Players&gt;List'!$B19)</f>
        <v>[HIT]</v>
      </c>
      <c r="H35" s="18" t="str">
        <f>HYPERLINK("https://www.youtube.com/watch?v=0wX1wlKFfrA",'Players&gt;List'!$B15)</f>
        <v>[FNY]</v>
      </c>
      <c r="I35" s="18" t="str">
        <f>HYPERLINK("https://www.youtube.com/watch?v=BXsnlmB768U",'Players&gt;List'!$B8)</f>
        <v>[ABA]</v>
      </c>
      <c r="J35" s="1"/>
      <c r="K35" s="1"/>
      <c r="L35" s="1"/>
      <c r="M35" s="1"/>
      <c r="N35" s="1"/>
    </row>
    <row r="36">
      <c r="A36" s="1"/>
      <c r="B36" s="14" t="s">
        <v>3655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3658</v>
      </c>
      <c r="D37" s="9"/>
      <c r="E37" s="17" t="s">
        <v>14</v>
      </c>
      <c r="F37" s="18" t="str">
        <f>HYPERLINK("https://www.youtube.com/watch?v=ndA-YFdGfZk",'Players&gt;List'!$B11)</f>
        <v>[CHB]</v>
      </c>
      <c r="G37" s="1"/>
      <c r="H37" s="1"/>
      <c r="I37" s="1"/>
      <c r="J37" s="1"/>
      <c r="K37" s="1"/>
      <c r="L37" s="1"/>
      <c r="M37" s="1"/>
      <c r="N37" s="1"/>
    </row>
    <row r="38">
      <c r="A38" s="1"/>
      <c r="B38" s="25" t="s">
        <v>2241</v>
      </c>
      <c r="E38" s="26" t="s">
        <v>110</v>
      </c>
      <c r="F38" s="18" t="str">
        <f>HYPERLINK("https://www.youtube.com/watch?v=bm1feF_Lv2o",'Players&gt;List'!$B11)</f>
        <v>[CHB]</v>
      </c>
      <c r="G38" s="1"/>
      <c r="H38" s="1"/>
      <c r="I38" s="1"/>
      <c r="J38" s="1"/>
      <c r="K38" s="1"/>
      <c r="L38" s="1"/>
      <c r="M38" s="1"/>
      <c r="N38" s="1"/>
    </row>
    <row r="39">
      <c r="A39" s="1"/>
      <c r="B39" s="25" t="s">
        <v>108</v>
      </c>
      <c r="E39" s="26" t="s">
        <v>132</v>
      </c>
      <c r="F39" s="18" t="str">
        <f>HYPERLINK("https://www.youtube.com/watch?v=C4ynXS54Tk8",'Players&gt;List'!$B11)</f>
        <v>[CHB]</v>
      </c>
      <c r="G39" s="1"/>
      <c r="H39" s="1"/>
      <c r="I39" s="1"/>
      <c r="J39" s="1"/>
      <c r="K39" s="1"/>
      <c r="L39" s="1"/>
      <c r="M39" s="1"/>
      <c r="N39" s="1"/>
    </row>
    <row r="40">
      <c r="A40" s="1"/>
      <c r="B40" s="14" t="s">
        <v>3661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4"/>
    </row>
    <row r="41">
      <c r="A41" s="1"/>
      <c r="B41" s="4" t="s">
        <v>3664</v>
      </c>
      <c r="D41" s="9"/>
      <c r="E41" s="17" t="s">
        <v>14</v>
      </c>
      <c r="F41" s="18" t="str">
        <f>HYPERLINK("https://www.youtube.com/watch?v=jRko1bQxNGw",'Players&gt;List'!$B28)</f>
        <v>[SUN]</v>
      </c>
      <c r="G41" s="1"/>
      <c r="H41" s="1"/>
      <c r="I41" s="1"/>
      <c r="J41" s="1"/>
      <c r="K41" s="1"/>
      <c r="L41" s="1"/>
      <c r="M41" s="1"/>
      <c r="N41" s="1"/>
    </row>
    <row r="42">
      <c r="A42" s="1"/>
      <c r="B42" s="25" t="s">
        <v>88</v>
      </c>
      <c r="E42" s="26" t="s">
        <v>90</v>
      </c>
      <c r="F42" s="18" t="str">
        <f>HYPERLINK("https://www.youtube.com/watch?v=dXJ7MHPbPWY",'Players&gt;List'!$B8)</f>
        <v>[ABA]</v>
      </c>
      <c r="G42" s="18" t="str">
        <f>HYPERLINK("https://www.youtube.com/watch?v=-BDnu3-axX8",'Players&gt;List'!$B19)</f>
        <v>[HIT]</v>
      </c>
      <c r="H42" s="18" t="str">
        <f>HYPERLINK("https://www.youtube.com/watch?v=wv6qvT7bnLc",'Players&gt;List'!$B15)</f>
        <v>[FNY]</v>
      </c>
      <c r="I42" s="1"/>
      <c r="J42" s="1"/>
      <c r="K42" s="1"/>
      <c r="L42" s="1"/>
      <c r="M42" s="1"/>
      <c r="N42" s="1"/>
    </row>
    <row r="43">
      <c r="A43" s="1"/>
      <c r="B43" s="14" t="s">
        <v>3672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4"/>
    </row>
    <row r="44">
      <c r="A44" s="1"/>
      <c r="B44" s="4" t="s">
        <v>3673</v>
      </c>
      <c r="D44" s="9"/>
      <c r="E44" s="17" t="s">
        <v>14</v>
      </c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25" t="s">
        <v>117</v>
      </c>
      <c r="E45" s="26" t="s">
        <v>110</v>
      </c>
      <c r="F45" s="18" t="str">
        <f>HYPERLINK("https://www.youtube.com/watch?v=qrfe8s_mBx8",'Players&gt;List'!$B11)</f>
        <v>[CHB]</v>
      </c>
      <c r="G45" s="1"/>
      <c r="H45" s="1"/>
      <c r="I45" s="1"/>
      <c r="J45" s="1"/>
      <c r="K45" s="1"/>
      <c r="L45" s="1"/>
      <c r="M45" s="1"/>
      <c r="N45" s="1"/>
    </row>
    <row r="46">
      <c r="A46" s="1"/>
      <c r="B46" s="25" t="s">
        <v>157</v>
      </c>
      <c r="E46" s="26" t="s">
        <v>132</v>
      </c>
      <c r="F46" s="18" t="str">
        <f>HYPERLINK("https://youtu.be/WkuqJqYqZ1E?t=6",'Players&gt;List'!$B11)</f>
        <v>[CHB]</v>
      </c>
      <c r="G46" s="1"/>
      <c r="H46" s="1"/>
      <c r="I46" s="1"/>
      <c r="J46" s="1"/>
      <c r="K46" s="1"/>
      <c r="L46" s="1"/>
      <c r="M46" s="1"/>
      <c r="N46" s="1"/>
    </row>
    <row r="47">
      <c r="A47" s="1"/>
      <c r="B47" s="25" t="s">
        <v>131</v>
      </c>
      <c r="E47" s="26" t="s">
        <v>132</v>
      </c>
      <c r="F47" s="18" t="str">
        <f>HYPERLINK("https://www.youtube.com/watch?v=TrEguqD9N7U",'Players&gt;List'!$B11)</f>
        <v>[CHB]</v>
      </c>
      <c r="G47" s="1"/>
      <c r="H47" s="1"/>
      <c r="I47" s="1"/>
      <c r="J47" s="1"/>
      <c r="K47" s="1"/>
      <c r="L47" s="1"/>
      <c r="M47" s="1"/>
      <c r="N47" s="1"/>
    </row>
    <row r="48">
      <c r="A48" s="1"/>
      <c r="B48" s="25" t="s">
        <v>108</v>
      </c>
      <c r="E48" s="26" t="s">
        <v>132</v>
      </c>
      <c r="F48" s="18" t="str">
        <f>HYPERLINK("https://www.youtube.com/watch?v=WkuqJqYqZ1E",'Players&gt;List'!$B11)</f>
        <v>[CHB]</v>
      </c>
      <c r="G48" s="1"/>
      <c r="H48" s="1"/>
      <c r="I48" s="1"/>
      <c r="J48" s="1"/>
      <c r="K48" s="1"/>
      <c r="L48" s="1"/>
      <c r="M48" s="1"/>
      <c r="N48" s="1"/>
    </row>
    <row r="49">
      <c r="A49" s="1"/>
      <c r="B49" s="14" t="s">
        <v>3678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4"/>
    </row>
    <row r="50">
      <c r="A50" s="1"/>
      <c r="B50" s="4" t="s">
        <v>3679</v>
      </c>
      <c r="D50" s="9"/>
      <c r="E50" s="17" t="s">
        <v>14</v>
      </c>
      <c r="F50" s="18" t="str">
        <f>HYPERLINK("https://www.youtube.com/watch?v=nXoQc5ZQMW4",'Players&gt;List'!$B11)</f>
        <v>[CHB]</v>
      </c>
      <c r="G50" s="1"/>
      <c r="H50" s="1"/>
      <c r="I50" s="1"/>
      <c r="J50" s="1"/>
      <c r="K50" s="1"/>
      <c r="L50" s="1"/>
      <c r="M50" s="1"/>
      <c r="N50" s="1"/>
    </row>
    <row r="51">
      <c r="A51" s="1"/>
      <c r="B51" s="25" t="s">
        <v>88</v>
      </c>
      <c r="E51" s="26" t="s">
        <v>90</v>
      </c>
      <c r="F51" s="18" t="str">
        <f>HYPERLINK("https://www.youtube.com/watch?v=-Nh-miIh4fM",'Players&gt;List'!$B11)</f>
        <v>[CHB]</v>
      </c>
      <c r="G51" s="1"/>
      <c r="H51" s="1"/>
      <c r="I51" s="1"/>
      <c r="J51" s="1"/>
      <c r="K51" s="1"/>
      <c r="L51" s="1"/>
      <c r="M51" s="1"/>
      <c r="N51" s="1"/>
    </row>
    <row r="52">
      <c r="A52" s="1"/>
      <c r="B52" s="14" t="s">
        <v>3682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4"/>
    </row>
    <row r="53">
      <c r="A53" s="1"/>
      <c r="B53" s="4" t="s">
        <v>3683</v>
      </c>
      <c r="D53" s="9"/>
      <c r="E53" s="17" t="s">
        <v>14</v>
      </c>
      <c r="F53" s="18" t="str">
        <f>HYPERLINK("https://www.youtube.com/watch?v=iuDtFX8Z_yQ",'Players&gt;List'!$B28)</f>
        <v>[SUN]</v>
      </c>
      <c r="G53" s="1"/>
      <c r="H53" s="1"/>
      <c r="I53" s="1"/>
      <c r="J53" s="1"/>
      <c r="K53" s="1"/>
      <c r="L53" s="1"/>
      <c r="M53" s="1"/>
      <c r="N53" s="1"/>
    </row>
    <row r="54">
      <c r="A54" s="1"/>
      <c r="B54" s="25" t="s">
        <v>88</v>
      </c>
      <c r="E54" s="26" t="s">
        <v>90</v>
      </c>
      <c r="F54" s="18" t="str">
        <f>HYPERLINK("https://www.youtube.com/watch?v=up2qJIaPkNY",'Players&gt;List'!$B28)</f>
        <v>[SUN]</v>
      </c>
      <c r="G54" s="18" t="str">
        <f>HYPERLINK("https://www.youtube.com/watch?v=lUyNUL1t6IU",'Players&gt;List'!$B15)</f>
        <v>[FNY]</v>
      </c>
      <c r="H54" s="18" t="str">
        <f>HYPERLINK("https://www.youtube.com/watch?v=TaT4fnb0x44",'Players&gt;List'!$B11)</f>
        <v>[CHB]</v>
      </c>
      <c r="I54" s="1"/>
      <c r="J54" s="1"/>
      <c r="K54" s="1"/>
      <c r="L54" s="1"/>
      <c r="M54" s="1"/>
      <c r="N54" s="1"/>
    </row>
    <row r="55">
      <c r="A55" s="1"/>
      <c r="B55" s="25" t="s">
        <v>149</v>
      </c>
      <c r="E55" s="26" t="s">
        <v>147</v>
      </c>
      <c r="F55" s="18" t="str">
        <f>HYPERLINK("https://www.youtube.com/watch?v=O9S7I6Y9bJA",'Players&gt;List'!$B28)</f>
        <v>[SUN]</v>
      </c>
      <c r="G55" s="18" t="str">
        <f>HYPERLINK("https://www.youtube.com/watch?v=Cr73Fz-GIkc",'Players&gt;List'!$B15)</f>
        <v>[FNY]</v>
      </c>
      <c r="H55" s="18" t="str">
        <f>HYPERLINK("https://www.youtube.com/watch?v=uJYNjON_AaU",'Players&gt;List'!$B11)</f>
        <v>[CHB]</v>
      </c>
      <c r="I55" s="1"/>
      <c r="J55" s="1"/>
      <c r="K55" s="1"/>
      <c r="L55" s="1"/>
      <c r="M55" s="1"/>
      <c r="N55" s="1"/>
    </row>
    <row r="56">
      <c r="A56" s="1"/>
      <c r="B56" s="25" t="s">
        <v>335</v>
      </c>
      <c r="E56" s="26" t="s">
        <v>147</v>
      </c>
      <c r="F56" s="18" t="str">
        <f>HYPERLINK("https://www.youtube.com/watch?v=FDZp0iRkj04",'Players&gt;List'!$B15)</f>
        <v>[FNY]</v>
      </c>
      <c r="G56" s="18" t="str">
        <f>HYPERLINK("https://www.youtube.com/watch?v=UdbIu1p5cM8",'Players&gt;List'!$B11)</f>
        <v>[CHB]</v>
      </c>
      <c r="H56" s="1"/>
      <c r="I56" s="1"/>
      <c r="J56" s="1"/>
      <c r="K56" s="1"/>
      <c r="L56" s="1"/>
      <c r="M56" s="1"/>
      <c r="N56" s="1"/>
    </row>
    <row r="57">
      <c r="A57" s="1"/>
      <c r="B57" s="14" t="s">
        <v>3696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4"/>
    </row>
    <row r="58">
      <c r="A58" s="1"/>
      <c r="B58" s="4" t="s">
        <v>3697</v>
      </c>
      <c r="D58" s="9"/>
      <c r="E58" s="17" t="s">
        <v>14</v>
      </c>
      <c r="F58" s="18" t="str">
        <f>HYPERLINK("https://www.youtube.com/watch?v=599BvSHrcSQ",'Players&gt;List'!$B15)</f>
        <v>[FNY]</v>
      </c>
      <c r="G58" s="1"/>
      <c r="H58" s="1"/>
      <c r="I58" s="1"/>
      <c r="J58" s="1"/>
      <c r="K58" s="1"/>
      <c r="L58" s="1"/>
      <c r="M58" s="1"/>
      <c r="N58" s="1"/>
    </row>
    <row r="59">
      <c r="A59" s="1"/>
      <c r="B59" s="25" t="s">
        <v>149</v>
      </c>
      <c r="E59" s="26" t="s">
        <v>90</v>
      </c>
      <c r="F59" s="18" t="str">
        <f>HYPERLINK("https://www.youtube.com/watch?v=599BvSHrcSQ",'Players&gt;List'!$B15)</f>
        <v>[FNY]</v>
      </c>
      <c r="G59" s="1"/>
      <c r="H59" s="1"/>
      <c r="I59" s="1"/>
      <c r="J59" s="1"/>
      <c r="K59" s="1"/>
      <c r="L59" s="1"/>
      <c r="M59" s="1"/>
      <c r="N59" s="1"/>
    </row>
    <row r="60">
      <c r="A60" s="1"/>
      <c r="B60" s="25" t="s">
        <v>88</v>
      </c>
      <c r="E60" s="26" t="s">
        <v>147</v>
      </c>
      <c r="F60" s="18" t="str">
        <f>HYPERLINK("https://www.youtube.com/watch?v=4u728l60Bi4",'Players&gt;List'!$B19)</f>
        <v>[HIT]</v>
      </c>
      <c r="G60" s="18" t="str">
        <f>HYPERLINK("https://www.youtube.com/watch?v=DoEl431HUhU",'Players&gt;List'!$B15)</f>
        <v>[FNY]</v>
      </c>
      <c r="H60" s="1"/>
      <c r="I60" s="1"/>
      <c r="J60" s="1"/>
      <c r="K60" s="1"/>
      <c r="L60" s="1"/>
      <c r="M60" s="1"/>
      <c r="N60" s="1"/>
    </row>
    <row r="61">
      <c r="A61" s="1"/>
      <c r="B61" s="14" t="s">
        <v>3704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4"/>
    </row>
    <row r="62">
      <c r="A62" s="1"/>
      <c r="B62" s="4" t="s">
        <v>3705</v>
      </c>
      <c r="D62" s="9"/>
      <c r="E62" s="17" t="s">
        <v>14</v>
      </c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25" t="s">
        <v>117</v>
      </c>
      <c r="E63" s="26" t="s">
        <v>110</v>
      </c>
      <c r="F63" s="18" t="str">
        <f>HYPERLINK("https://www.youtube.com/watch?v=kJjQrx6l2I8",'Players&gt;List'!$B11)</f>
        <v>[CHB]</v>
      </c>
      <c r="G63" s="18" t="str">
        <f>HYPERLINK("https://www.youtube.com/watch?v=FZthZZZyMsg",'Players&gt;List'!$B15)</f>
        <v>[FNY]</v>
      </c>
      <c r="H63" s="1"/>
      <c r="I63" s="1"/>
      <c r="J63" s="1"/>
      <c r="K63" s="1"/>
      <c r="L63" s="1"/>
      <c r="M63" s="1"/>
      <c r="N63" s="1"/>
    </row>
    <row r="64">
      <c r="A64" s="1"/>
      <c r="B64" s="25" t="s">
        <v>131</v>
      </c>
      <c r="E64" s="26" t="s">
        <v>132</v>
      </c>
      <c r="F64" s="18" t="str">
        <f>HYPERLINK("https://www.youtube.com/watch?v=IWwjH-S6ya0",'Players&gt;List'!$B11)</f>
        <v>[CHB]</v>
      </c>
      <c r="G64" s="18" t="str">
        <f>HYPERLINK("https://www.youtube.com/watch?v=haIbU9dvxk4",'Players&gt;List'!$B15)</f>
        <v>[FNY]</v>
      </c>
      <c r="H64" s="1"/>
      <c r="I64" s="1"/>
      <c r="J64" s="1"/>
      <c r="K64" s="1"/>
      <c r="L64" s="1"/>
      <c r="M64" s="1"/>
      <c r="N64" s="1"/>
    </row>
    <row r="65">
      <c r="A65" s="1"/>
      <c r="B65" s="14" t="s">
        <v>3710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4"/>
    </row>
    <row r="66">
      <c r="A66" s="1"/>
      <c r="B66" s="4" t="s">
        <v>3712</v>
      </c>
      <c r="D66" s="9"/>
      <c r="E66" s="17" t="s">
        <v>14</v>
      </c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25" t="s">
        <v>149</v>
      </c>
      <c r="E67" s="26" t="s">
        <v>90</v>
      </c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25" t="s">
        <v>88</v>
      </c>
      <c r="E68" s="26" t="s">
        <v>147</v>
      </c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25" t="s">
        <v>649</v>
      </c>
      <c r="E69" s="26" t="s">
        <v>147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25" t="s">
        <v>502</v>
      </c>
      <c r="E70" s="26" t="s">
        <v>358</v>
      </c>
      <c r="F70" s="18" t="str">
        <f>HYPERLINK("https://www.youtube.com/watch?v=FVJLKsPFefw",'Players&gt;List'!$B19)</f>
        <v>[HIT]</v>
      </c>
      <c r="G70" s="18" t="str">
        <f>HYPERLINK("https://www.youtube.com/watch?v=wcvo3kOy0R8",'Players&gt;List'!$B20)</f>
        <v>[KOS]</v>
      </c>
      <c r="H70" s="18" t="str">
        <f>HYPERLINK("https://www.youtube.com/watch?v=tokNf7bde3c",'Players&gt;List'!$B15)</f>
        <v>[FNY]</v>
      </c>
      <c r="I70" s="1"/>
      <c r="J70" s="1"/>
      <c r="K70" s="1"/>
      <c r="L70" s="1"/>
      <c r="M70" s="1"/>
      <c r="N70" s="1"/>
    </row>
    <row r="71">
      <c r="A71" s="1"/>
      <c r="B71" s="14" t="s">
        <v>3719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4"/>
    </row>
    <row r="72">
      <c r="A72" s="1"/>
      <c r="B72" s="4" t="s">
        <v>3721</v>
      </c>
      <c r="D72" s="9"/>
      <c r="E72" s="17" t="s">
        <v>14</v>
      </c>
      <c r="F72" s="18" t="str">
        <f>HYPERLINK("https://www.youtube.com/watch?v=p8g2R9W7RDU",'Players&gt;List'!$B11)</f>
        <v>[CHB]</v>
      </c>
      <c r="G72" s="1"/>
      <c r="H72" s="1"/>
      <c r="I72" s="1"/>
      <c r="J72" s="1"/>
      <c r="K72" s="1"/>
      <c r="L72" s="1"/>
      <c r="M72" s="1"/>
      <c r="N72" s="1"/>
    </row>
    <row r="73">
      <c r="A73" s="1"/>
      <c r="B73" s="25" t="s">
        <v>117</v>
      </c>
      <c r="E73" s="26" t="s">
        <v>110</v>
      </c>
      <c r="F73" s="18" t="str">
        <f>HYPERLINK("https://www.youtube.com/watch?v=jt5wgh642Og",'Players&gt;List'!$B11)</f>
        <v>[CHB]</v>
      </c>
      <c r="G73" s="1"/>
      <c r="H73" s="1"/>
      <c r="I73" s="1"/>
      <c r="J73" s="1"/>
      <c r="K73" s="1"/>
      <c r="L73" s="1"/>
      <c r="M73" s="1"/>
      <c r="N73" s="1"/>
    </row>
    <row r="74">
      <c r="A74" s="1"/>
      <c r="B74" s="14" t="s">
        <v>3722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4"/>
    </row>
    <row r="75">
      <c r="A75" s="1"/>
      <c r="B75" s="4" t="s">
        <v>3723</v>
      </c>
      <c r="D75" s="9"/>
      <c r="E75" s="17" t="s">
        <v>14</v>
      </c>
      <c r="F75" s="18" t="str">
        <f>HYPERLINK("https://www.youtube.com/watch?v=lKbXSWv7q-w",'Players&gt;List'!$B11)</f>
        <v>[CHB]</v>
      </c>
      <c r="G75" s="18" t="str">
        <f>HYPERLINK("https://www.youtube.com/watch?v=T-o8XJcWN-I",'Players&gt;List'!$B15)</f>
        <v>[FNY]</v>
      </c>
      <c r="H75" s="1"/>
      <c r="I75" s="1"/>
      <c r="J75" s="1"/>
      <c r="K75" s="1"/>
      <c r="L75" s="1"/>
      <c r="M75" s="1"/>
      <c r="N75" s="1"/>
    </row>
    <row r="76">
      <c r="A76" s="1"/>
      <c r="B76" s="25" t="s">
        <v>1797</v>
      </c>
      <c r="E76" s="26" t="s">
        <v>234</v>
      </c>
      <c r="F76" s="18" t="str">
        <f>HYPERLINK("https://www.youtube.com/watch?v=cDjyZsum9Mc",'Players&gt;List'!$B11)</f>
        <v>[CHB]</v>
      </c>
      <c r="G76" s="18" t="str">
        <f>HYPERLINK("https://www.youtube.com/watch?v=u8PzxPbxd4E",'Players&gt;List'!$B15)</f>
        <v>[FNY]</v>
      </c>
      <c r="H76" s="1"/>
      <c r="I76" s="1"/>
      <c r="J76" s="1"/>
      <c r="K76" s="1"/>
      <c r="L76" s="1"/>
      <c r="M76" s="1"/>
      <c r="N76" s="1"/>
    </row>
    <row r="77">
      <c r="A77" s="1"/>
      <c r="B77" s="25" t="s">
        <v>88</v>
      </c>
      <c r="E77" s="26" t="s">
        <v>147</v>
      </c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25" t="s">
        <v>197</v>
      </c>
      <c r="E78" s="26" t="s">
        <v>147</v>
      </c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25" t="s">
        <v>149</v>
      </c>
      <c r="E79" s="26" t="s">
        <v>147</v>
      </c>
      <c r="F79" s="18" t="str">
        <f>HYPERLINK("https://www.youtube.com/watch?v=lKbXSWv7q-w",'Players&gt;List'!$B11)</f>
        <v>[CHB]</v>
      </c>
      <c r="G79" s="18" t="str">
        <f>HYPERLINK("https://www.youtube.com/watch?v=T-o8XJcWN-I",'Players&gt;List'!$B15)</f>
        <v>[FNY]</v>
      </c>
      <c r="H79" s="1"/>
      <c r="I79" s="1"/>
      <c r="J79" s="1"/>
      <c r="K79" s="1"/>
      <c r="L79" s="1"/>
      <c r="M79" s="1"/>
      <c r="N79" s="1"/>
    </row>
    <row r="80">
      <c r="A80" s="1"/>
      <c r="B80" s="14" t="s">
        <v>3730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4"/>
    </row>
    <row r="81">
      <c r="A81" s="1"/>
      <c r="B81" s="4" t="s">
        <v>3731</v>
      </c>
      <c r="D81" s="9"/>
      <c r="E81" s="17" t="s">
        <v>14</v>
      </c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25" t="s">
        <v>131</v>
      </c>
      <c r="E82" s="26" t="s">
        <v>110</v>
      </c>
      <c r="F82" s="18" t="str">
        <f>HYPERLINK("https://www.youtube.com/watch?v=0aUPjsHa7R8",'Players&gt;List'!$B28)</f>
        <v>[SUN]</v>
      </c>
      <c r="G82" s="18" t="str">
        <f>HYPERLINK("https://www.youtube.com/watch?v=ieJUEBJaY1w",'Players&gt;List'!$B15)</f>
        <v>[FNY]</v>
      </c>
      <c r="H82" s="18" t="str">
        <f>HYPERLINK("https://www.youtube.com/watch?v=zvaIi1ZF2MY",'Players&gt;List'!$B11)</f>
        <v>[CHB]</v>
      </c>
      <c r="I82" s="1"/>
      <c r="J82" s="1"/>
      <c r="K82" s="1"/>
      <c r="L82" s="1"/>
      <c r="M82" s="1"/>
      <c r="N82" s="1"/>
    </row>
    <row r="83">
      <c r="A83" s="1"/>
      <c r="B83" s="14" t="s">
        <v>3732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4"/>
    </row>
    <row r="84">
      <c r="A84" s="1"/>
      <c r="B84" s="4" t="s">
        <v>3734</v>
      </c>
      <c r="D84" s="9"/>
      <c r="E84" s="17" t="s">
        <v>14</v>
      </c>
      <c r="F84" s="18" t="str">
        <f>HYPERLINK("https://www.youtube.com/watch?v=pZJ2hGg8Yck",'Players&gt;List'!$B23)</f>
        <v>[MOL]</v>
      </c>
      <c r="G84" s="18" t="str">
        <f>HYPERLINK("https://www.youtube.com/watch?v=qCarcAiHpaY",'Players&gt;List'!$B19)</f>
        <v>[HIT]</v>
      </c>
      <c r="H84" s="18" t="str">
        <f>HYPERLINK("https://www.youtube.com/watch?v=rCZ0siD0Ito",'Players&gt;List'!$B15)</f>
        <v>[FNY]</v>
      </c>
      <c r="I84" s="18" t="str">
        <f>HYPERLINK("https://www.youtube.com/watch?v=0lOAIGHEbuQ",'Players&gt;List'!$B11)</f>
        <v>[CHB]</v>
      </c>
      <c r="J84" s="1"/>
      <c r="K84" s="1"/>
      <c r="L84" s="1"/>
      <c r="M84" s="1"/>
      <c r="N84" s="1"/>
    </row>
    <row r="85">
      <c r="A85" s="1"/>
      <c r="B85" s="25" t="s">
        <v>88</v>
      </c>
      <c r="E85" s="26" t="s">
        <v>3096</v>
      </c>
      <c r="F85" s="18" t="str">
        <f>HYPERLINK("https://www.youtube.com/watch?v=2-Eht8EY6g8",'Players&gt;List'!$B15)</f>
        <v>[FNY]</v>
      </c>
      <c r="G85" s="18" t="str">
        <f>HYPERLINK("https://www.youtube.com/watch?v=sXkPPV_yXGc",'Players&gt;List'!$B11)</f>
        <v>[CHB]</v>
      </c>
      <c r="H85" s="1"/>
      <c r="I85" s="1"/>
      <c r="J85" s="1"/>
      <c r="K85" s="1"/>
      <c r="L85" s="1"/>
      <c r="M85" s="1"/>
      <c r="N85" s="1"/>
    </row>
    <row r="86">
      <c r="A86" s="1"/>
      <c r="B86" s="14" t="s">
        <v>3740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3743</v>
      </c>
      <c r="D87" s="9"/>
      <c r="E87" s="17" t="s">
        <v>14</v>
      </c>
      <c r="F87" s="18" t="str">
        <f>HYPERLINK("https://www.youtube.com/watch?v=ghuBrql7OFw",'Players&gt;List'!$B19)</f>
        <v>[HIT]</v>
      </c>
      <c r="G87" s="18" t="str">
        <f>HYPERLINK("https://www.youtube.com/watch?v=RN021XDoXvg",'Players&gt;List'!$B15)</f>
        <v>[FNY]</v>
      </c>
      <c r="H87" s="1"/>
      <c r="I87" s="1"/>
      <c r="J87" s="1"/>
      <c r="K87" s="1"/>
      <c r="L87" s="1"/>
      <c r="M87" s="1"/>
      <c r="N87" s="1"/>
    </row>
    <row r="88">
      <c r="A88" s="1"/>
      <c r="B88" s="25" t="s">
        <v>88</v>
      </c>
      <c r="E88" s="26" t="s">
        <v>3096</v>
      </c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4" t="s">
        <v>3747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4"/>
    </row>
    <row r="90">
      <c r="A90" s="1"/>
      <c r="B90" s="4" t="s">
        <v>3749</v>
      </c>
      <c r="D90" s="9"/>
      <c r="E90" s="17" t="s">
        <v>14</v>
      </c>
      <c r="F90" s="18" t="str">
        <f>HYPERLINK("https://www.twitch.tv/videos/151283604",'Players&gt;List'!$B32)</f>
        <v>[XEL]</v>
      </c>
      <c r="G90" s="18" t="str">
        <f>HYPERLINK("https://www.youtube.com/watch?v=5sPpv3xsg74",'Players&gt;List'!$B23)</f>
        <v>[MOL]</v>
      </c>
      <c r="H90" s="18" t="str">
        <f>HYPERLINK("https://www.youtube.com/watch?v=Ibwpo5l8fpk",'Players&gt;List'!$B19)</f>
        <v>[HIT]</v>
      </c>
      <c r="I90" s="18" t="str">
        <f>HYPERLINK("https://www.youtube.com/watch?v=C05RSHRxN5o",'Players&gt;List'!$B15)</f>
        <v>[FNY]</v>
      </c>
      <c r="J90" s="1"/>
      <c r="K90" s="1"/>
      <c r="L90" s="1"/>
      <c r="M90" s="1"/>
      <c r="N90" s="1"/>
    </row>
    <row r="91">
      <c r="A91" s="1"/>
      <c r="B91" s="25" t="s">
        <v>149</v>
      </c>
      <c r="E91" s="26" t="s">
        <v>90</v>
      </c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4" t="s">
        <v>3751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4"/>
    </row>
    <row r="93">
      <c r="A93" s="1"/>
      <c r="B93" s="4" t="s">
        <v>3753</v>
      </c>
      <c r="D93" s="9"/>
      <c r="E93" s="17" t="s">
        <v>14</v>
      </c>
      <c r="F93" s="18" t="str">
        <f>HYPERLINK("https://www.youtube.com/watch?v=A5Sjsdsn8Sk",'Players&gt;List'!$B19)</f>
        <v>[HIT]</v>
      </c>
      <c r="G93" s="18" t="str">
        <f>HYPERLINK("https://www.youtube.com/watch?v=jAGffKoDg50",'Players&gt;List'!$B28)</f>
        <v>[SUN]</v>
      </c>
      <c r="H93" s="1"/>
      <c r="I93" s="1"/>
      <c r="J93" s="1"/>
      <c r="K93" s="1"/>
      <c r="L93" s="1"/>
      <c r="M93" s="1"/>
      <c r="N93" s="1"/>
    </row>
    <row r="94">
      <c r="A94" s="1"/>
      <c r="B94" s="25" t="s">
        <v>649</v>
      </c>
      <c r="E94" s="26" t="s">
        <v>90</v>
      </c>
      <c r="F94" s="18" t="str">
        <f>HYPERLINK("https://www.youtube.com/watch?v=sH8-wikeHOw",'Players&gt;List'!$B19)</f>
        <v>[HIT]</v>
      </c>
      <c r="G94" s="18" t="str">
        <f>HYPERLINK("https://www.youtube.com/watch?v=jAGffKoDg50",'Players&gt;List'!$B28)</f>
        <v>[SUN]</v>
      </c>
      <c r="H94" s="1"/>
      <c r="I94" s="1"/>
      <c r="J94" s="1"/>
      <c r="K94" s="1"/>
      <c r="L94" s="1"/>
      <c r="M94" s="1"/>
      <c r="N94" s="1"/>
    </row>
    <row r="95">
      <c r="A95" s="1"/>
      <c r="B95" s="25" t="s">
        <v>88</v>
      </c>
      <c r="E95" s="26" t="s">
        <v>147</v>
      </c>
      <c r="F95" s="18" t="str">
        <f>HYPERLINK("https://www.youtube.com/watch?v=sH8-wikeHOw",'Players&gt;List'!$B19)</f>
        <v>[HIT]</v>
      </c>
      <c r="G95" s="1"/>
      <c r="H95" s="1"/>
      <c r="I95" s="1"/>
      <c r="J95" s="1"/>
      <c r="K95" s="1"/>
      <c r="L95" s="1"/>
      <c r="M95" s="1"/>
      <c r="N95" s="1"/>
    </row>
    <row r="96">
      <c r="A96" s="1"/>
      <c r="B96" s="14" t="s">
        <v>3758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3759</v>
      </c>
      <c r="D97" s="9"/>
      <c r="E97" s="17" t="s">
        <v>14</v>
      </c>
      <c r="F97" s="18" t="str">
        <f>HYPERLINK("https://www.youtube.com/watch?v=tFp8SSadn_U",'Players&gt;List'!$B11)</f>
        <v>[CHB]</v>
      </c>
      <c r="G97" s="1"/>
      <c r="H97" s="1"/>
      <c r="I97" s="1"/>
      <c r="J97" s="1"/>
      <c r="K97" s="1"/>
      <c r="L97" s="1"/>
      <c r="M97" s="1"/>
      <c r="N97" s="1"/>
    </row>
    <row r="98">
      <c r="A98" s="1"/>
      <c r="B98" s="25" t="s">
        <v>88</v>
      </c>
      <c r="E98" s="26" t="s">
        <v>3096</v>
      </c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25" t="s">
        <v>117</v>
      </c>
      <c r="E99" s="26" t="s">
        <v>3762</v>
      </c>
      <c r="F99" s="18" t="str">
        <f>HYPERLINK("https://www.youtube.com/watch?v=PirR2424sc8",'Players&gt;List'!$B11)</f>
        <v>[CHB]</v>
      </c>
      <c r="G99" s="1"/>
      <c r="H99" s="1"/>
      <c r="I99" s="1"/>
      <c r="J99" s="1"/>
      <c r="K99" s="1"/>
      <c r="L99" s="1"/>
      <c r="M99" s="1"/>
      <c r="N99" s="1"/>
    </row>
    <row r="100">
      <c r="A100" s="1"/>
      <c r="B100" s="14" t="s">
        <v>3765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4"/>
    </row>
    <row r="101">
      <c r="A101" s="1"/>
      <c r="B101" s="4" t="s">
        <v>3766</v>
      </c>
      <c r="D101" s="9"/>
      <c r="E101" s="17" t="s">
        <v>14</v>
      </c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25" t="s">
        <v>131</v>
      </c>
      <c r="E102" s="26" t="s">
        <v>110</v>
      </c>
      <c r="F102" s="18" t="str">
        <f>HYPERLINK("https://www.youtube.com/watch?v=SJqGDm2XI98",'Players&gt;List'!$B19)</f>
        <v>[HIT]</v>
      </c>
      <c r="G102" s="18" t="str">
        <f>HYPERLINK("https://www.youtube.com/watch?v=S4PJxWdVG8k",'Players&gt;List'!$B11)</f>
        <v>[CHB]</v>
      </c>
      <c r="H102" s="1"/>
      <c r="I102" s="1"/>
      <c r="J102" s="1"/>
      <c r="K102" s="1"/>
      <c r="L102" s="1"/>
      <c r="M102" s="1"/>
      <c r="N102" s="1"/>
    </row>
    <row r="103">
      <c r="A103" s="1"/>
      <c r="B103" s="25" t="s">
        <v>149</v>
      </c>
      <c r="E103" s="26" t="s">
        <v>147</v>
      </c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4" t="s">
        <v>3771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"/>
    </row>
    <row r="105">
      <c r="A105" s="1"/>
      <c r="B105" s="4" t="s">
        <v>3772</v>
      </c>
      <c r="D105" s="9"/>
      <c r="E105" s="17" t="s">
        <v>14</v>
      </c>
      <c r="F105" s="18" t="str">
        <f>HYPERLINK("https://www.youtube.com/watch?v=YZbPXv6a3bs",'Players&gt;List'!$B11)</f>
        <v>[CHB]</v>
      </c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25" t="s">
        <v>88</v>
      </c>
      <c r="E106" s="26" t="s">
        <v>90</v>
      </c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25" t="s">
        <v>149</v>
      </c>
      <c r="E107" s="26" t="s">
        <v>147</v>
      </c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25" t="s">
        <v>117</v>
      </c>
      <c r="E108" s="26" t="s">
        <v>132</v>
      </c>
      <c r="F108" s="18" t="str">
        <f>HYPERLINK("https://www.youtube.com/watch?v=sbXbTYQr4fc",'Players&gt;List'!$B19)</f>
        <v>[HIT]</v>
      </c>
      <c r="G108" s="18" t="str">
        <f>HYPERLINK("https://www.youtube.com/watch?v=nS_5qcqcWoM",'Players&gt;List'!$B11)</f>
        <v>[CHB]</v>
      </c>
      <c r="H108" s="1"/>
      <c r="I108" s="1"/>
      <c r="J108" s="1"/>
      <c r="K108" s="1"/>
      <c r="L108" s="1"/>
      <c r="M108" s="1"/>
      <c r="N108" s="1"/>
    </row>
    <row r="109">
      <c r="A109" s="1"/>
      <c r="B109" s="14" t="s">
        <v>3778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4"/>
    </row>
    <row r="110">
      <c r="A110" s="1"/>
      <c r="B110" s="4" t="s">
        <v>3780</v>
      </c>
      <c r="D110" s="9"/>
      <c r="E110" s="17" t="s">
        <v>14</v>
      </c>
      <c r="F110" s="18" t="str">
        <f>HYPERLINK("https://www.youtube.com/watch?v=KCJmXHZVfwQ",'Players&gt;List'!$B11)</f>
        <v>[CHB]</v>
      </c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25" t="s">
        <v>149</v>
      </c>
      <c r="E111" s="26" t="s">
        <v>90</v>
      </c>
      <c r="F111" s="18" t="str">
        <f>HYPERLINK("https://www.youtube.com/watch?v=KCJmXHZVfwQ",'Players&gt;List'!$B11)</f>
        <v>[CHB]</v>
      </c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4" t="s">
        <v>3783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4"/>
    </row>
    <row r="113">
      <c r="A113" s="1"/>
      <c r="B113" s="4" t="s">
        <v>3784</v>
      </c>
      <c r="D113" s="9"/>
      <c r="E113" s="17" t="s">
        <v>14</v>
      </c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25" t="s">
        <v>131</v>
      </c>
      <c r="E114" s="26" t="s">
        <v>110</v>
      </c>
      <c r="F114" s="18" t="str">
        <f>HYPERLINK("https://www.youtube.com/watch?v=TKaSCA50DXc",'Players&gt;List'!$B19)</f>
        <v>[HIT]</v>
      </c>
      <c r="G114" s="18" t="str">
        <f>HYPERLINK("https://www.youtube.com/watch?v=bRgWQ0pGODM",'Players&gt;List'!$B11)</f>
        <v>[CHB]</v>
      </c>
      <c r="H114" s="1"/>
      <c r="I114" s="1"/>
      <c r="J114" s="1"/>
      <c r="K114" s="1"/>
      <c r="L114" s="1"/>
      <c r="M114" s="1"/>
      <c r="N114" s="1"/>
    </row>
    <row r="115">
      <c r="A115" s="1"/>
      <c r="B115" s="14" t="s">
        <v>3789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4"/>
    </row>
    <row r="116">
      <c r="A116" s="1"/>
      <c r="B116" s="4" t="s">
        <v>3792</v>
      </c>
      <c r="D116" s="9"/>
      <c r="E116" s="17" t="s">
        <v>14</v>
      </c>
      <c r="F116" s="18" t="str">
        <f>HYPERLINK("https://www.youtube.com/watch?v=ht0Ts-8C_ek",'Players&gt;List'!$B11)</f>
        <v>[CHB]</v>
      </c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25" t="s">
        <v>668</v>
      </c>
      <c r="E117" s="26" t="s">
        <v>234</v>
      </c>
      <c r="F117" s="18" t="str">
        <f>HYPERLINK("https://www.youtube.com/watch?v=DPk1IKKE2gk",'Players&gt;List'!$B11)</f>
        <v>[CHB]</v>
      </c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3793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4"/>
    </row>
    <row r="119">
      <c r="A119" s="1"/>
      <c r="B119" s="4" t="s">
        <v>3795</v>
      </c>
      <c r="D119" s="9"/>
      <c r="E119" s="17" t="s">
        <v>14</v>
      </c>
      <c r="F119" s="18" t="str">
        <f>HYPERLINK("https://www.youtube.com/watch?v=D2bqMu6GvEc",'Players&gt;List'!$B23)</f>
        <v>[MOL]</v>
      </c>
      <c r="G119" s="18" t="str">
        <f>HYPERLINK("https://www.youtube.com/watch?v=SE2Jz7Xh1f8",'Players&gt;List'!$B11)</f>
        <v>[CHB]</v>
      </c>
      <c r="H119" s="1"/>
      <c r="I119" s="1"/>
      <c r="J119" s="1"/>
      <c r="K119" s="1"/>
      <c r="L119" s="1"/>
      <c r="M119" s="1"/>
      <c r="N119" s="1"/>
    </row>
    <row r="120">
      <c r="A120" s="1"/>
      <c r="B120" s="25" t="s">
        <v>88</v>
      </c>
      <c r="E120" s="26" t="s">
        <v>90</v>
      </c>
      <c r="F120" s="18" t="str">
        <f>HYPERLINK("https://www.youtube.com/watch?v=RMKgaLXru8U",'Players&gt;List'!$B19)</f>
        <v>[HIT]</v>
      </c>
      <c r="G120" s="18" t="str">
        <f>HYPERLINK("https://www.youtube.com/watch?v=FFNcMO2RO98",'Players&gt;List'!$B11)</f>
        <v>[CHB]</v>
      </c>
      <c r="H120" s="18" t="str">
        <f>HYPERLINK("https://www.youtube.com/watch?v=LVqjnv1MIHk",'Players&gt;List'!$B15)</f>
        <v>[FNY]</v>
      </c>
      <c r="I120" s="1"/>
      <c r="J120" s="1"/>
      <c r="K120" s="1"/>
      <c r="L120" s="1"/>
      <c r="M120" s="1"/>
      <c r="N120" s="1"/>
    </row>
    <row r="121">
      <c r="A121" s="1"/>
      <c r="B121" s="14" t="s">
        <v>3801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4"/>
    </row>
    <row r="122">
      <c r="A122" s="1"/>
      <c r="B122" s="4" t="s">
        <v>3802</v>
      </c>
      <c r="D122" s="9"/>
      <c r="E122" s="17" t="s">
        <v>14</v>
      </c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25" t="s">
        <v>131</v>
      </c>
      <c r="E123" s="26" t="s">
        <v>110</v>
      </c>
      <c r="F123" s="18" t="str">
        <f>HYPERLINK("https://www.youtube.com/watch?v=jbET2bya06g",'Players&gt;List'!$B11)</f>
        <v>[CHB]</v>
      </c>
      <c r="G123" s="18" t="str">
        <f>HYPERLINK("https://www.youtube.com/watch?v=15dmSrddcog",'Players&gt;List'!$B15)</f>
        <v>[FNY]</v>
      </c>
      <c r="H123" s="1"/>
      <c r="I123" s="1"/>
      <c r="J123" s="1"/>
      <c r="K123" s="1"/>
      <c r="L123" s="1"/>
      <c r="M123" s="1"/>
      <c r="N123" s="1"/>
    </row>
    <row r="124">
      <c r="A124" s="1"/>
      <c r="B124" s="25" t="s">
        <v>197</v>
      </c>
      <c r="E124" s="26" t="s">
        <v>147</v>
      </c>
      <c r="F124" s="18" t="str">
        <f>HYPERLINK("https://www.youtube.com/watch?v=xCMGtx12cHw",'Players&gt;List'!$B11)</f>
        <v>[CHB]</v>
      </c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4" t="s">
        <v>3809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4"/>
    </row>
    <row r="126">
      <c r="A126" s="1"/>
      <c r="B126" s="4" t="s">
        <v>3811</v>
      </c>
      <c r="D126" s="9"/>
      <c r="E126" s="17" t="s">
        <v>14</v>
      </c>
      <c r="F126" s="18" t="str">
        <f>HYPERLINK("https://www.youtube.com/watch?v=RA2QD_N0ylc",'Players&gt;List'!$B19)</f>
        <v>[HIT]</v>
      </c>
      <c r="G126" s="18" t="str">
        <f>HYPERLINK("https://www.youtube.com/watch?v=8KU18p_AujU",'Players&gt;List'!$B15)</f>
        <v>[FNY]</v>
      </c>
      <c r="H126" s="1"/>
      <c r="I126" s="1"/>
      <c r="J126" s="1"/>
      <c r="K126" s="1"/>
      <c r="L126" s="1"/>
      <c r="M126" s="1"/>
      <c r="N126" s="1"/>
    </row>
    <row r="127">
      <c r="A127" s="1"/>
      <c r="B127" s="25" t="s">
        <v>149</v>
      </c>
      <c r="E127" s="26" t="s">
        <v>90</v>
      </c>
      <c r="F127" s="18" t="str">
        <f>HYPERLINK("https://www.youtube.com/watch?v=2CgLcRgsLok",'Players&gt;List'!$B14)</f>
        <v>[ESP]</v>
      </c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25" t="s">
        <v>88</v>
      </c>
      <c r="E128" s="26" t="s">
        <v>147</v>
      </c>
      <c r="F128" s="18" t="str">
        <f>HYPERLINK("https://www.youtube.com/watch?v=tsfeUYDgVBc",'Players&gt;List'!$B19)</f>
        <v>[HIT]</v>
      </c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4" t="s">
        <v>3820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4"/>
    </row>
    <row r="130">
      <c r="A130" s="1"/>
      <c r="B130" s="4" t="s">
        <v>3822</v>
      </c>
      <c r="D130" s="9"/>
      <c r="E130" s="17" t="s">
        <v>14</v>
      </c>
      <c r="F130" s="18" t="str">
        <f>HYPERLINK("https://www.youtube.com/watch?v=L9QkiC0lpR4",'Players&gt;List'!$B19)</f>
        <v>[HIT]</v>
      </c>
      <c r="G130" s="18" t="str">
        <f>HYPERLINK("https://www.youtube.com/watch?v=Bs5GflhUVko",'Players&gt;List'!$B15)</f>
        <v>[FNY]</v>
      </c>
      <c r="H130" s="18" t="str">
        <f>HYPERLINK("https://www.youtube.com/watch?v=8kt7rwxuqrM",'Players&gt;List'!$B11)</f>
        <v>[CHB]</v>
      </c>
      <c r="I130" s="1"/>
      <c r="J130" s="1"/>
      <c r="K130" s="1"/>
      <c r="L130" s="1"/>
      <c r="M130" s="1"/>
      <c r="N130" s="1"/>
    </row>
    <row r="131">
      <c r="A131" s="1"/>
      <c r="B131" s="25" t="s">
        <v>2551</v>
      </c>
      <c r="E131" s="26" t="s">
        <v>110</v>
      </c>
      <c r="F131" s="18" t="str">
        <f>HYPERLINK("https://www.youtube.com/watch?v=Kv_A-tJkhRk",'Players&gt;List'!$B19)</f>
        <v>[HIT]</v>
      </c>
      <c r="G131" s="18" t="str">
        <f>HYPERLINK("https://www.youtube.com/watch?v=Bs5GflhUVko",'Players&gt;List'!$B15)</f>
        <v>[FNY]</v>
      </c>
      <c r="H131" s="18" t="str">
        <f>HYPERLINK("https://www.youtube.com/watch?v=8kt7rwxuqrM",'Players&gt;List'!$B11)</f>
        <v>[CHB]</v>
      </c>
      <c r="I131" s="1"/>
      <c r="J131" s="1"/>
      <c r="K131" s="1"/>
      <c r="L131" s="1"/>
      <c r="M131" s="1"/>
      <c r="N131" s="1"/>
    </row>
    <row r="132">
      <c r="A132" s="1"/>
      <c r="B132" s="25" t="s">
        <v>387</v>
      </c>
      <c r="E132" s="26" t="s">
        <v>132</v>
      </c>
      <c r="F132" s="18" t="str">
        <f>HYPERLINK("https://www.youtube.com/watch?v=OIcVfEaFQ24",'Players&gt;List'!$B19)</f>
        <v>[HIT]</v>
      </c>
      <c r="G132" s="18" t="str">
        <f>HYPERLINK("https://www.youtube.com/watch?v=NIZTIcF4bIk",'Players&gt;List'!$B15)</f>
        <v>[FNY]</v>
      </c>
      <c r="H132" s="18" t="str">
        <f>HYPERLINK("https://www.youtube.com/watch?v=p84l2exTRRE",'Players&gt;List'!$B11)</f>
        <v>[CHB]</v>
      </c>
      <c r="I132" s="1"/>
      <c r="J132" s="1"/>
      <c r="K132" s="1"/>
      <c r="L132" s="1"/>
      <c r="M132" s="1"/>
      <c r="N132" s="1"/>
    </row>
    <row r="133">
      <c r="A133" s="1"/>
      <c r="B133" s="25" t="s">
        <v>149</v>
      </c>
      <c r="E133" s="26" t="s">
        <v>147</v>
      </c>
      <c r="F133" s="18" t="str">
        <f>HYPERLINK("https://www.youtube.com/watch?v=sw0mCRgqb2Y",'Players&gt;List'!$B15)</f>
        <v>[FNY]</v>
      </c>
      <c r="G133" s="18" t="str">
        <f>HYPERLINK("https://www.youtube.com/watch?v=FlrvEpBDw4Q",'Players&gt;List'!$B11)</f>
        <v>[CHB]</v>
      </c>
      <c r="H133" s="1"/>
      <c r="I133" s="1"/>
      <c r="J133" s="1"/>
      <c r="K133" s="1"/>
      <c r="L133" s="1"/>
      <c r="M133" s="1"/>
      <c r="N133" s="1"/>
    </row>
    <row r="134">
      <c r="A134" s="1"/>
      <c r="B134" s="14" t="s">
        <v>3836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4"/>
    </row>
    <row r="135">
      <c r="A135" s="1"/>
      <c r="B135" s="4" t="s">
        <v>3838</v>
      </c>
      <c r="D135" s="9"/>
      <c r="E135" s="17" t="s">
        <v>14</v>
      </c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25" t="s">
        <v>131</v>
      </c>
      <c r="E136" s="26" t="s">
        <v>110</v>
      </c>
      <c r="F136" s="18" t="str">
        <f>HYPERLINK("https://www.youtube.com/watch?v=2QkpeA9qKPI",'Players&gt;List'!$B15)</f>
        <v>[FNY]</v>
      </c>
      <c r="G136" s="18" t="str">
        <f>HYPERLINK("https://www.youtube.com/watch?v=eDN5CPed6OA",'Players&gt;List'!$B11)</f>
        <v>[CHB]</v>
      </c>
      <c r="H136" s="1"/>
      <c r="I136" s="1"/>
      <c r="J136" s="1"/>
      <c r="K136" s="1"/>
      <c r="L136" s="1"/>
      <c r="M136" s="1"/>
      <c r="N136" s="1"/>
    </row>
    <row r="137">
      <c r="A137" s="1"/>
      <c r="B137" s="14" t="s">
        <v>3843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4"/>
    </row>
    <row r="138">
      <c r="A138" s="1"/>
      <c r="B138" s="4" t="s">
        <v>3845</v>
      </c>
      <c r="D138" s="9"/>
      <c r="E138" s="17" t="s">
        <v>14</v>
      </c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25" t="s">
        <v>131</v>
      </c>
      <c r="E139" s="26" t="s">
        <v>110</v>
      </c>
      <c r="F139" s="18" t="str">
        <f>HYPERLINK("https://www.youtube.com/watch?v=e6YTjavXhF0",'Players&gt;List'!$B15)</f>
        <v>[FNY]</v>
      </c>
      <c r="G139" s="18" t="str">
        <f>HYPERLINK("https://www.youtube.com/watch?v=LABo5FSdKMw",'Players&gt;List'!$B11)</f>
        <v>[CHB]</v>
      </c>
      <c r="H139" s="1"/>
      <c r="I139" s="1"/>
      <c r="J139" s="1"/>
      <c r="K139" s="1"/>
      <c r="L139" s="1"/>
      <c r="M139" s="1"/>
      <c r="N139" s="1"/>
    </row>
    <row r="140">
      <c r="A140" s="1"/>
      <c r="B140" s="25" t="s">
        <v>157</v>
      </c>
      <c r="E140" s="26" t="s">
        <v>132</v>
      </c>
      <c r="F140" s="18" t="str">
        <f>HYPERLINK("https://www.youtube.com/watch?v=0NkhhMco6J4",'Players&gt;List'!$B19)</f>
        <v>[HIT]</v>
      </c>
      <c r="G140" s="18" t="str">
        <f>HYPERLINK("https://www.youtube.com/watch?v=vIo5LdpZuAk",'Players&gt;List'!$B15)</f>
        <v>[FNY]</v>
      </c>
      <c r="H140" s="18" t="str">
        <f>HYPERLINK("https://www.youtube.com/watch?v=tc577V4vTEM",'Players&gt;List'!$B11)</f>
        <v>[CHB]</v>
      </c>
      <c r="I140" s="1"/>
      <c r="J140" s="1"/>
      <c r="K140" s="1"/>
      <c r="L140" s="1"/>
      <c r="M140" s="1"/>
      <c r="N140" s="1"/>
    </row>
    <row r="141">
      <c r="A141" s="1"/>
      <c r="B141" s="14" t="s">
        <v>3852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4"/>
    </row>
    <row r="142">
      <c r="A142" s="1"/>
      <c r="B142" s="4" t="s">
        <v>3855</v>
      </c>
      <c r="D142" s="9"/>
      <c r="E142" s="17" t="s">
        <v>14</v>
      </c>
      <c r="F142" s="18" t="str">
        <f>HYPERLINK("https://www.youtube.com/watch?v=SS_LVhGlACg",'Players&gt;List'!$B11)</f>
        <v>[CHB]</v>
      </c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25" t="s">
        <v>88</v>
      </c>
      <c r="E143" s="26" t="s">
        <v>90</v>
      </c>
      <c r="F143" s="18" t="str">
        <f>HYPERLINK("https://www.youtube.com/watch?v=JW0dWZEbmPY",'Players&gt;List'!$B19)</f>
        <v>[HIT]</v>
      </c>
      <c r="G143" s="18" t="str">
        <f>HYPERLINK("https://www.youtube.com/watch?v=fo6IG6PxyAM",'Players&gt;List'!$B11)</f>
        <v>[CHB]</v>
      </c>
      <c r="H143" s="1"/>
      <c r="I143" s="1"/>
      <c r="J143" s="1"/>
      <c r="K143" s="1"/>
      <c r="L143" s="1"/>
      <c r="M143" s="1"/>
      <c r="N143" s="1"/>
    </row>
    <row r="144">
      <c r="A144" s="1"/>
      <c r="B144" s="25" t="s">
        <v>149</v>
      </c>
      <c r="E144" s="26" t="s">
        <v>147</v>
      </c>
      <c r="F144" s="18" t="str">
        <f>HYPERLINK("https://www.youtube.com/watch?v=krPqUmma8OE",'Players&gt;List'!$B11)</f>
        <v>[CHB]</v>
      </c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4" t="s">
        <v>3863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4"/>
    </row>
    <row r="146">
      <c r="A146" s="1"/>
      <c r="B146" s="4" t="s">
        <v>3864</v>
      </c>
      <c r="D146" s="9"/>
      <c r="E146" s="17" t="s">
        <v>14</v>
      </c>
      <c r="F146" s="18" t="str">
        <f>HYPERLINK("https://www.youtube.com/watch?v=Ez6kN8eGFog",'Players&gt;List'!$B11)</f>
        <v>[CHB]</v>
      </c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25" t="s">
        <v>117</v>
      </c>
      <c r="E147" s="26" t="s">
        <v>110</v>
      </c>
      <c r="F147" s="18" t="str">
        <f>HYPERLINK("https://www.youtube.com/watch?v=c4rhNe5o260",'Players&gt;List'!$B11)</f>
        <v>[CHB]</v>
      </c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25" t="s">
        <v>88</v>
      </c>
      <c r="E148" s="26" t="s">
        <v>147</v>
      </c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4" t="s">
        <v>3868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4"/>
    </row>
    <row r="150">
      <c r="A150" s="1"/>
      <c r="B150" s="4" t="s">
        <v>3870</v>
      </c>
      <c r="D150" s="9"/>
      <c r="E150" s="17" t="s">
        <v>14</v>
      </c>
      <c r="F150" s="18" t="str">
        <f>HYPERLINK("https://www.youtube.com/watch?v=d6h7zpV7Ajk",'Players&gt;List'!$B19)</f>
        <v>[HIT]</v>
      </c>
      <c r="G150" s="18" t="str">
        <f>HYPERLINK("https://www.youtube.com/watch?v=ueGGMrchvTw",'Players&gt;List'!$B11)</f>
        <v>[CHB]</v>
      </c>
      <c r="H150" s="1"/>
      <c r="I150" s="1"/>
      <c r="J150" s="1"/>
      <c r="K150" s="1"/>
      <c r="L150" s="1"/>
      <c r="M150" s="1"/>
      <c r="N150" s="1"/>
    </row>
    <row r="151">
      <c r="A151" s="1"/>
      <c r="B151" s="25" t="s">
        <v>108</v>
      </c>
      <c r="E151" s="26" t="s">
        <v>110</v>
      </c>
      <c r="F151" s="18" t="str">
        <f>HYPERLINK("https://www.youtube.com/watch?v=i3erMM1Omuc",'Players&gt;List'!$B11)</f>
        <v>[CHB]</v>
      </c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4" t="s">
        <v>3876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4"/>
    </row>
    <row r="153">
      <c r="A153" s="1"/>
      <c r="B153" s="4" t="s">
        <v>3878</v>
      </c>
      <c r="D153" s="9"/>
      <c r="E153" s="17" t="s">
        <v>14</v>
      </c>
      <c r="F153" s="18" t="str">
        <f>HYPERLINK("https://www.youtube.com/watch?v=ZwrrqCo9sCo",'Players&gt;List'!$B11)</f>
        <v>[CHB]</v>
      </c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25" t="s">
        <v>649</v>
      </c>
      <c r="E154" s="26" t="s">
        <v>90</v>
      </c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25" t="s">
        <v>488</v>
      </c>
      <c r="E155" s="26" t="s">
        <v>358</v>
      </c>
      <c r="F155" s="18" t="str">
        <f>HYPERLINK("https://www.youtube.com/watch?v=8zfWALdQ-Ho",'Players&gt;List'!$B19)</f>
        <v>[HIT]</v>
      </c>
      <c r="G155" s="18" t="str">
        <f>HYPERLINK("https://www.youtube.com/watch?v=mdqLpR2YIMs",'Players&gt;List'!$B11)</f>
        <v>[CHB]</v>
      </c>
      <c r="H155" s="1"/>
      <c r="I155" s="1"/>
      <c r="J155" s="1"/>
      <c r="K155" s="1"/>
      <c r="L155" s="1"/>
      <c r="M155" s="1"/>
      <c r="N155" s="1"/>
    </row>
    <row r="156">
      <c r="A156" s="1"/>
      <c r="B156" s="14" t="s">
        <v>3883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4"/>
    </row>
    <row r="157">
      <c r="A157" s="1"/>
      <c r="B157" s="4" t="s">
        <v>3885</v>
      </c>
      <c r="D157" s="9"/>
      <c r="E157" s="17" t="s">
        <v>14</v>
      </c>
      <c r="F157" s="18" t="str">
        <f>HYPERLINK("https://www.youtube.com/watch?v=jnjw99jSOCY",'Players&gt;List'!$B11)</f>
        <v>[CHB]</v>
      </c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25" t="s">
        <v>149</v>
      </c>
      <c r="E158" s="26" t="s">
        <v>90</v>
      </c>
      <c r="F158" s="18" t="str">
        <f>HYPERLINK("https://www.youtube.com/watch?v=gc4_hzOzPoQ",'Players&gt;List'!$B20)</f>
        <v>[KOS]</v>
      </c>
      <c r="G158" s="18" t="str">
        <f>HYPERLINK("https://www.youtube.com/watch?v=19iJAMNhsFU",'Players&gt;List'!$B19)</f>
        <v>[HIT]</v>
      </c>
      <c r="H158" s="18" t="str">
        <f>HYPERLINK("https://www.youtube.com/watch?v=rjLUdTOmgQ0",'Players&gt;List'!$B11)</f>
        <v>[CHB]</v>
      </c>
      <c r="I158" s="1"/>
      <c r="J158" s="1"/>
      <c r="K158" s="1"/>
      <c r="L158" s="1"/>
      <c r="M158" s="1"/>
      <c r="N158" s="1"/>
    </row>
    <row r="159">
      <c r="A159" s="1"/>
      <c r="B159" s="25" t="s">
        <v>88</v>
      </c>
      <c r="E159" s="26" t="s">
        <v>147</v>
      </c>
      <c r="F159" s="18" t="str">
        <f>HYPERLINK("https://www.youtube.com/watch?v=gc4_hzOzPoQ",'Players&gt;List'!$B20)</f>
        <v>[KOS]</v>
      </c>
      <c r="G159" s="18" t="str">
        <f>HYPERLINK("https://www.youtube.com/watch?v=US-PNoPwjp0",'Players&gt;List'!$B11)</f>
        <v>[CHB]</v>
      </c>
      <c r="H159" s="1"/>
      <c r="I159" s="1"/>
      <c r="J159" s="1"/>
      <c r="K159" s="1"/>
      <c r="L159" s="1"/>
      <c r="M159" s="1"/>
      <c r="N159" s="1"/>
    </row>
    <row r="160">
      <c r="A160" s="1"/>
      <c r="B160" s="14" t="s">
        <v>3890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4"/>
    </row>
    <row r="161">
      <c r="A161" s="1"/>
      <c r="B161" s="4" t="s">
        <v>3892</v>
      </c>
      <c r="D161" s="9"/>
      <c r="E161" s="17" t="s">
        <v>14</v>
      </c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25" t="s">
        <v>2213</v>
      </c>
      <c r="E162" s="26" t="s">
        <v>90</v>
      </c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25" t="s">
        <v>88</v>
      </c>
      <c r="E163" s="26" t="s">
        <v>147</v>
      </c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4" t="s">
        <v>3893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4"/>
    </row>
    <row r="165">
      <c r="A165" s="1"/>
      <c r="B165" s="4" t="s">
        <v>3895</v>
      </c>
      <c r="D165" s="9"/>
      <c r="E165" s="17" t="s">
        <v>14</v>
      </c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25" t="s">
        <v>131</v>
      </c>
      <c r="E166" s="26" t="s">
        <v>110</v>
      </c>
      <c r="F166" s="18" t="str">
        <f>HYPERLINK("https://www.youtube.com/watch?v=5ij7ZtHfTxI",'Players&gt;List'!$B19)</f>
        <v>[HIT]</v>
      </c>
      <c r="G166" s="18" t="str">
        <f>HYPERLINK("https://www.youtube.com/watch?v=IcVXZ3Yie_s",'Players&gt;List'!$B11)</f>
        <v>[CHB]</v>
      </c>
      <c r="H166" s="1"/>
      <c r="I166" s="1"/>
      <c r="J166" s="1"/>
      <c r="K166" s="1"/>
      <c r="L166" s="1"/>
      <c r="M166" s="1"/>
      <c r="N166" s="1"/>
    </row>
    <row r="167">
      <c r="A167" s="1"/>
      <c r="B167" s="14" t="s">
        <v>3899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4"/>
    </row>
    <row r="168">
      <c r="A168" s="1"/>
      <c r="B168" s="4" t="s">
        <v>3900</v>
      </c>
      <c r="D168" s="9"/>
      <c r="E168" s="17" t="s">
        <v>14</v>
      </c>
      <c r="F168" s="18" t="str">
        <f>HYPERLINK("https://www.youtube.com/watch?v=2y31fTwmaWE",'Players&gt;List'!$B11)</f>
        <v>[CHB]</v>
      </c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25" t="s">
        <v>149</v>
      </c>
      <c r="E169" s="26" t="s">
        <v>90</v>
      </c>
      <c r="F169" s="18" t="str">
        <f>HYPERLINK("https://youtu.be/2y31fTwmaWE?t=9",'Players&gt;List'!$B11)</f>
        <v>[CHB]</v>
      </c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4" t="s">
        <v>3901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4"/>
    </row>
    <row r="171">
      <c r="A171" s="1"/>
      <c r="B171" s="4" t="s">
        <v>3904</v>
      </c>
      <c r="D171" s="9"/>
      <c r="E171" s="17" t="s">
        <v>14</v>
      </c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25" t="s">
        <v>131</v>
      </c>
      <c r="E172" s="26" t="s">
        <v>110</v>
      </c>
      <c r="F172" s="18" t="str">
        <f>HYPERLINK("https://www.youtube.com/watch?v=nMLY8sKokzM",'Players&gt;List'!$B11)</f>
        <v>[CHB]</v>
      </c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4" t="s">
        <v>3908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4"/>
    </row>
    <row r="174">
      <c r="A174" s="1"/>
      <c r="B174" s="4" t="s">
        <v>3910</v>
      </c>
      <c r="D174" s="9"/>
      <c r="E174" s="17" t="s">
        <v>14</v>
      </c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25" t="s">
        <v>2557</v>
      </c>
      <c r="E175" s="26" t="s">
        <v>915</v>
      </c>
      <c r="F175" s="18" t="str">
        <f>HYPERLINK("https://www.youtube.com/watch?v=NfAG_ZumK1Y",'Players&gt;List'!$B19)</f>
        <v>[HIT]</v>
      </c>
      <c r="G175" s="18" t="str">
        <f>HYPERLINK("https://www.youtube.com/watch?v=Hn6pFt7AYYk",'Players&gt;List'!$B15)</f>
        <v>[FNY]</v>
      </c>
      <c r="H175" s="1"/>
      <c r="I175" s="1"/>
      <c r="J175" s="1"/>
      <c r="K175" s="1"/>
      <c r="L175" s="1"/>
      <c r="M175" s="1"/>
      <c r="N175" s="1"/>
    </row>
    <row r="176">
      <c r="A176" s="1"/>
      <c r="B176" s="25" t="s">
        <v>149</v>
      </c>
      <c r="E176" s="26" t="s">
        <v>147</v>
      </c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25" t="s">
        <v>335</v>
      </c>
      <c r="E177" s="26" t="s">
        <v>147</v>
      </c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25" t="s">
        <v>2213</v>
      </c>
      <c r="E178" s="26" t="s">
        <v>147</v>
      </c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25" t="s">
        <v>1147</v>
      </c>
      <c r="E179" s="26" t="s">
        <v>132</v>
      </c>
      <c r="F179" s="18" t="str">
        <f>HYPERLINK("https://www.youtube.com/watch?v=P-REUT6qD3o",'Players&gt;List'!$B15)</f>
        <v>[FNY]</v>
      </c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4" t="s">
        <v>3916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4"/>
    </row>
    <row r="181">
      <c r="A181" s="1"/>
      <c r="B181" s="4" t="s">
        <v>3918</v>
      </c>
      <c r="D181" s="9"/>
      <c r="E181" s="17" t="s">
        <v>14</v>
      </c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25" t="s">
        <v>2557</v>
      </c>
      <c r="E182" s="26" t="s">
        <v>915</v>
      </c>
      <c r="F182" s="18" t="str">
        <f>HYPERLINK("https://www.youtube.com/watch?v=s1t1tB_ri9U",'Players&gt;List'!$B14)</f>
        <v>[ESP]</v>
      </c>
      <c r="G182" s="18" t="str">
        <f>HYPERLINK("https://www.youtube.com/watch?v=cXB3WMZtrKA",'Players&gt;List'!$B19)</f>
        <v>[HIT]</v>
      </c>
      <c r="H182" s="18" t="str">
        <f>HYPERLINK("https://youtu.be/zecPUA8zDZ8",'Players&gt;List'!$B15)</f>
        <v>[FNY]</v>
      </c>
      <c r="I182" s="1"/>
      <c r="J182" s="1"/>
      <c r="K182" s="1"/>
      <c r="L182" s="1"/>
      <c r="M182" s="1"/>
      <c r="N182" s="1"/>
    </row>
    <row r="183">
      <c r="A183" s="1"/>
      <c r="B183" s="25" t="s">
        <v>131</v>
      </c>
      <c r="E183" s="26" t="s">
        <v>132</v>
      </c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4" t="s">
        <v>3925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4"/>
    </row>
    <row r="185">
      <c r="A185" s="1"/>
      <c r="B185" s="4" t="s">
        <v>3926</v>
      </c>
      <c r="D185" s="9"/>
      <c r="E185" s="17" t="s">
        <v>14</v>
      </c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25" t="s">
        <v>1861</v>
      </c>
      <c r="E186" s="26" t="s">
        <v>234</v>
      </c>
      <c r="F186" s="18" t="str">
        <f>HYPERLINK("https://www.youtube.com/watch?v=BtdB284OJyQ",'Players&gt;List'!$B15)</f>
        <v>[FNY]</v>
      </c>
      <c r="G186" s="18" t="str">
        <f>HYPERLINK("https://www.youtube.com/watch?v=rrOxPpuLwPY",'Players&gt;List'!$B11)</f>
        <v>[CHB]</v>
      </c>
      <c r="H186" s="1"/>
      <c r="I186" s="1"/>
      <c r="J186" s="1"/>
      <c r="K186" s="1"/>
      <c r="L186" s="1"/>
      <c r="M186" s="1"/>
      <c r="N186" s="1"/>
    </row>
    <row r="187">
      <c r="A187" s="1"/>
      <c r="B187" s="25" t="s">
        <v>335</v>
      </c>
      <c r="E187" s="26" t="s">
        <v>147</v>
      </c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25" t="s">
        <v>149</v>
      </c>
      <c r="E188" s="26" t="s">
        <v>147</v>
      </c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4" t="s">
        <v>3931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4"/>
    </row>
    <row r="190">
      <c r="A190" s="1"/>
      <c r="B190" s="4" t="s">
        <v>3933</v>
      </c>
      <c r="D190" s="9"/>
      <c r="E190" s="17" t="s">
        <v>14</v>
      </c>
      <c r="F190" s="18" t="str">
        <f>HYPERLINK("https://www.youtube.com/watch?v=lrPjuOZfWEs",'Players&gt;List'!$B11)</f>
        <v>[CHB]</v>
      </c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25" t="s">
        <v>88</v>
      </c>
      <c r="E191" s="26" t="s">
        <v>90</v>
      </c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25" t="s">
        <v>149</v>
      </c>
      <c r="E192" s="26" t="s">
        <v>147</v>
      </c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25" t="s">
        <v>117</v>
      </c>
      <c r="E193" s="26" t="s">
        <v>132</v>
      </c>
      <c r="F193" s="18" t="str">
        <f>HYPERLINK("https://youtu.be/lrPjuOZfWEs?t=14",'Players&gt;List'!$B11)</f>
        <v>[CHB]</v>
      </c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4" t="s">
        <v>3938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4"/>
    </row>
    <row r="195">
      <c r="A195" s="1"/>
      <c r="B195" s="4" t="s">
        <v>3940</v>
      </c>
      <c r="D195" s="9"/>
      <c r="E195" s="17" t="s">
        <v>14</v>
      </c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25" t="s">
        <v>131</v>
      </c>
      <c r="E196" s="26" t="s">
        <v>110</v>
      </c>
      <c r="F196" s="18" t="str">
        <f>HYPERLINK("https://www.youtube.com/watch?v=EGxmE-KpnX4",'Players&gt;List'!$B19)</f>
        <v>[HIT]</v>
      </c>
      <c r="G196" s="18" t="str">
        <f>HYPERLINK("https://www.youtube.com/watch?v=8I_r7-24pTw",'Players&gt;List'!$B11)</f>
        <v>[CHB]</v>
      </c>
      <c r="H196" s="18" t="str">
        <f>HYPERLINK("https://www.youtube.com/watch?v=yoML_aTyfII",'Players&gt;List'!$B25)</f>
        <v>[PBR]</v>
      </c>
      <c r="I196" s="18" t="str">
        <f>HYPERLINK("https://www.youtube.com/watch?v=1CqZM7YaeXE",'Players&gt;List'!$B15)</f>
        <v>[FNY]</v>
      </c>
      <c r="J196" s="1"/>
      <c r="K196" s="1"/>
      <c r="L196" s="1"/>
      <c r="M196" s="1"/>
      <c r="N196" s="1"/>
    </row>
    <row r="197">
      <c r="A197" s="1"/>
      <c r="B197" s="14" t="s">
        <v>3947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4"/>
    </row>
    <row r="198">
      <c r="A198" s="1"/>
      <c r="B198" s="4" t="s">
        <v>3949</v>
      </c>
      <c r="D198" s="9"/>
      <c r="E198" s="17" t="s">
        <v>14</v>
      </c>
      <c r="F198" s="18" t="str">
        <f>HYPERLINK("https://www.youtube.com/watch?v=OGt0aHKOSW0",'Players&gt;List'!$B28)</f>
        <v>[SUN]</v>
      </c>
      <c r="G198" s="18" t="str">
        <f>HYPERLINK("https://www.youtube.com/watch?v=t_4S2_KUgRE",'Players&gt;List'!$B11)</f>
        <v>[CHB]</v>
      </c>
      <c r="H198" s="1"/>
      <c r="I198" s="1"/>
      <c r="J198" s="1"/>
      <c r="K198" s="1"/>
      <c r="L198" s="1"/>
      <c r="M198" s="1"/>
      <c r="N198" s="1"/>
    </row>
    <row r="199">
      <c r="A199" s="1"/>
      <c r="B199" s="25" t="s">
        <v>3559</v>
      </c>
      <c r="E199" s="26" t="s">
        <v>110</v>
      </c>
      <c r="F199" s="18" t="str">
        <f>HYPERLINK("https://www.youtube.com/watch?v=pw6WcCwP5Gc",'Players&gt;List'!$B19)</f>
        <v>[HIT]</v>
      </c>
      <c r="G199" s="18" t="str">
        <f>HYPERLINK("https://www.youtube.com/watch?v=OGt0aHKOSW0",'Players&gt;List'!$B28)</f>
        <v>[SUN]</v>
      </c>
      <c r="H199" s="18" t="str">
        <f>HYPERLINK("https://www.youtube.com/watch?v=t_4S2_KUgRE",'Players&gt;List'!$B11)</f>
        <v>[CHB]</v>
      </c>
      <c r="I199" s="18" t="str">
        <f>HYPERLINK("https://www.youtube.com/watch?v=nUWpQx_gBAE",'Players&gt;List'!$B15)</f>
        <v>[FNY]</v>
      </c>
      <c r="J199" s="1"/>
      <c r="K199" s="1"/>
      <c r="L199" s="1"/>
      <c r="M199" s="1"/>
      <c r="N199" s="1"/>
    </row>
    <row r="200">
      <c r="A200" s="1"/>
      <c r="B200" s="25" t="s">
        <v>197</v>
      </c>
      <c r="E200" s="26" t="s">
        <v>147</v>
      </c>
      <c r="F200" s="18" t="str">
        <f>HYPERLINK("https://www.youtube.com/watch?v=xiIFzxF7MJg",'Players&gt;List'!$B28)</f>
        <v>[SUN]</v>
      </c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25" t="s">
        <v>335</v>
      </c>
      <c r="E201" s="26" t="s">
        <v>147</v>
      </c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25" t="s">
        <v>88</v>
      </c>
      <c r="E202" s="26" t="s">
        <v>147</v>
      </c>
      <c r="F202" s="18" t="str">
        <f>HYPERLINK("https://www.youtube.com/watch?v=I9O7QtQBuiY",'Players&gt;List'!$B28)</f>
        <v>[SUN]</v>
      </c>
      <c r="G202" s="18" t="str">
        <f>HYPERLINK("https://www.youtube.com/watch?v=Cq__0PRFJFk",'Players&gt;List'!$B11)</f>
        <v>[CHB]</v>
      </c>
      <c r="H202" s="1"/>
      <c r="I202" s="1"/>
      <c r="J202" s="1"/>
      <c r="K202" s="1"/>
      <c r="L202" s="1"/>
      <c r="M202" s="1"/>
      <c r="N202" s="1"/>
    </row>
    <row r="203">
      <c r="A203" s="1"/>
      <c r="B203" s="14" t="s">
        <v>3959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4"/>
    </row>
    <row r="204">
      <c r="A204" s="1"/>
      <c r="B204" s="4" t="s">
        <v>3961</v>
      </c>
      <c r="D204" s="9"/>
      <c r="E204" s="17" t="s">
        <v>14</v>
      </c>
      <c r="F204" s="18" t="str">
        <f>HYPERLINK("https://www.youtube.com/watch?v=huhe31pJgD0",'Players&gt;List'!$B11)</f>
        <v>[CHB]</v>
      </c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25" t="s">
        <v>335</v>
      </c>
      <c r="E205" s="26" t="s">
        <v>90</v>
      </c>
      <c r="F205" s="18" t="str">
        <f>HYPERLINK("https://www.youtube.com/watch?v=Clk-f-8-Gyk",'Players&gt;List'!$B11)</f>
        <v>[CHB]</v>
      </c>
      <c r="G205" s="18" t="str">
        <f>HYPERLINK("https://www.youtube.com/watch?v=4zAW4X-tmd0",'Players&gt;List'!$B15)</f>
        <v>[FNY]</v>
      </c>
      <c r="H205" s="1"/>
      <c r="I205" s="1"/>
      <c r="J205" s="1"/>
      <c r="K205" s="1"/>
      <c r="L205" s="1"/>
      <c r="M205" s="1"/>
      <c r="N205" s="1"/>
    </row>
    <row r="206">
      <c r="A206" s="1"/>
      <c r="B206" s="25" t="s">
        <v>1147</v>
      </c>
      <c r="E206" s="26" t="s">
        <v>132</v>
      </c>
      <c r="F206" s="18" t="str">
        <f>HYPERLINK("https://youtu.be/huhe31pJgD0?t=19",'Players&gt;List'!$B11)</f>
        <v>[CHB]</v>
      </c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25" t="s">
        <v>149</v>
      </c>
      <c r="E207" s="26" t="s">
        <v>147</v>
      </c>
      <c r="F207" s="18" t="str">
        <f>HYPERLINK("https://www.youtube.com/watch?v=5p_3Xg_-BkQ",'Players&gt;List'!$B11)</f>
        <v>[CHB]</v>
      </c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4" t="s">
        <v>3967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4"/>
    </row>
    <row r="209">
      <c r="A209" s="1"/>
      <c r="B209" s="4" t="s">
        <v>3968</v>
      </c>
      <c r="D209" s="9"/>
      <c r="E209" s="17" t="s">
        <v>14</v>
      </c>
      <c r="F209" s="18" t="str">
        <f>HYPERLINK("https://www.youtube.com/watch?v=FqTZAwcDzqs",'Players&gt;List'!$B11)</f>
        <v>[CHB]</v>
      </c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25" t="s">
        <v>88</v>
      </c>
      <c r="E210" s="26" t="s">
        <v>90</v>
      </c>
      <c r="F210" s="18" t="str">
        <f>HYPERLINK("https://www.youtube.com/watch?v=kOpCiHk1C_Y",'Players&gt;List'!$B19)</f>
        <v>[HIT]</v>
      </c>
      <c r="G210" s="18" t="str">
        <f>HYPERLINK("https://www.youtube.com/watch?v=B3xPixfSexE",'Players&gt;List'!$B11)</f>
        <v>[CHB]</v>
      </c>
      <c r="H210" s="18" t="str">
        <f>HYPERLINK("https://www.youtube.com/watch?v=9AUvRqxKOIo",'Players&gt;List'!$B15)</f>
        <v>[FNY]</v>
      </c>
      <c r="I210" s="1"/>
      <c r="J210" s="1"/>
      <c r="K210" s="1"/>
      <c r="L210" s="1"/>
      <c r="M210" s="1"/>
      <c r="N210" s="1"/>
    </row>
    <row r="211">
      <c r="A211" s="1"/>
      <c r="B211" s="14" t="s">
        <v>3972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4"/>
    </row>
    <row r="212">
      <c r="A212" s="1"/>
      <c r="B212" s="4" t="s">
        <v>3974</v>
      </c>
      <c r="D212" s="9"/>
      <c r="E212" s="17" t="s">
        <v>14</v>
      </c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25" t="s">
        <v>131</v>
      </c>
      <c r="E213" s="26" t="s">
        <v>110</v>
      </c>
      <c r="F213" s="18" t="str">
        <f>HYPERLINK("https://www.youtube.com/watch?v=1doAIjq0Ufw",'Players&gt;List'!$B11)</f>
        <v>[CHB]</v>
      </c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4" t="s">
        <v>3975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4"/>
    </row>
    <row r="215">
      <c r="A215" s="1"/>
      <c r="B215" s="4" t="s">
        <v>3977</v>
      </c>
      <c r="D215" s="9"/>
      <c r="E215" s="17" t="s">
        <v>14</v>
      </c>
      <c r="F215" s="18" t="str">
        <f>HYPERLINK("https://www.youtube.com/watch?v=l-w9Fh1_tKM",'Players&gt;List'!$B19)</f>
        <v>[HIT]</v>
      </c>
      <c r="G215" s="18" t="str">
        <f>HYPERLINK("https://www.youtube.com/watch?v=bUtT1bh9-a8",'Players&gt;List'!$B14)</f>
        <v>[ESP]</v>
      </c>
      <c r="H215" s="18" t="str">
        <f>HYPERLINK("https://www.youtube.com/watch?v=Em3qgmlOjY4",'Players&gt;List'!$B15)</f>
        <v>[FNY]</v>
      </c>
      <c r="I215" s="1"/>
      <c r="J215" s="1"/>
      <c r="K215" s="1"/>
      <c r="L215" s="1"/>
      <c r="M215" s="1"/>
      <c r="N215" s="1"/>
    </row>
    <row r="216">
      <c r="A216" s="1"/>
      <c r="B216" s="25" t="s">
        <v>1147</v>
      </c>
      <c r="E216" s="26" t="s">
        <v>110</v>
      </c>
      <c r="F216" s="18" t="str">
        <f>HYPERLINK("https://www.youtube.com/watch?v=96fB8jpGRGQ",'Players&gt;List'!$B20)</f>
        <v>[KOS]</v>
      </c>
      <c r="G216" s="18" t="str">
        <f>HYPERLINK("https://www.youtube.com/watch?v=ngxuadvGzpA",'Players&gt;List'!$B8)</f>
        <v>[ABA]</v>
      </c>
      <c r="H216" s="18" t="str">
        <f>HYPERLINK("https://www.youtube.com/watch?v=LXDSXFqM7Rs",'Players&gt;List'!$B19)</f>
        <v>[HIT]</v>
      </c>
      <c r="I216" s="18" t="str">
        <f>HYPERLINK("https://www.youtube.com/watch?v=N0EgUYnLKYw",'Players&gt;List'!$B15)</f>
        <v>[FNY]</v>
      </c>
      <c r="J216" s="1"/>
      <c r="K216" s="1"/>
      <c r="L216" s="1"/>
      <c r="M216" s="1"/>
      <c r="N216" s="1"/>
    </row>
    <row r="217">
      <c r="A217" s="1"/>
      <c r="B217" s="25" t="s">
        <v>649</v>
      </c>
      <c r="E217" s="26" t="s">
        <v>147</v>
      </c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25" t="s">
        <v>2754</v>
      </c>
      <c r="E218" s="26" t="s">
        <v>132</v>
      </c>
      <c r="F218" s="18" t="str">
        <f>HYPERLINK("https://www.youtube.com/watch?v=2AEJL_Rp3Is",'Players&gt;List'!$B20)</f>
        <v>[KOS]</v>
      </c>
      <c r="G218" s="18" t="str">
        <f>HYPERLINK("https://www.youtube.com/watch?v=R-5kI2eNX6w",'Players&gt;List'!$B19)</f>
        <v>[HIT]</v>
      </c>
      <c r="H218" s="18" t="str">
        <f>HYPERLINK("https://www.youtube.com/watch?v=Em3qgmlOjY4",'Players&gt;List'!$B15)</f>
        <v>[FNY]</v>
      </c>
      <c r="I218" s="1"/>
      <c r="J218" s="1"/>
      <c r="K218" s="1"/>
      <c r="L218" s="1"/>
      <c r="M218" s="1"/>
      <c r="N218" s="1"/>
    </row>
    <row r="219">
      <c r="A219" s="1"/>
      <c r="B219" s="14" t="s">
        <v>3989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4"/>
    </row>
    <row r="220">
      <c r="A220" s="1"/>
      <c r="B220" s="4" t="s">
        <v>3990</v>
      </c>
      <c r="D220" s="9"/>
      <c r="E220" s="17" t="s">
        <v>14</v>
      </c>
      <c r="F220" s="18" t="str">
        <f>HYPERLINK("https://www.youtube.com/watch?v=_vBUSbdWNiM",'Players&gt;List'!$B23)</f>
        <v>[MOL]</v>
      </c>
      <c r="G220" s="18" t="str">
        <f>HYPERLINK("https://www.youtube.com/watch?v=AnO1Bsnd69A",'Players&gt;List'!$B11)</f>
        <v>[CHB]</v>
      </c>
      <c r="H220" s="1"/>
      <c r="I220" s="1"/>
      <c r="J220" s="1"/>
      <c r="K220" s="1"/>
      <c r="L220" s="1"/>
      <c r="M220" s="1"/>
      <c r="N220" s="1"/>
    </row>
    <row r="221">
      <c r="A221" s="1"/>
      <c r="B221" s="25" t="s">
        <v>149</v>
      </c>
      <c r="E221" s="26" t="s">
        <v>90</v>
      </c>
      <c r="F221" s="18" t="str">
        <f>HYPERLINK("https://youtu.be/__wIiIyEckM",'Players&gt;List'!$B15)</f>
        <v>[FNY]</v>
      </c>
      <c r="G221" s="18" t="str">
        <f>HYPERLINK("https://www.youtube.com/watch?v=AnO1Bsnd69A",'Players&gt;List'!$B11)</f>
        <v>[CHB]</v>
      </c>
      <c r="H221" s="1"/>
      <c r="I221" s="1"/>
      <c r="J221" s="1"/>
      <c r="K221" s="1"/>
      <c r="L221" s="1"/>
      <c r="M221" s="1"/>
      <c r="N221" s="1"/>
    </row>
    <row r="222">
      <c r="A222" s="1"/>
      <c r="B222" s="25" t="s">
        <v>88</v>
      </c>
      <c r="E222" s="26" t="s">
        <v>147</v>
      </c>
      <c r="F222" s="18" t="str">
        <f>HYPERLINK("https://www.youtube.com/watch?v=IRekeC7sTlQ",'Players&gt;List'!$B19)</f>
        <v>[HIT]</v>
      </c>
      <c r="G222" s="18" t="str">
        <f>HYPERLINK("https://youtu.be/eMGl7_X9qMw",'Players&gt;List'!$B15)</f>
        <v>[FNY]</v>
      </c>
      <c r="H222" s="18" t="str">
        <f>HYPERLINK("https://www.youtube.com/watch?v=4QstgwedMFE",'Players&gt;List'!$B11)</f>
        <v>[CHB]</v>
      </c>
      <c r="I222" s="1"/>
      <c r="J222" s="1"/>
      <c r="K222" s="1"/>
      <c r="L222" s="1"/>
      <c r="M222" s="1"/>
      <c r="N222" s="1"/>
    </row>
    <row r="223">
      <c r="A223" s="1"/>
      <c r="B223" s="25" t="s">
        <v>335</v>
      </c>
      <c r="E223" s="26" t="s">
        <v>147</v>
      </c>
      <c r="F223" s="18" t="str">
        <f>HYPERLINK("https://youtu.be/__wIiIyEckM",'Players&gt;List'!$B15)</f>
        <v>[FNY]</v>
      </c>
      <c r="G223" s="18" t="str">
        <f>HYPERLINK("https://www.youtube.com/watch?v=AnO1Bsnd69A",'Players&gt;List'!$B11)</f>
        <v>[CHB]</v>
      </c>
      <c r="H223" s="1"/>
      <c r="I223" s="1"/>
      <c r="J223" s="1"/>
      <c r="K223" s="1"/>
      <c r="L223" s="1"/>
      <c r="M223" s="1"/>
      <c r="N223" s="1"/>
    </row>
    <row r="224">
      <c r="A224" s="1"/>
      <c r="B224" s="14" t="s">
        <v>3999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4"/>
    </row>
    <row r="225">
      <c r="A225" s="1"/>
      <c r="B225" s="4" t="s">
        <v>4000</v>
      </c>
      <c r="D225" s="9"/>
      <c r="E225" s="17" t="s">
        <v>14</v>
      </c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25" t="s">
        <v>2557</v>
      </c>
      <c r="E226" s="26" t="s">
        <v>915</v>
      </c>
      <c r="F226" s="18" t="str">
        <f>HYPERLINK("https://www.youtube.com/watch?v=BEwft5E94PY",'Players&gt;List'!$B19)</f>
        <v>[HIT]</v>
      </c>
      <c r="G226" s="18" t="str">
        <f>HYPERLINK("https://youtu.be/0Efv4bYbIl4",'Players&gt;List'!$B15)</f>
        <v>[FNY]</v>
      </c>
      <c r="H226" s="18" t="str">
        <f>HYPERLINK("https://www.youtube.com/watch?v=ioX-5WUijDU",'Players&gt;List'!$B11)</f>
        <v>[CHB]</v>
      </c>
      <c r="I226" s="1"/>
      <c r="J226" s="1"/>
      <c r="K226" s="1"/>
      <c r="L226" s="1"/>
      <c r="M226" s="1"/>
      <c r="N226" s="1"/>
    </row>
    <row r="227">
      <c r="A227" s="1"/>
      <c r="B227" s="25" t="s">
        <v>108</v>
      </c>
      <c r="E227" s="26" t="s">
        <v>132</v>
      </c>
      <c r="F227" s="18" t="str">
        <f>HYPERLINK("https://www.youtube.com/watch?v=bCDKiJsueaQ",'Players&gt;List'!$B11)</f>
        <v>[CHB]</v>
      </c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4" t="s">
        <v>4008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4"/>
    </row>
    <row r="229">
      <c r="A229" s="1"/>
      <c r="B229" s="4" t="s">
        <v>4011</v>
      </c>
      <c r="D229" s="9"/>
      <c r="E229" s="17" t="s">
        <v>14</v>
      </c>
      <c r="F229" s="18" t="str">
        <f>HYPERLINK("https://www.youtube.com/watch?v=oaQy9mCtNkg",'Players&gt;List'!$B19)</f>
        <v>[HIT]</v>
      </c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25" t="s">
        <v>2493</v>
      </c>
      <c r="E230" s="26" t="s">
        <v>380</v>
      </c>
      <c r="F230" s="18" t="str">
        <f>HYPERLINK("https://www.youtube.com/watch?v=z07zhuXjsVo",'Players&gt;List'!$B19)</f>
        <v>[HIT]</v>
      </c>
      <c r="G230" s="18" t="str">
        <f>HYPERLINK("https://www.youtube.com/watch?v=uiibhCCTLs0",'Players&gt;List'!$B15)</f>
        <v>[FNY]</v>
      </c>
      <c r="H230" s="1"/>
      <c r="I230" s="1"/>
      <c r="J230" s="1"/>
      <c r="K230" s="1"/>
      <c r="L230" s="1"/>
      <c r="M230" s="1"/>
      <c r="N230" s="1"/>
    </row>
    <row r="231">
      <c r="A231" s="1"/>
      <c r="B231" s="25" t="s">
        <v>88</v>
      </c>
      <c r="E231" s="26" t="s">
        <v>147</v>
      </c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25" t="s">
        <v>149</v>
      </c>
      <c r="E232" s="26" t="s">
        <v>147</v>
      </c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25" t="s">
        <v>335</v>
      </c>
      <c r="E233" s="26" t="s">
        <v>147</v>
      </c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4" t="s">
        <v>4017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4"/>
    </row>
    <row r="235">
      <c r="A235" s="1"/>
      <c r="B235" s="4" t="s">
        <v>4019</v>
      </c>
      <c r="D235" s="9"/>
      <c r="E235" s="17" t="s">
        <v>14</v>
      </c>
      <c r="F235" s="18" t="str">
        <f>HYPERLINK("https://www.youtube.com/watch?v=I1xdacwrcA8",'Players&gt;List'!$B28)</f>
        <v>[SUN]</v>
      </c>
      <c r="G235" s="18" t="str">
        <f>HYPERLINK("https://www.youtube.com/watch?v=9bq-XR8qN3I",'Players&gt;List'!$B11)</f>
        <v>[CHB]</v>
      </c>
      <c r="H235" s="1"/>
      <c r="I235" s="1"/>
      <c r="J235" s="1"/>
      <c r="K235" s="1"/>
      <c r="L235" s="1"/>
      <c r="M235" s="1"/>
      <c r="N235" s="1"/>
    </row>
    <row r="236">
      <c r="A236" s="1"/>
      <c r="B236" s="25" t="s">
        <v>117</v>
      </c>
      <c r="E236" s="26" t="s">
        <v>110</v>
      </c>
      <c r="F236" s="18" t="str">
        <f>HYPERLINK("https://www.youtube.com/watch?v=w0sHkgt9Q4k",'Players&gt;List'!$B28)</f>
        <v>[SUN]</v>
      </c>
      <c r="G236" s="18" t="str">
        <f>HYPERLINK("https://www.youtube.com/watch?v=nS0vsTQ1IrU",'Players&gt;List'!$B11)</f>
        <v>[CHB]</v>
      </c>
      <c r="H236" s="1"/>
      <c r="I236" s="1"/>
      <c r="J236" s="1"/>
      <c r="K236" s="1"/>
      <c r="L236" s="1"/>
      <c r="M236" s="1"/>
      <c r="N236" s="1"/>
    </row>
    <row r="237">
      <c r="A237" s="1"/>
      <c r="B237" s="14" t="s">
        <v>4021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4"/>
    </row>
    <row r="238">
      <c r="A238" s="1"/>
      <c r="B238" s="4" t="s">
        <v>4022</v>
      </c>
      <c r="D238" s="9"/>
      <c r="E238" s="17" t="s">
        <v>14</v>
      </c>
      <c r="F238" s="18" t="str">
        <f>HYPERLINK("https://www.youtube.com/watch?v=Q1LdtaVCfas",'Players&gt;List'!$B19)</f>
        <v>[HIT]</v>
      </c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25" t="s">
        <v>88</v>
      </c>
      <c r="E239" s="26" t="s">
        <v>90</v>
      </c>
      <c r="F239" s="18" t="str">
        <f>HYPERLINK("https://www.youtube.com/watch?v=utXWRXCE9Ro",'Players&gt;List'!$B15)</f>
        <v>[FNY]</v>
      </c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4" t="s">
        <v>4027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4"/>
    </row>
    <row r="241">
      <c r="A241" s="1"/>
      <c r="B241" s="4" t="s">
        <v>4028</v>
      </c>
      <c r="D241" s="9"/>
      <c r="E241" s="17" t="s">
        <v>14</v>
      </c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25" t="s">
        <v>131</v>
      </c>
      <c r="E242" s="26" t="s">
        <v>110</v>
      </c>
      <c r="F242" s="18" t="str">
        <f>HYPERLINK("https://www.youtube.com/watch?v=UtcZEHM9HHo",'Players&gt;List'!$B19)</f>
        <v>[HIT]</v>
      </c>
      <c r="G242" s="18" t="str">
        <f>HYPERLINK("https://www.youtube.com/watch?v=hvi2T6NAhsE",'Players&gt;List'!$B14)</f>
        <v>[ESP]</v>
      </c>
      <c r="H242" s="18" t="str">
        <f>HYPERLINK("https://youtu.be/LGxk-tuHpu0",'Players&gt;List'!$B15)</f>
        <v>[FNY]</v>
      </c>
      <c r="I242" s="18" t="str">
        <f>HYPERLINK("https://www.youtube.com/watch?v=kNk5QJgtRBU",'Players&gt;List'!$B11)</f>
        <v>[CHB]</v>
      </c>
      <c r="J242" s="1"/>
      <c r="K242" s="1"/>
      <c r="L242" s="1"/>
      <c r="M242" s="1"/>
      <c r="N242" s="1"/>
    </row>
    <row r="243">
      <c r="A243" s="1"/>
      <c r="B243" s="14" t="s">
        <v>4033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4"/>
    </row>
    <row r="244">
      <c r="A244" s="1"/>
      <c r="B244" s="4" t="s">
        <v>4034</v>
      </c>
      <c r="D244" s="9"/>
      <c r="E244" s="17" t="s">
        <v>14</v>
      </c>
      <c r="F244" s="18" t="str">
        <f>HYPERLINK("https://www.youtube.com/watch?v=-8QLzwysAwQ",'Players&gt;List'!$B19)</f>
        <v>[HIT]</v>
      </c>
      <c r="G244" s="18" t="str">
        <f>HYPERLINK("https://youtu.be/wIsrBgLsnao",'Players&gt;List'!$B15)</f>
        <v>[FNY]</v>
      </c>
      <c r="H244" s="18" t="str">
        <f>HYPERLINK("https://www.youtube.com/watch?v=44FxLU_5Qfc",'Players&gt;List'!$B11)</f>
        <v>[CHB]</v>
      </c>
      <c r="I244" s="1"/>
      <c r="J244" s="1"/>
      <c r="K244" s="1"/>
      <c r="L244" s="1"/>
      <c r="M244" s="1"/>
      <c r="N244" s="1"/>
    </row>
    <row r="245">
      <c r="A245" s="1"/>
      <c r="B245" s="25" t="s">
        <v>149</v>
      </c>
      <c r="E245" s="26" t="s">
        <v>90</v>
      </c>
      <c r="F245" s="18" t="str">
        <f>HYPERLINK("https://youtu.be/wIsrBgLsnao",'Players&gt;List'!$B15)</f>
        <v>[FNY]</v>
      </c>
      <c r="G245" s="18" t="str">
        <f>HYPERLINK("https://www.youtube.com/watch?v=etLtXOcr3JY",'Players&gt;List'!$B11)</f>
        <v>[CHB]</v>
      </c>
      <c r="H245" s="1"/>
      <c r="I245" s="1"/>
      <c r="J245" s="1"/>
      <c r="K245" s="1"/>
      <c r="L245" s="1"/>
      <c r="M245" s="1"/>
      <c r="N245" s="1"/>
    </row>
    <row r="246">
      <c r="A246" s="1"/>
      <c r="B246" s="14" t="s">
        <v>4038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4"/>
    </row>
    <row r="247">
      <c r="A247" s="1"/>
      <c r="B247" s="4" t="s">
        <v>4040</v>
      </c>
      <c r="D247" s="9"/>
      <c r="E247" s="17" t="s">
        <v>14</v>
      </c>
      <c r="F247" s="18" t="str">
        <f>HYPERLINK("https://www.youtube.com/watch?v=ghmfCyxljbw",'Players&gt;List'!$B11)</f>
        <v>[CHB]</v>
      </c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25" t="s">
        <v>117</v>
      </c>
      <c r="E248" s="26" t="s">
        <v>110</v>
      </c>
      <c r="F248" s="18" t="str">
        <f>HYPERLINK("https://www.youtube.com/watch?v=91V61h64G2Q",'Players&gt;List'!$B19)</f>
        <v>[HIT]</v>
      </c>
      <c r="G248" s="18" t="str">
        <f>HYPERLINK("https://www.youtube.com/watch?v=pETTvLM7iiw",'Players&gt;List'!$B11)</f>
        <v>[CHB]</v>
      </c>
      <c r="H248" s="1"/>
      <c r="I248" s="1"/>
      <c r="J248" s="1"/>
      <c r="K248" s="1"/>
      <c r="L248" s="1"/>
      <c r="M248" s="1"/>
      <c r="N248" s="1"/>
    </row>
    <row r="249">
      <c r="A249" s="1"/>
      <c r="B249" s="14" t="s">
        <v>4043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4"/>
    </row>
    <row r="250">
      <c r="A250" s="1"/>
      <c r="B250" s="4" t="s">
        <v>4044</v>
      </c>
      <c r="D250" s="9"/>
      <c r="E250" s="17" t="s">
        <v>14</v>
      </c>
      <c r="F250" s="18" t="str">
        <f>HYPERLINK("https://www.youtube.com/watch?v=PFMBHVprvrE",'Players&gt;List'!$B11)</f>
        <v>[CHB]</v>
      </c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25" t="s">
        <v>1240</v>
      </c>
      <c r="E251" s="26" t="s">
        <v>110</v>
      </c>
      <c r="F251" s="18" t="str">
        <f>HYPERLINK("https://www.youtube.com/watch?v=gydGY7cFJGM",'Players&gt;List'!$B19)</f>
        <v>[HIT]</v>
      </c>
      <c r="G251" s="18" t="str">
        <f>HYPERLINK("https://www.youtube.com/watch?v=sv3Gzn4Pt1w",'Players&gt;List'!$B11)</f>
        <v>[CHB]</v>
      </c>
      <c r="H251" s="1"/>
      <c r="I251" s="1"/>
      <c r="J251" s="1"/>
      <c r="K251" s="1"/>
      <c r="L251" s="1"/>
      <c r="M251" s="1"/>
      <c r="N251" s="1"/>
    </row>
    <row r="252">
      <c r="A252" s="1"/>
      <c r="B252" s="14" t="s">
        <v>4049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4"/>
    </row>
    <row r="253">
      <c r="A253" s="1"/>
      <c r="B253" s="4" t="s">
        <v>4052</v>
      </c>
      <c r="D253" s="9"/>
      <c r="E253" s="17" t="s">
        <v>14</v>
      </c>
      <c r="F253" s="18" t="str">
        <f>HYPERLINK("https://www.youtube.com/watch?v=Emf1i5TPHlw",'Players&gt;List'!$B11)</f>
        <v>[CHB]</v>
      </c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25" t="s">
        <v>149</v>
      </c>
      <c r="E254" s="26" t="s">
        <v>90</v>
      </c>
      <c r="F254" s="18" t="str">
        <f>HYPERLINK("https://www.youtube.com/watch?v=Emf1i5TPHlw",'Players&gt;List'!$B11)</f>
        <v>[CHB]</v>
      </c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4" t="s">
        <v>4057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4"/>
    </row>
    <row r="256">
      <c r="A256" s="1"/>
      <c r="B256" s="4" t="s">
        <v>4058</v>
      </c>
      <c r="D256" s="9"/>
      <c r="E256" s="17" t="s">
        <v>14</v>
      </c>
      <c r="F256" s="18" t="str">
        <f>HYPERLINK("https://www.youtube.com/watch?v=qtS3rKOt-I4",'Players&gt;List'!$B11)</f>
        <v>[CHB]</v>
      </c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25" t="s">
        <v>88</v>
      </c>
      <c r="E257" s="26" t="s">
        <v>90</v>
      </c>
      <c r="F257" s="18" t="str">
        <f>HYPERLINK("https://www.youtube.com/watch?v=GfHVBNq4mBg",'Players&gt;List'!$B11)</f>
        <v>[CHB]</v>
      </c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25" t="s">
        <v>149</v>
      </c>
      <c r="E258" s="26" t="s">
        <v>147</v>
      </c>
      <c r="F258" s="18" t="str">
        <f>HYPERLINK("https://www.youtube.com/watch?v=qtS3rKOt-I4",'Players&gt;List'!$B11)</f>
        <v>[CHB]</v>
      </c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4" t="s">
        <v>4061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4"/>
    </row>
    <row r="260">
      <c r="A260" s="1"/>
      <c r="B260" s="4" t="s">
        <v>4063</v>
      </c>
      <c r="D260" s="9"/>
      <c r="E260" s="17" t="s">
        <v>14</v>
      </c>
      <c r="F260" s="18" t="str">
        <f>HYPERLINK("https://www.youtube.com/watch?v=R__Z8NsM4jc",'Players&gt;List'!$B11)</f>
        <v>[CHB]</v>
      </c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25" t="s">
        <v>457</v>
      </c>
      <c r="E261" s="26" t="s">
        <v>110</v>
      </c>
      <c r="F261" s="18" t="str">
        <f>HYPERLINK("https://youtu.be/R__Z8NsM4jc?t=17",'Players&gt;List'!$B11)</f>
        <v>[CHB]</v>
      </c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4" t="s">
        <v>4066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4"/>
    </row>
    <row r="263">
      <c r="A263" s="1"/>
      <c r="B263" s="4" t="s">
        <v>4069</v>
      </c>
      <c r="D263" s="9"/>
      <c r="E263" s="17" t="s">
        <v>14</v>
      </c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25" t="s">
        <v>131</v>
      </c>
      <c r="E264" s="26" t="s">
        <v>110</v>
      </c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25" t="s">
        <v>157</v>
      </c>
      <c r="E265" s="26" t="s">
        <v>132</v>
      </c>
      <c r="F265" s="18" t="str">
        <f>HYPERLINK("https://www.youtube.com/watch?v=akczDYM3aQU",'Players&gt;List'!$B19)</f>
        <v>[HIT]</v>
      </c>
      <c r="G265" s="18" t="str">
        <f>HYPERLINK("https://youtu.be/v-wQDF-U6Ic",'Players&gt;List'!$B15)</f>
        <v>[FNY]</v>
      </c>
      <c r="H265" s="1"/>
      <c r="I265" s="1"/>
      <c r="J265" s="1"/>
      <c r="K265" s="1"/>
      <c r="L265" s="1"/>
      <c r="M265" s="1"/>
      <c r="N265" s="1"/>
    </row>
    <row r="266">
      <c r="A266" s="1"/>
      <c r="B266" s="14" t="s">
        <v>4071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4"/>
    </row>
    <row r="267">
      <c r="A267" s="1"/>
      <c r="B267" s="4" t="s">
        <v>4073</v>
      </c>
      <c r="D267" s="9"/>
      <c r="E267" s="17" t="s">
        <v>14</v>
      </c>
      <c r="F267" s="18" t="str">
        <f>HYPERLINK("https://www.youtube.com/watch?v=lW9r_tAPZLc",'Players&gt;List'!$B28)</f>
        <v>[SUN]</v>
      </c>
      <c r="G267" s="18" t="str">
        <f>HYPERLINK("https://www.youtube.com/watch?v=mniQqMKQ0i0",'Players&gt;List'!$B11)</f>
        <v>[CHB]</v>
      </c>
      <c r="H267" s="1"/>
      <c r="I267" s="1"/>
      <c r="J267" s="1"/>
      <c r="K267" s="1"/>
      <c r="L267" s="1"/>
      <c r="M267" s="1"/>
      <c r="N267" s="1"/>
    </row>
    <row r="268">
      <c r="A268" s="1"/>
      <c r="B268" s="25" t="s">
        <v>502</v>
      </c>
      <c r="E268" s="26" t="s">
        <v>234</v>
      </c>
      <c r="F268" s="18" t="str">
        <f>HYPERLINK("https://www.youtube.com/watch?v=zJ32kmgDQSQ",'Players&gt;List'!$B23)</f>
        <v>[MOL]</v>
      </c>
      <c r="G268" s="18" t="str">
        <f>HYPERLINK("https://www.youtube.com/watch?v=zjJxUqChlUo",'Players&gt;List'!$B11)</f>
        <v>[CHB]</v>
      </c>
      <c r="H268" s="1"/>
      <c r="I268" s="1"/>
      <c r="J268" s="1"/>
      <c r="K268" s="1"/>
      <c r="L268" s="1"/>
      <c r="M268" s="1"/>
      <c r="N268" s="1"/>
    </row>
    <row r="269">
      <c r="A269" s="1"/>
      <c r="B269" s="14" t="s">
        <v>4078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4"/>
    </row>
    <row r="270">
      <c r="A270" s="1"/>
      <c r="B270" s="4" t="s">
        <v>4080</v>
      </c>
      <c r="D270" s="9"/>
      <c r="E270" s="17" t="s">
        <v>14</v>
      </c>
      <c r="F270" s="18" t="str">
        <f>HYPERLINK("https://www.youtube.com/watch?v=z41uu-z-Cjw",'Players&gt;List'!$B11)</f>
        <v>[CHB]</v>
      </c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25" t="s">
        <v>88</v>
      </c>
      <c r="E271" s="26" t="s">
        <v>90</v>
      </c>
      <c r="F271" s="18" t="str">
        <f>HYPERLINK("https://youtu.be/z41uu-z-Cjw?t=13",'Players&gt;List'!$B11)</f>
        <v>[CHB]</v>
      </c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4" t="s">
        <v>4081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4"/>
    </row>
    <row r="273">
      <c r="A273" s="1"/>
      <c r="B273" s="4" t="s">
        <v>4082</v>
      </c>
      <c r="D273" s="9"/>
      <c r="E273" s="17" t="s">
        <v>14</v>
      </c>
      <c r="F273" s="18" t="str">
        <f>HYPERLINK("https://www.youtube.com/watch?v=8nV632bsSOo",'Players&gt;List'!$B11)</f>
        <v>[CHB]</v>
      </c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25" t="s">
        <v>88</v>
      </c>
      <c r="E274" s="26" t="s">
        <v>90</v>
      </c>
      <c r="F274" s="18" t="str">
        <f>HYPERLINK("https://www.youtube.com/watch?v=idm8OJvkmk8",'Players&gt;List'!$B11)</f>
        <v>[CHB]</v>
      </c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4" t="s">
        <v>4089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4"/>
    </row>
    <row r="276">
      <c r="A276" s="1"/>
      <c r="B276" s="4" t="s">
        <v>4090</v>
      </c>
      <c r="D276" s="9"/>
      <c r="E276" s="17" t="s">
        <v>14</v>
      </c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25" t="s">
        <v>149</v>
      </c>
      <c r="E277" s="26" t="s">
        <v>90</v>
      </c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25" t="s">
        <v>88</v>
      </c>
      <c r="E278" s="26" t="s">
        <v>147</v>
      </c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25" t="s">
        <v>649</v>
      </c>
      <c r="E279" s="26" t="s">
        <v>147</v>
      </c>
      <c r="F279" s="18" t="str">
        <f>HYPERLINK("https://www.youtube.com/watch?v=y69Lja01M_w",'Players&gt;List'!$B19)</f>
        <v>[HIT]</v>
      </c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4" t="s">
        <v>4093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4"/>
    </row>
    <row r="281">
      <c r="A281" s="1"/>
      <c r="B281" s="4" t="s">
        <v>4094</v>
      </c>
      <c r="D281" s="9"/>
      <c r="E281" s="17" t="s">
        <v>14</v>
      </c>
      <c r="F281" s="18" t="str">
        <f>HYPERLINK("https://www.youtube.com/watch?v=9XMdyBokR3Y",'Players&gt;List'!$B11)</f>
        <v>[CHB]</v>
      </c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25" t="s">
        <v>649</v>
      </c>
      <c r="E282" s="26" t="s">
        <v>90</v>
      </c>
      <c r="F282" s="18" t="str">
        <f>HYPERLINK("https://www.youtube.com/watch?v=uAibjSOOY5c",'Players&gt;List'!$B11)</f>
        <v>[CHB]</v>
      </c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25" t="s">
        <v>88</v>
      </c>
      <c r="E283" s="26" t="s">
        <v>147</v>
      </c>
      <c r="F283" s="18" t="str">
        <f>HYPERLINK("https://www.youtube.com/watch?v=U9BcucSHxR4",'Players&gt;List'!$B19)</f>
        <v>[HIT]</v>
      </c>
      <c r="G283" s="18" t="str">
        <f>HYPERLINK("https://www.youtube.com/watch?v=BzojFtttT5w",'Players&gt;List'!$B11)</f>
        <v>[CHB]</v>
      </c>
      <c r="H283" s="1"/>
      <c r="I283" s="1"/>
      <c r="J283" s="1"/>
      <c r="K283" s="1"/>
      <c r="L283" s="1"/>
      <c r="M283" s="1"/>
      <c r="N283" s="1"/>
    </row>
    <row r="284">
      <c r="A284" s="1"/>
      <c r="B284" s="14" t="s">
        <v>4101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4"/>
    </row>
    <row r="285">
      <c r="A285" s="1"/>
      <c r="B285" s="4" t="s">
        <v>4102</v>
      </c>
      <c r="D285" s="9"/>
      <c r="E285" s="17" t="s">
        <v>14</v>
      </c>
      <c r="F285" s="18" t="str">
        <f>HYPERLINK("https://www.youtube.com/watch?v=SaWDOLtDKco",'Players&gt;List'!$B28)</f>
        <v>[SUN]</v>
      </c>
      <c r="G285" s="18" t="str">
        <f>HYPERLINK("https://www.youtube.com/watch?v=nOimUHu8ER8",'Players&gt;List'!$B11)</f>
        <v>[CHB]</v>
      </c>
      <c r="H285" s="1"/>
      <c r="I285" s="1"/>
      <c r="J285" s="1"/>
      <c r="K285" s="1"/>
      <c r="L285" s="1"/>
      <c r="M285" s="1"/>
      <c r="N285" s="1"/>
    </row>
    <row r="286">
      <c r="A286" s="1"/>
      <c r="B286" s="25" t="s">
        <v>88</v>
      </c>
      <c r="E286" s="26" t="s">
        <v>90</v>
      </c>
      <c r="F286" s="18" t="str">
        <f>HYPERLINK("https://www.youtube.com/watch?v=ba34aiGhycU",'Players&gt;List'!$B28)</f>
        <v>[SUN]</v>
      </c>
      <c r="G286" s="18" t="str">
        <f>HYPERLINK("https://www.youtube.com/watch?v=1nxqmL-qug0",'Players&gt;List'!$B11)</f>
        <v>[CHB]</v>
      </c>
      <c r="H286" s="1"/>
      <c r="I286" s="1"/>
      <c r="J286" s="1"/>
      <c r="K286" s="1"/>
      <c r="L286" s="1"/>
      <c r="M286" s="1"/>
      <c r="N286" s="1"/>
    </row>
    <row r="287">
      <c r="A287" s="1"/>
      <c r="B287" s="25" t="s">
        <v>444</v>
      </c>
      <c r="E287" s="26" t="s">
        <v>147</v>
      </c>
      <c r="F287" s="18" t="str">
        <f>HYPERLINK("https://www.youtube.com/watch?v=4-QCZvbLvNc",'Players&gt;List'!$B28)</f>
        <v>[SUN]</v>
      </c>
      <c r="G287" s="18" t="str">
        <f>HYPERLINK("https://www.youtube.com/watch?v=nOimUHu8ER8",'Players&gt;List'!$B11)</f>
        <v>[CHB]</v>
      </c>
      <c r="H287" s="1"/>
      <c r="I287" s="1"/>
      <c r="J287" s="1"/>
      <c r="K287" s="1"/>
      <c r="L287" s="1"/>
      <c r="M287" s="1"/>
      <c r="N287" s="1"/>
    </row>
    <row r="288">
      <c r="A288" s="1"/>
      <c r="B288" s="14" t="s">
        <v>4108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4"/>
    </row>
    <row r="289">
      <c r="A289" s="1"/>
      <c r="B289" s="4" t="s">
        <v>4110</v>
      </c>
      <c r="D289" s="9"/>
      <c r="E289" s="17" t="s">
        <v>14</v>
      </c>
      <c r="F289" s="18" t="str">
        <f>HYPERLINK("https://www.youtube.com/watch?v=jjHkODdhl2Q",'Players&gt;List'!$B11)</f>
        <v>[CHB]</v>
      </c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25" t="s">
        <v>149</v>
      </c>
      <c r="E290" s="26" t="s">
        <v>90</v>
      </c>
      <c r="F290" s="18" t="str">
        <f>HYPERLINK("https://www.youtube.com/watch?v=YRGGYf-oZlM",'Players&gt;List'!$B11)</f>
        <v>[CHB]</v>
      </c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4" t="s">
        <v>4114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4"/>
    </row>
    <row r="292">
      <c r="A292" s="1"/>
      <c r="B292" s="4" t="s">
        <v>4116</v>
      </c>
      <c r="D292" s="9"/>
      <c r="E292" s="17" t="s">
        <v>14</v>
      </c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25" t="s">
        <v>117</v>
      </c>
      <c r="E293" s="26" t="s">
        <v>110</v>
      </c>
      <c r="F293" s="18" t="str">
        <f>HYPERLINK("https://www.youtube.com/watch?v=nKAn4EnOg7Y",'Players&gt;List'!$B11)</f>
        <v>[CHB]</v>
      </c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25" t="s">
        <v>157</v>
      </c>
      <c r="E294" s="26" t="s">
        <v>132</v>
      </c>
      <c r="F294" s="18" t="str">
        <f>HYPERLINK("https://www.youtube.com/watch?v=YsjAzGre87k",'Players&gt;List'!$B19)</f>
        <v>[HIT]</v>
      </c>
      <c r="G294" s="18" t="str">
        <f>HYPERLINK("https://www.youtube.com/watch?v=veZ4D9ebjuo",'Players&gt;List'!$B11)</f>
        <v>[CHB]</v>
      </c>
      <c r="H294" s="1"/>
      <c r="I294" s="1"/>
      <c r="J294" s="1"/>
      <c r="K294" s="1"/>
      <c r="L294" s="1"/>
      <c r="M294" s="1"/>
      <c r="N294" s="1"/>
    </row>
    <row r="295">
      <c r="A295" s="1"/>
      <c r="B295" s="14" t="s">
        <v>4120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4"/>
    </row>
    <row r="296">
      <c r="A296" s="1"/>
      <c r="B296" s="4" t="s">
        <v>4121</v>
      </c>
      <c r="D296" s="9"/>
      <c r="E296" s="17" t="s">
        <v>14</v>
      </c>
      <c r="F296" s="18" t="str">
        <f>HYPERLINK("https://www.youtube.com/watch?v=A2beBIw1u68",'Players&gt;List'!$B19)</f>
        <v>[HIT]</v>
      </c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25" t="s">
        <v>88</v>
      </c>
      <c r="E297" s="26" t="s">
        <v>90</v>
      </c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4" t="s">
        <v>4123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4"/>
    </row>
    <row r="299">
      <c r="A299" s="1"/>
      <c r="B299" s="4" t="s">
        <v>4124</v>
      </c>
      <c r="D299" s="9"/>
      <c r="E299" s="17" t="s">
        <v>14</v>
      </c>
      <c r="F299" s="18" t="str">
        <f>HYPERLINK("https://www.youtube.com/watch?v=HK_b-SvO9qY",'Players&gt;List'!$B11)</f>
        <v>[CHB]</v>
      </c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25" t="s">
        <v>117</v>
      </c>
      <c r="E300" s="26" t="s">
        <v>110</v>
      </c>
      <c r="F300" s="18" t="str">
        <f>HYPERLINK("https://www.youtube.com/watch?v=pASK4YNbY2U",'Players&gt;List'!$B11)</f>
        <v>[CHB]</v>
      </c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25" t="s">
        <v>88</v>
      </c>
      <c r="E301" s="26" t="s">
        <v>147</v>
      </c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25" t="s">
        <v>149</v>
      </c>
      <c r="E302" s="26" t="s">
        <v>147</v>
      </c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4" t="s">
        <v>4127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4"/>
    </row>
    <row r="304">
      <c r="A304" s="1"/>
      <c r="B304" s="4" t="s">
        <v>4130</v>
      </c>
      <c r="D304" s="9"/>
      <c r="E304" s="17" t="s">
        <v>14</v>
      </c>
      <c r="F304" s="18" t="str">
        <f>HYPERLINK("https://www.youtube.com/watch?v=7h7TcoxcHuU",'Players&gt;List'!$B11)</f>
        <v>[CHB]</v>
      </c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25" t="s">
        <v>88</v>
      </c>
      <c r="E305" s="26" t="s">
        <v>90</v>
      </c>
      <c r="F305" s="18" t="str">
        <f>HYPERLINK("https://www.youtube.com/watch?v=WG3gWsebPKc",'Players&gt;List'!$B11)</f>
        <v>[CHB]</v>
      </c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4" t="s">
        <v>4132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4"/>
    </row>
    <row r="307">
      <c r="A307" s="1"/>
      <c r="B307" s="4" t="s">
        <v>4133</v>
      </c>
      <c r="D307" s="9"/>
      <c r="E307" s="17" t="s">
        <v>14</v>
      </c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25" t="s">
        <v>157</v>
      </c>
      <c r="E308" s="26" t="s">
        <v>110</v>
      </c>
      <c r="F308" s="18" t="str">
        <f>HYPERLINK("https://www.youtube.com/watch?v=xQwDGWihQxc",'Players&gt;List'!$B11)</f>
        <v>[CHB]</v>
      </c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4" t="s">
        <v>4136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4"/>
    </row>
    <row r="310">
      <c r="A310" s="1"/>
      <c r="B310" s="4" t="s">
        <v>4138</v>
      </c>
      <c r="D310" s="9"/>
      <c r="E310" s="17" t="s">
        <v>14</v>
      </c>
      <c r="F310" s="18" t="str">
        <f>HYPERLINK("https://www.youtube.com/watch?v=7mISmsjuALQ",'Players&gt;List'!$B28)</f>
        <v>[SUN]</v>
      </c>
      <c r="G310" s="18" t="str">
        <f>HYPERLINK("https://youtu.be/iK7EfBPMtCg",'Players&gt;List'!$B15)</f>
        <v>[FNY]</v>
      </c>
      <c r="H310" s="1"/>
      <c r="I310" s="1"/>
      <c r="J310" s="1"/>
      <c r="K310" s="1"/>
      <c r="L310" s="1"/>
      <c r="M310" s="1"/>
      <c r="N310" s="1"/>
    </row>
    <row r="311">
      <c r="A311" s="1"/>
      <c r="B311" s="25" t="s">
        <v>117</v>
      </c>
      <c r="E311" s="26" t="s">
        <v>110</v>
      </c>
      <c r="F311" s="18" t="str">
        <f>HYPERLINK("https://www.youtube.com/watch?v=dnofauWLScY",'Players&gt;List'!$B19)</f>
        <v>[HIT]</v>
      </c>
      <c r="G311" s="18" t="str">
        <f>HYPERLINK("https://youtu.be/6JpFo2lNVp8",'Players&gt;List'!$B15)</f>
        <v>[FNY]</v>
      </c>
      <c r="H311" s="1"/>
      <c r="I311" s="1"/>
      <c r="J311" s="1"/>
      <c r="K311" s="1"/>
      <c r="L311" s="1"/>
      <c r="M311" s="1"/>
      <c r="N311" s="1"/>
    </row>
    <row r="312">
      <c r="A312" s="1"/>
      <c r="B312" s="25" t="s">
        <v>88</v>
      </c>
      <c r="E312" s="26" t="s">
        <v>147</v>
      </c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25" t="s">
        <v>149</v>
      </c>
      <c r="E313" s="26" t="s">
        <v>147</v>
      </c>
      <c r="F313" s="18" t="str">
        <f>HYPERLINK("https://www.youtube.com/watch?v=zPL2Zlshagg",'Players&gt;List'!$B28)</f>
        <v>[SUN]</v>
      </c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25" t="s">
        <v>197</v>
      </c>
      <c r="E314" s="26" t="s">
        <v>147</v>
      </c>
      <c r="F314" s="18" t="str">
        <f>HYPERLINK("https://www.youtube.com/watch?v=7mISmsjuALQ",'Players&gt;List'!$B28)</f>
        <v>[SUN]</v>
      </c>
      <c r="G314" s="18" t="str">
        <f>HYPERLINK("https://youtu.be/iK7EfBPMtCg",'Players&gt;List'!$B15)</f>
        <v>[FNY]</v>
      </c>
      <c r="H314" s="1"/>
      <c r="I314" s="1"/>
      <c r="J314" s="1"/>
      <c r="K314" s="1"/>
      <c r="L314" s="1"/>
      <c r="M314" s="1"/>
      <c r="N314" s="1"/>
    </row>
    <row r="315">
      <c r="A315" s="1"/>
      <c r="B315" s="14" t="s">
        <v>4146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4"/>
    </row>
    <row r="316">
      <c r="A316" s="1"/>
      <c r="B316" s="4" t="s">
        <v>4149</v>
      </c>
      <c r="D316" s="9"/>
      <c r="E316" s="17" t="s">
        <v>14</v>
      </c>
      <c r="F316" s="18" t="str">
        <f>HYPERLINK("https://youtu.be/5-CKvk9uJ3g",'Players&gt;List'!$B15)</f>
        <v>[FNY]</v>
      </c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33" t="s">
        <v>88</v>
      </c>
      <c r="E317" s="17" t="s">
        <v>90</v>
      </c>
      <c r="F317" s="18" t="str">
        <f>HYPERLINK("https://youtu.be/4D4hVSXo_5w",'Players&gt;List'!$B15)</f>
        <v>[FNY]</v>
      </c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4" t="s">
        <v>4153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4"/>
    </row>
    <row r="319">
      <c r="A319" s="1"/>
      <c r="B319" s="4" t="s">
        <v>4156</v>
      </c>
      <c r="D319" s="9"/>
      <c r="E319" s="17" t="s">
        <v>14</v>
      </c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33" t="s">
        <v>131</v>
      </c>
      <c r="E320" s="17" t="s">
        <v>110</v>
      </c>
      <c r="F320" s="18" t="str">
        <f>HYPERLINK("https://www.youtube.com/watch?v=voJMnhJuPvo",'Players&gt;List'!$B19)</f>
        <v>[HIT]</v>
      </c>
      <c r="G320" s="18" t="str">
        <f>HYPERLINK("https://www.youtube.com/watch?v=NrgugtQwlvA",'Players&gt;List'!$B11)</f>
        <v>[CHB]</v>
      </c>
      <c r="H320" s="18" t="str">
        <f>HYPERLINK("https://youtu.be/uWkuqqoj7C8",'Players&gt;List'!$B15)</f>
        <v>[FNY]</v>
      </c>
      <c r="I320" s="1"/>
      <c r="J320" s="1"/>
      <c r="K320" s="1"/>
      <c r="L320" s="1"/>
      <c r="M320" s="1"/>
      <c r="N320" s="1"/>
    </row>
    <row r="321">
      <c r="A321" s="1"/>
      <c r="B321" s="33" t="s">
        <v>149</v>
      </c>
      <c r="E321" s="17" t="s">
        <v>147</v>
      </c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4" t="s">
        <v>4160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4"/>
    </row>
    <row r="323">
      <c r="A323" s="1"/>
      <c r="B323" s="4" t="s">
        <v>4161</v>
      </c>
      <c r="D323" s="9"/>
      <c r="E323" s="17" t="s">
        <v>14</v>
      </c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33" t="s">
        <v>108</v>
      </c>
      <c r="E324" s="17" t="s">
        <v>110</v>
      </c>
      <c r="F324" s="18" t="str">
        <f>HYPERLINK("https://www.youtube.com/watch?v=jbyWWiB9kbs",'Players&gt;List'!$B11)</f>
        <v>[CHB]</v>
      </c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33" t="s">
        <v>131</v>
      </c>
      <c r="E325" s="17" t="s">
        <v>132</v>
      </c>
      <c r="F325" s="18" t="str">
        <f>HYPERLINK("https://www.youtube.com/watch?v=89hYyYnrFPo",'Players&gt;List'!$B11)</f>
        <v>[CHB]</v>
      </c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4" t="s">
        <v>4163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4"/>
    </row>
    <row r="327">
      <c r="A327" s="1"/>
      <c r="B327" s="4" t="s">
        <v>4165</v>
      </c>
      <c r="D327" s="9"/>
      <c r="E327" s="17" t="s">
        <v>14</v>
      </c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33" t="s">
        <v>157</v>
      </c>
      <c r="E328" s="17" t="s">
        <v>110</v>
      </c>
      <c r="F328" s="18" t="str">
        <f>HYPERLINK("https://www.youtube.com/watch?v=mr3k8uyNbrg",'Players&gt;List'!$B11)</f>
        <v>[CHB]</v>
      </c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33" t="s">
        <v>149</v>
      </c>
      <c r="E329" s="17" t="s">
        <v>147</v>
      </c>
      <c r="F329" s="18" t="str">
        <f>HYPERLINK("https://www.youtube.com/watch?v=x0zj9xlF4_0",'Players&gt;List'!$B19)</f>
        <v>[HIT]</v>
      </c>
      <c r="G329" s="18" t="str">
        <f>HYPERLINK("https://www.youtube.com/watch?v=RUQoOXXXwa8",'Players&gt;List'!$B11)</f>
        <v>[CHB]</v>
      </c>
      <c r="H329" s="1"/>
      <c r="I329" s="1"/>
      <c r="J329" s="1"/>
      <c r="K329" s="1"/>
      <c r="L329" s="1"/>
      <c r="M329" s="1"/>
      <c r="N329" s="1"/>
    </row>
    <row r="330">
      <c r="A330" s="1"/>
      <c r="B330" s="14" t="s">
        <v>4169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4"/>
    </row>
    <row r="331">
      <c r="A331" s="1"/>
      <c r="B331" s="4" t="s">
        <v>4171</v>
      </c>
      <c r="D331" s="9"/>
      <c r="E331" s="17" t="s">
        <v>14</v>
      </c>
      <c r="F331" s="18" t="str">
        <f>HYPERLINK("https://www.youtube.com/watch?v=1FxLLB3h6ks",'Players&gt;List'!$B19)</f>
        <v>[HIT]</v>
      </c>
      <c r="G331" s="18" t="str">
        <f>HYPERLINK("https://youtu.be/VnCG9VV-PwA",'Players&gt;List'!$B15)</f>
        <v>[FNY]</v>
      </c>
      <c r="H331" s="1"/>
      <c r="I331" s="1"/>
      <c r="J331" s="1"/>
      <c r="K331" s="1"/>
      <c r="L331" s="1"/>
      <c r="M331" s="1"/>
      <c r="N331" s="1"/>
    </row>
    <row r="332">
      <c r="A332" s="1"/>
      <c r="B332" s="33" t="s">
        <v>88</v>
      </c>
      <c r="E332" s="17" t="s">
        <v>90</v>
      </c>
      <c r="F332" s="18" t="str">
        <f>HYPERLINK("https://www.youtube.com/watch?v=J1uZN-a0CiQ",'Players&gt;List'!$B19)</f>
        <v>[HIT]</v>
      </c>
      <c r="G332" s="18" t="str">
        <f>HYPERLINK("https://www.youtube.com/watch?v=acE2Mc4JHcM",'Players&gt;List'!$B20)</f>
        <v>[KOS]</v>
      </c>
      <c r="H332" s="18" t="str">
        <f>HYPERLINK("https://youtu.be/tob-3r_iai0",'Players&gt;List'!$B15)</f>
        <v>[FNY]</v>
      </c>
      <c r="I332" s="1"/>
      <c r="J332" s="1"/>
      <c r="K332" s="1"/>
      <c r="L332" s="1"/>
      <c r="M332" s="1"/>
      <c r="N332" s="1"/>
    </row>
    <row r="333">
      <c r="A333" s="1"/>
      <c r="B333" s="33" t="s">
        <v>335</v>
      </c>
      <c r="E333" s="17" t="s">
        <v>147</v>
      </c>
      <c r="F333" s="18" t="str">
        <f>HYPERLINK("https://www.youtube.com/watch?v=1FxLLB3h6ks",'Players&gt;List'!$B19)</f>
        <v>[HIT]</v>
      </c>
      <c r="G333" s="18" t="str">
        <f>HYPERLINK("https://youtu.be/VnCG9VV-PwA",'Players&gt;List'!$B15)</f>
        <v>[FNY]</v>
      </c>
      <c r="H333" s="1"/>
      <c r="I333" s="1"/>
      <c r="J333" s="1"/>
      <c r="K333" s="1"/>
      <c r="L333" s="1"/>
      <c r="M333" s="1"/>
      <c r="N333" s="1"/>
    </row>
    <row r="334">
      <c r="A334" s="1"/>
      <c r="B334" s="14" t="s">
        <v>4172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4"/>
    </row>
    <row r="335">
      <c r="A335" s="1"/>
      <c r="B335" s="4" t="s">
        <v>4173</v>
      </c>
      <c r="D335" s="9"/>
      <c r="E335" s="17" t="s">
        <v>14</v>
      </c>
      <c r="F335" s="18" t="str">
        <f>HYPERLINK("https://www.youtube.com/watch?v=ud9WCz-mCkc",'Players&gt;List'!$B19)</f>
        <v>[HIT]</v>
      </c>
      <c r="G335" s="18" t="str">
        <f>HYPERLINK("https://youtu.be/g0ImD-OT47U",'Players&gt;List'!$B15)</f>
        <v>[FNY]</v>
      </c>
      <c r="H335" s="1"/>
      <c r="I335" s="1"/>
      <c r="J335" s="1"/>
      <c r="K335" s="1"/>
      <c r="L335" s="1"/>
      <c r="M335" s="1"/>
      <c r="N335" s="1"/>
    </row>
    <row r="336">
      <c r="A336" s="1"/>
      <c r="B336" s="33" t="s">
        <v>88</v>
      </c>
      <c r="E336" s="17" t="s">
        <v>90</v>
      </c>
      <c r="F336" s="18" t="str">
        <f>HYPERLINK("https://www.youtube.com/watch?v=CRVj1y9DsNQ",'Players&gt;List'!$B19)</f>
        <v>[HIT]</v>
      </c>
      <c r="G336" s="18" t="str">
        <f>HYPERLINK("https://youtu.be/o6RWQ2g9dug",'Players&gt;List'!$B15)</f>
        <v>[FNY]</v>
      </c>
      <c r="H336" s="1"/>
      <c r="I336" s="1"/>
      <c r="J336" s="1"/>
      <c r="K336" s="1"/>
      <c r="L336" s="1"/>
      <c r="M336" s="1"/>
      <c r="N336" s="1"/>
    </row>
    <row r="337">
      <c r="A337" s="1"/>
      <c r="B337" s="33" t="s">
        <v>149</v>
      </c>
      <c r="E337" s="17" t="s">
        <v>147</v>
      </c>
      <c r="F337" s="18" t="str">
        <f>HYPERLINK("https://youtu.be/g0ImD-OT47U",'Players&gt;List'!$B15)</f>
        <v>[FNY]</v>
      </c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4" t="s">
        <v>4178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4"/>
    </row>
    <row r="339">
      <c r="A339" s="1"/>
      <c r="B339" s="4" t="s">
        <v>4180</v>
      </c>
      <c r="D339" s="9"/>
      <c r="E339" s="17" t="s">
        <v>14</v>
      </c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33" t="s">
        <v>131</v>
      </c>
      <c r="E340" s="17" t="s">
        <v>110</v>
      </c>
      <c r="F340" s="18" t="str">
        <f>HYPERLINK("https://www.youtube.com/watch?v=6D89Wef90UM",'Players&gt;List'!$B11)</f>
        <v>[CHB]</v>
      </c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4" t="s">
        <v>4183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4"/>
    </row>
    <row r="342">
      <c r="A342" s="1"/>
      <c r="B342" s="4" t="s">
        <v>4186</v>
      </c>
      <c r="D342" s="9"/>
      <c r="E342" s="17" t="s">
        <v>14</v>
      </c>
      <c r="F342" s="18" t="str">
        <f>HYPERLINK("https://www.youtube.com/watch?v=DIzEe6LUHm8",'Players&gt;List'!$B11)</f>
        <v>[CHB]</v>
      </c>
      <c r="G342" s="18" t="str">
        <f>HYPERLINK("https://youtu.be/yuJwUyRbBE0",'Players&gt;List'!$B15)</f>
        <v>[FNY]</v>
      </c>
      <c r="H342" s="1"/>
      <c r="I342" s="1"/>
      <c r="J342" s="1"/>
      <c r="K342" s="1"/>
      <c r="L342" s="1"/>
      <c r="M342" s="1"/>
      <c r="N342" s="1"/>
    </row>
    <row r="343">
      <c r="A343" s="1"/>
      <c r="B343" s="33" t="s">
        <v>335</v>
      </c>
      <c r="E343" s="17" t="s">
        <v>90</v>
      </c>
      <c r="F343" s="18" t="str">
        <f>HYPERLINK("https://www.youtube.com/watch?v=wY6o1TQR4LU",'Players&gt;List'!$B19)</f>
        <v>[HIT]</v>
      </c>
      <c r="G343" s="18" t="str">
        <f>HYPERLINK("https://www.youtube.com/watch?v=UqPzF9A4iZ8",'Players&gt;List'!$B11)</f>
        <v>[CHB]</v>
      </c>
      <c r="H343" s="18" t="str">
        <f>HYPERLINK("https://youtu.be/lwVIfOEoHgc",'Players&gt;List'!$B15)</f>
        <v>[FNY]</v>
      </c>
      <c r="I343" s="1"/>
      <c r="J343" s="1"/>
      <c r="K343" s="1"/>
      <c r="L343" s="1"/>
      <c r="M343" s="1"/>
      <c r="N343" s="1"/>
    </row>
    <row r="344">
      <c r="A344" s="1"/>
      <c r="B344" s="14" t="s">
        <v>4192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4"/>
    </row>
    <row r="345">
      <c r="A345" s="1"/>
      <c r="B345" s="4" t="s">
        <v>4195</v>
      </c>
      <c r="D345" s="9"/>
      <c r="E345" s="17" t="s">
        <v>14</v>
      </c>
      <c r="F345" s="18" t="str">
        <f>HYPERLINK("https://www.youtube.com/watch?v=l8cmuhkOIVI",'Players&gt;List'!$B19)</f>
        <v>[HIT]</v>
      </c>
      <c r="G345" s="18" t="str">
        <f>HYPERLINK("https://www.youtube.com/watch?v=5Y7gjUjGU84",'Players&gt;List'!$B11)</f>
        <v>[CHB]</v>
      </c>
      <c r="H345" s="18" t="str">
        <f>HYPERLINK("https://youtu.be/uMaWWzeFvwE",'Players&gt;List'!$B15)</f>
        <v>[FNY]</v>
      </c>
      <c r="I345" s="1"/>
      <c r="J345" s="1"/>
      <c r="K345" s="1"/>
      <c r="L345" s="1"/>
      <c r="M345" s="1"/>
      <c r="N345" s="1"/>
    </row>
    <row r="346">
      <c r="A346" s="1"/>
      <c r="B346" s="33" t="s">
        <v>2213</v>
      </c>
      <c r="E346" s="17" t="s">
        <v>90</v>
      </c>
      <c r="F346" s="18" t="str">
        <f>HYPERLINK("https://www.youtube.com/watch?v=l8cmuhkOIVI",'Players&gt;List'!$B19)</f>
        <v>[HIT]</v>
      </c>
      <c r="G346" s="18" t="str">
        <f>HYPERLINK("https://www.youtube.com/watch?v=5Y7gjUjGU84",'Players&gt;List'!$B11)</f>
        <v>[CHB]</v>
      </c>
      <c r="H346" s="18" t="str">
        <f>HYPERLINK("https://youtu.be/uMaWWzeFvwE",'Players&gt;List'!$B15)</f>
        <v>[FNY]</v>
      </c>
      <c r="I346" s="1"/>
      <c r="J346" s="1"/>
      <c r="K346" s="1"/>
      <c r="L346" s="1"/>
      <c r="M346" s="1"/>
      <c r="N346" s="1"/>
    </row>
    <row r="347">
      <c r="A347" s="1"/>
      <c r="B347" s="14" t="s">
        <v>4199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4"/>
    </row>
    <row r="348">
      <c r="A348" s="1"/>
      <c r="B348" s="4" t="s">
        <v>4201</v>
      </c>
      <c r="D348" s="9"/>
      <c r="E348" s="17" t="s">
        <v>14</v>
      </c>
      <c r="F348" s="18" t="str">
        <f>HYPERLINK("https://www.youtube.com/watch?v=Gz4Dz9fDGXw",'Players&gt;List'!$B11)</f>
        <v>[CHB]</v>
      </c>
      <c r="G348" s="18" t="str">
        <f>HYPERLINK("https://youtu.be/FV9Z-RXX71g",'Players&gt;List'!$B15)</f>
        <v>[FNY]</v>
      </c>
      <c r="H348" s="1"/>
      <c r="I348" s="1"/>
      <c r="J348" s="1"/>
      <c r="K348" s="1"/>
      <c r="L348" s="1"/>
      <c r="M348" s="1"/>
      <c r="N348" s="1"/>
    </row>
    <row r="349">
      <c r="A349" s="1"/>
      <c r="B349" s="33" t="s">
        <v>649</v>
      </c>
      <c r="E349" s="17" t="s">
        <v>90</v>
      </c>
      <c r="F349" s="18" t="str">
        <f>HYPERLINK("https://www.youtube.com/watch?v=E_2uZJVZT6E",'Players&gt;List'!$B19)</f>
        <v>[HIT]</v>
      </c>
      <c r="G349" s="18" t="str">
        <f>HYPERLINK("https://www.youtube.com/watch?v=6xpobora6es",'Players&gt;List'!$B11)</f>
        <v>[CHB]</v>
      </c>
      <c r="H349" s="1"/>
      <c r="I349" s="1"/>
      <c r="J349" s="1"/>
      <c r="K349" s="1"/>
      <c r="L349" s="1"/>
      <c r="M349" s="1"/>
      <c r="N349" s="1"/>
    </row>
    <row r="350">
      <c r="A350" s="1"/>
      <c r="B350" s="14" t="s">
        <v>4206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4"/>
    </row>
    <row r="351">
      <c r="A351" s="1"/>
      <c r="B351" s="4" t="s">
        <v>4208</v>
      </c>
      <c r="D351" s="9"/>
      <c r="E351" s="17" t="s">
        <v>14</v>
      </c>
      <c r="F351" s="18" t="str">
        <f>HYPERLINK("https://www.youtube.com/watch?v=OPoIjRJEquo",'Players&gt;List'!$B28)</f>
        <v>[SUN]</v>
      </c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33" t="s">
        <v>335</v>
      </c>
      <c r="E352" s="17" t="s">
        <v>90</v>
      </c>
      <c r="F352" s="18" t="str">
        <f>HYPERLINK("https://www.youtube.com/watch?v=IgaUhlW9tZg",'Players&gt;List'!$B19)</f>
        <v>[HIT]</v>
      </c>
      <c r="G352" s="18" t="str">
        <f>HYPERLINK("https://youtu.be/n8-30Je_83E",'Players&gt;List'!$B15)</f>
        <v>[FNY]</v>
      </c>
      <c r="H352" s="1"/>
      <c r="I352" s="1"/>
      <c r="J352" s="1"/>
      <c r="K352" s="1"/>
      <c r="L352" s="1"/>
      <c r="M352" s="1"/>
      <c r="N352" s="1"/>
    </row>
    <row r="353">
      <c r="A353" s="1"/>
      <c r="B353" s="33" t="s">
        <v>149</v>
      </c>
      <c r="E353" s="17" t="s">
        <v>147</v>
      </c>
      <c r="F353" s="18" t="str">
        <f>HYPERLINK("https://www.youtube.com/watch?v=nh2ylroL-08",'Players&gt;List'!$B20)</f>
        <v>[KOS]</v>
      </c>
      <c r="G353" s="18" t="str">
        <f>HYPERLINK("https://www.youtube.com/watch?v=qbrRIZYNGrw",'Players&gt;List'!$B19)</f>
        <v>[HIT]</v>
      </c>
      <c r="H353" s="18" t="str">
        <f>HYPERLINK("https://www.youtube.com/watch?v=II0iexXeBu8",'Players&gt;List'!$B14)</f>
        <v>[ESP]</v>
      </c>
      <c r="I353" s="18" t="str">
        <f>HYPERLINK("https://www.youtube.com/watch?v=-BX31nKcoU0",'Players&gt;List'!$B32)</f>
        <v>[XEL]</v>
      </c>
      <c r="J353" s="18" t="str">
        <f>HYPERLINK("https://youtu.be/D8K9BjksJEU",'Players&gt;List'!$B15)</f>
        <v>[FNY]</v>
      </c>
      <c r="K353" s="1"/>
      <c r="L353" s="1"/>
      <c r="M353" s="1"/>
      <c r="N353" s="1"/>
    </row>
    <row r="354">
      <c r="A354" s="1"/>
      <c r="B354" s="14" t="s">
        <v>4217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4"/>
    </row>
    <row r="355">
      <c r="A355" s="1"/>
      <c r="B355" s="4" t="s">
        <v>4218</v>
      </c>
      <c r="D355" s="9"/>
      <c r="E355" s="17" t="s">
        <v>14</v>
      </c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33" t="s">
        <v>149</v>
      </c>
      <c r="E356" s="17" t="s">
        <v>90</v>
      </c>
      <c r="F356" s="18" t="str">
        <f>HYPERLINK("https://www.youtube.com/watch?v=-JQy9Z4vWB8",'Players&gt;List'!$B19)</f>
        <v>[HIT]</v>
      </c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33" t="s">
        <v>649</v>
      </c>
      <c r="E357" s="17" t="s">
        <v>147</v>
      </c>
      <c r="F357" s="18" t="str">
        <f>HYPERLINK("https://www.youtube.com/watch?v=-JQy9Z4vWB8",'Players&gt;List'!$B19)</f>
        <v>[HIT]</v>
      </c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4" t="s">
        <v>4222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4"/>
    </row>
    <row r="359">
      <c r="A359" s="1"/>
      <c r="B359" s="4" t="s">
        <v>4223</v>
      </c>
      <c r="D359" s="9"/>
      <c r="E359" s="17" t="s">
        <v>14</v>
      </c>
      <c r="F359" s="18" t="str">
        <f>HYPERLINK("https://www.youtube.com/watch?v=yTpjou6c5Ns",'Players&gt;List'!$B19)</f>
        <v>[HIT]</v>
      </c>
      <c r="G359" s="18" t="str">
        <f>HYPERLINK("https://www.youtube.com/watch?v=1DMwXjBfnmo",'Players&gt;List'!$B11)</f>
        <v>[CHB]</v>
      </c>
      <c r="H359" s="1"/>
      <c r="I359" s="1"/>
      <c r="J359" s="1"/>
      <c r="K359" s="1"/>
      <c r="L359" s="1"/>
      <c r="M359" s="1"/>
      <c r="N359" s="1"/>
    </row>
    <row r="360">
      <c r="A360" s="1"/>
      <c r="B360" s="33" t="s">
        <v>149</v>
      </c>
      <c r="E360" s="17" t="s">
        <v>90</v>
      </c>
      <c r="F360" s="18" t="str">
        <f>HYPERLINK("https://www.youtube.com/watch?v=lVThDD_SwXc",'Players&gt;List'!$B11)</f>
        <v>[CHB]</v>
      </c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4" t="s">
        <v>4228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4"/>
    </row>
    <row r="362">
      <c r="A362" s="1"/>
      <c r="B362" s="4" t="s">
        <v>4229</v>
      </c>
      <c r="D362" s="9"/>
      <c r="E362" s="17" t="s">
        <v>14</v>
      </c>
      <c r="F362" s="18" t="str">
        <f>HYPERLINK("https://www.youtube.com/watch?v=pvgvy_M2avE",'Players&gt;List'!$B11)</f>
        <v>[CHB]</v>
      </c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33" t="s">
        <v>88</v>
      </c>
      <c r="E363" s="17" t="s">
        <v>90</v>
      </c>
      <c r="F363" s="18" t="str">
        <f>HYPERLINK("https://www.youtube.com/watch?v=DZ-oK6gRIfY",'Players&gt;List'!$B19)</f>
        <v>[HIT]</v>
      </c>
      <c r="G363" s="18" t="str">
        <f>HYPERLINK("https://www.youtube.com/watch?v=G0sXP5qFyCs",'Players&gt;List'!$B11)</f>
        <v>[CHB]</v>
      </c>
      <c r="H363" s="1"/>
      <c r="I363" s="1"/>
      <c r="J363" s="1"/>
      <c r="K363" s="1"/>
      <c r="L363" s="1"/>
      <c r="M363" s="1"/>
      <c r="N363" s="1"/>
    </row>
    <row r="364">
      <c r="A364" s="1"/>
      <c r="B364" s="14" t="s">
        <v>4231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4"/>
    </row>
    <row r="365">
      <c r="A365" s="1"/>
      <c r="B365" s="4" t="s">
        <v>4232</v>
      </c>
      <c r="D365" s="9"/>
      <c r="E365" s="17" t="s">
        <v>14</v>
      </c>
      <c r="F365" s="18" t="str">
        <f>HYPERLINK("https://www.youtube.com/watch?v=mqCC-U2HKrc&amp;index=282&amp;list=PLbU6uWaIKemqNvTeRxK-Ay6PRg9iwCKVi&amp;t=0s",'Players&gt;List'!$B19)</f>
        <v>[HIT]</v>
      </c>
      <c r="G365" s="18" t="str">
        <f>HYPERLINK("https://www.youtube.com/watch?v=HFnFNCTL1p8",'Players&gt;List'!$B11)</f>
        <v>[CHB]</v>
      </c>
      <c r="H365" s="1"/>
      <c r="I365" s="1"/>
      <c r="J365" s="1"/>
      <c r="K365" s="1"/>
      <c r="L365" s="1"/>
      <c r="M365" s="1"/>
      <c r="N365" s="1"/>
    </row>
    <row r="366">
      <c r="A366" s="1"/>
      <c r="B366" s="33" t="s">
        <v>88</v>
      </c>
      <c r="E366" s="17" t="s">
        <v>90</v>
      </c>
      <c r="F366" s="18" t="str">
        <f>HYPERLINK("https://www.youtube.com/watch?v=ooDI1XxCLVA&amp;index=283&amp;list=PLbU6uWaIKemqNvTeRxK-Ay6PRg9iwCKVi&amp;t=0s",'Players&gt;List'!$B19)</f>
        <v>[HIT]</v>
      </c>
      <c r="G366" s="18" t="str">
        <f>HYPERLINK("https://www.youtube.com/watch?v=Ugmgh7sK8yc",'Players&gt;List'!$B11)</f>
        <v>[CHB]</v>
      </c>
      <c r="H366" s="1"/>
      <c r="I366" s="1"/>
      <c r="J366" s="1"/>
      <c r="K366" s="1"/>
      <c r="L366" s="1"/>
      <c r="M366" s="1"/>
      <c r="N366" s="1"/>
    </row>
    <row r="367">
      <c r="A367" s="1"/>
      <c r="B367" s="14" t="s">
        <v>4233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4"/>
    </row>
    <row r="368">
      <c r="A368" s="1"/>
      <c r="B368" s="4" t="s">
        <v>4234</v>
      </c>
      <c r="D368" s="9"/>
      <c r="E368" s="17" t="s">
        <v>14</v>
      </c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33" t="s">
        <v>88</v>
      </c>
      <c r="E369" s="17" t="s">
        <v>90</v>
      </c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4" t="s">
        <v>4236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4"/>
    </row>
    <row r="371">
      <c r="A371" s="1"/>
      <c r="B371" s="4" t="s">
        <v>4238</v>
      </c>
      <c r="D371" s="9"/>
      <c r="E371" s="17" t="s">
        <v>14</v>
      </c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33" t="s">
        <v>117</v>
      </c>
      <c r="E372" s="17" t="s">
        <v>110</v>
      </c>
      <c r="F372" s="18" t="str">
        <f>HYPERLINK("https://www.youtube.com/watch?v=32NdvYpWNrk&amp;index=304&amp;list=PLbU6uWaIKemqNvTeRxK-Ay6PRg9iwCKVi&amp;t=0s",'Players&gt;List'!$B19)</f>
        <v>[HIT]</v>
      </c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33" t="s">
        <v>88</v>
      </c>
      <c r="E373" s="17" t="s">
        <v>147</v>
      </c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33" t="s">
        <v>149</v>
      </c>
      <c r="E374" s="17" t="s">
        <v>147</v>
      </c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4" t="s">
        <v>4239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4"/>
    </row>
    <row r="376">
      <c r="A376" s="1"/>
      <c r="B376" s="4" t="s">
        <v>4240</v>
      </c>
      <c r="D376" s="9"/>
      <c r="E376" s="17" t="s">
        <v>14</v>
      </c>
      <c r="F376" s="18" t="str">
        <f>HYPERLINK("https://www.youtube.com/watch?v=sYWG_apQ4hM",'Players&gt;List'!$B19)</f>
        <v>[HIT]</v>
      </c>
      <c r="G376" s="18" t="str">
        <f>HYPERLINK("https://www.youtube.com/watch?v=jLHkcMvXRi4",'Players&gt;List'!$B14)</f>
        <v>[ESP]</v>
      </c>
      <c r="H376" s="18" t="str">
        <f>HYPERLINK("https://www.youtube.com/watch?v=v6C7KKNHN-g",'Players&gt;List'!$B20)</f>
        <v>[KOS]</v>
      </c>
      <c r="I376" s="18" t="str">
        <f>HYPERLINK("https://youtu.be/D_3WP7W0UUw",'Players&gt;List'!$B12)</f>
        <v>[EKI]</v>
      </c>
      <c r="J376" s="18" t="str">
        <f>HYPERLINK("https://www.youtube.com/watch?v=fX7ppB4b7VM",'Players&gt;List'!$B30)</f>
        <v>[TST]</v>
      </c>
      <c r="K376" s="1"/>
      <c r="L376" s="1"/>
      <c r="M376" s="1"/>
      <c r="N376" s="1"/>
    </row>
    <row r="377">
      <c r="A377" s="1"/>
      <c r="B377" s="33" t="s">
        <v>649</v>
      </c>
      <c r="E377" s="17" t="s">
        <v>90</v>
      </c>
      <c r="F377" s="18" t="str">
        <f>HYPERLINK("https://www.youtube.com/watch?v=sYWG_apQ4hM",'Players&gt;List'!$B19)</f>
        <v>[HIT]</v>
      </c>
      <c r="G377" s="18" t="str">
        <f>HYPERLINK("https://www.youtube.com/watch?v=jLHkcMvXRi4",'Players&gt;List'!$B14)</f>
        <v>[ESP]</v>
      </c>
      <c r="H377" s="18" t="str">
        <f>HYPERLINK("https://www.youtube.com/watch?v=v6C7KKNHN-g",'Players&gt;List'!$B20)</f>
        <v>[KOS]</v>
      </c>
      <c r="I377" s="1"/>
      <c r="J377" s="1"/>
      <c r="K377" s="1"/>
      <c r="L377" s="1"/>
      <c r="M377" s="1"/>
      <c r="N377" s="1"/>
    </row>
    <row r="378">
      <c r="A378" s="1"/>
      <c r="B378" s="33" t="s">
        <v>149</v>
      </c>
      <c r="E378" s="17" t="s">
        <v>147</v>
      </c>
      <c r="F378" s="18" t="str">
        <f>HYPERLINK("https://www.youtube.com/watch?v=sYWG_apQ4hM",'Players&gt;List'!$B19)</f>
        <v>[HIT]</v>
      </c>
      <c r="G378" s="18" t="str">
        <f>HYPERLINK("https://www.youtube.com/watch?v=jLHkcMvXRi4",'Players&gt;List'!$B14)</f>
        <v>[ESP]</v>
      </c>
      <c r="H378" s="18" t="str">
        <f>HYPERLINK("https://www.youtube.com/watch?v=v6C7KKNHN-g",'Players&gt;List'!$B20)</f>
        <v>[KOS]</v>
      </c>
      <c r="I378" s="1"/>
      <c r="J378" s="1"/>
      <c r="K378" s="1"/>
      <c r="L378" s="1"/>
      <c r="M378" s="1"/>
      <c r="N378" s="1"/>
    </row>
    <row r="379">
      <c r="A379" s="1"/>
      <c r="B379" s="14" t="s">
        <v>4245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4"/>
    </row>
    <row r="380">
      <c r="A380" s="1"/>
      <c r="B380" s="4" t="s">
        <v>4247</v>
      </c>
      <c r="D380" s="9"/>
      <c r="E380" s="17" t="s">
        <v>14</v>
      </c>
      <c r="F380" s="18" t="str">
        <f>HYPERLINK("https://www.youtube.com/watch?v=ucnmGaCCIbg",'Players&gt;List'!$B14)</f>
        <v>[ESP]</v>
      </c>
      <c r="G380" s="18" t="str">
        <f>HYPERLINK("https://www.youtube.com/watch?v=J7KtEh_gAms&amp;index=317&amp;list=PLbU6uWaIKemqNvTeRxK-Ay6PRg9iwCKVi&amp;t=0s",'Players&gt;List'!$B19)</f>
        <v>[HIT]</v>
      </c>
      <c r="H380" s="18" t="str">
        <f>HYPERLINK("https://www.youtube.com/watch?v=7cyh3xgC9Ys",'Players&gt;List'!$B11)</f>
        <v>[CHB]</v>
      </c>
      <c r="I380" s="1"/>
      <c r="J380" s="1"/>
      <c r="K380" s="1"/>
      <c r="L380" s="1"/>
      <c r="M380" s="1"/>
      <c r="N380" s="1"/>
    </row>
    <row r="381">
      <c r="A381" s="1"/>
      <c r="B381" s="33" t="s">
        <v>649</v>
      </c>
      <c r="E381" s="17" t="s">
        <v>90</v>
      </c>
      <c r="F381" s="18" t="str">
        <f>HYPERLINK("https://www.youtube.com/watch?v=yF23mLAkoUs",'Players&gt;List'!$B11)</f>
        <v>[CHB]</v>
      </c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33" t="s">
        <v>2972</v>
      </c>
      <c r="E382" s="17" t="s">
        <v>132</v>
      </c>
      <c r="F382" s="18" t="str">
        <f>HYPERLINK("https://www.youtube.com/watch?v=ePyM_BlfEgE",'Players&gt;List'!$B11)</f>
        <v>[CHB]</v>
      </c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4" t="s">
        <v>4252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4"/>
    </row>
    <row r="384">
      <c r="A384" s="1"/>
      <c r="B384" s="4" t="s">
        <v>4254</v>
      </c>
      <c r="D384" s="9"/>
      <c r="E384" s="17" t="s">
        <v>14</v>
      </c>
      <c r="F384" s="18" t="str">
        <f>HYPERLINK("https://youtu.be/g6MG0ue-q9s",'Players&gt;List'!$B28)</f>
        <v>[SUN]</v>
      </c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33" t="s">
        <v>117</v>
      </c>
      <c r="E385" s="17" t="s">
        <v>110</v>
      </c>
      <c r="F385" s="18" t="str">
        <f>HYPERLINK("https://www.youtube.com/watch?v=qxVwG3P9vOM&amp;index=325&amp;list=PLbU6uWaIKemqNvTeRxK-Ay6PRg9iwCKVi&amp;t=0s",'Players&gt;List'!$B19)</f>
        <v>[HIT]</v>
      </c>
      <c r="G385" s="18" t="str">
        <f>HYPERLINK("https://www.youtube.com/watch?v=xY7-C2Eveg0",'Players&gt;List'!$B14)</f>
        <v>[ESP]</v>
      </c>
      <c r="H385" s="1"/>
      <c r="I385" s="1"/>
      <c r="J385" s="1"/>
      <c r="K385" s="1"/>
      <c r="L385" s="1"/>
      <c r="M385" s="1"/>
      <c r="N385" s="1"/>
    </row>
    <row r="386">
      <c r="A386" s="1"/>
      <c r="B386" s="33" t="s">
        <v>88</v>
      </c>
      <c r="E386" s="17" t="s">
        <v>147</v>
      </c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33" t="s">
        <v>149</v>
      </c>
      <c r="E387" s="17" t="s">
        <v>147</v>
      </c>
      <c r="F387" s="18" t="str">
        <f>HYPERLINK("https://youtu.be/g6MG0ue-q9s",'Players&gt;List'!$B28)</f>
        <v>[SUN]</v>
      </c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4" t="s">
        <v>4257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4"/>
    </row>
    <row r="389">
      <c r="A389" s="1"/>
      <c r="B389" s="4" t="s">
        <v>4259</v>
      </c>
      <c r="D389" s="9"/>
      <c r="E389" s="17" t="s">
        <v>14</v>
      </c>
      <c r="F389" s="18" t="str">
        <f>HYPERLINK("https://www.youtube.com/watch?v=KTDqR9aIoc0",'Players&gt;List'!$B11)</f>
        <v>[CHB]</v>
      </c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33" t="s">
        <v>387</v>
      </c>
      <c r="E390" s="17" t="s">
        <v>110</v>
      </c>
      <c r="F390" s="18" t="str">
        <f>HYPERLINK("https://www.youtube.com/watch?v=1HgQ2_dQe_Y",'Players&gt;List'!$B11)</f>
        <v>[CHB]</v>
      </c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33" t="s">
        <v>88</v>
      </c>
      <c r="E391" s="17" t="s">
        <v>147</v>
      </c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33" t="s">
        <v>649</v>
      </c>
      <c r="E392" s="17" t="s">
        <v>147</v>
      </c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4" t="s">
        <v>4262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4"/>
    </row>
    <row r="394">
      <c r="A394" s="1"/>
      <c r="B394" s="4" t="s">
        <v>4265</v>
      </c>
      <c r="D394" s="9"/>
      <c r="E394" s="17" t="s">
        <v>14</v>
      </c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25" t="s">
        <v>131</v>
      </c>
      <c r="E395" s="17" t="s">
        <v>110</v>
      </c>
      <c r="F395" s="18" t="str">
        <f>HYPERLINK("https://www.youtube.com/watch?v=2v8UmAg_3F4&amp;index=279&amp;list=PLbU6uWaIKemqNvTeRxK-Ay6PRg9iwCKVi&amp;t=0s",'Players&gt;List'!$B19)</f>
        <v>[HIT]</v>
      </c>
      <c r="G395" s="18" t="str">
        <f>HYPERLINK("https://www.youtube.com/watch?v=3qRV3-T95sM",'Players&gt;List'!$B11)</f>
        <v>[CHB]</v>
      </c>
      <c r="H395" s="1"/>
      <c r="I395" s="1"/>
      <c r="J395" s="1"/>
      <c r="K395" s="1"/>
      <c r="L395" s="1"/>
      <c r="M395" s="1"/>
      <c r="N395" s="1"/>
    </row>
    <row r="396">
      <c r="A396" s="1"/>
      <c r="B396" s="14" t="s">
        <v>4266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4"/>
    </row>
    <row r="397">
      <c r="A397" s="1"/>
      <c r="B397" s="4" t="s">
        <v>4267</v>
      </c>
      <c r="D397" s="9"/>
      <c r="E397" s="17" t="s">
        <v>14</v>
      </c>
      <c r="F397" s="18" t="str">
        <f>HYPERLINK("https://www.youtube.com/watch?v=ouKnsbYlw7Q",'Players&gt;List'!$B11)</f>
        <v>[CHB]</v>
      </c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34" t="s">
        <v>88</v>
      </c>
      <c r="E398" s="17" t="s">
        <v>90</v>
      </c>
      <c r="F398" s="18" t="str">
        <f>HYPERLINK("https://www.youtube.com/watch?v=X449KNLkvZ0",'Players&gt;List'!$B11)</f>
        <v>[CHB]</v>
      </c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4" t="s">
        <v>4273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4"/>
    </row>
    <row r="400">
      <c r="A400" s="1"/>
      <c r="B400" s="4" t="s">
        <v>4275</v>
      </c>
      <c r="D400" s="9"/>
      <c r="E400" s="17" t="s">
        <v>14</v>
      </c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25" t="s">
        <v>108</v>
      </c>
      <c r="E401" s="17" t="s">
        <v>110</v>
      </c>
      <c r="F401" s="18" t="str">
        <f>HYPERLINK("https://www.youtube.com/watch?v=jJ13CrOn7EA&amp;index=311&amp;list=PLbU6uWaIKemqNvTeRxK-Ay6PRg9iwCKVi&amp;t=0s",'Players&gt;List'!$B19)</f>
        <v>[HIT]</v>
      </c>
      <c r="G401" s="18" t="str">
        <f>HYPERLINK("https://www.youtube.com/watch?v=eZ9aaN_8eSk",'Players&gt;List'!$B11)</f>
        <v>[CHB]</v>
      </c>
      <c r="H401" s="1"/>
      <c r="I401" s="1"/>
      <c r="J401" s="1"/>
      <c r="K401" s="1"/>
      <c r="L401" s="1"/>
      <c r="M401" s="1"/>
      <c r="N401" s="1"/>
    </row>
    <row r="402">
      <c r="A402" s="1"/>
      <c r="B402" s="25" t="s">
        <v>131</v>
      </c>
      <c r="E402" s="17" t="s">
        <v>132</v>
      </c>
      <c r="F402" s="18" t="str">
        <f>HYPERLINK("https://www.youtube.com/watch?v=h5acn0-n1Ns",'Players&gt;List'!$B11)</f>
        <v>[CHB]</v>
      </c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4" t="s">
        <v>4280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4"/>
    </row>
    <row r="404">
      <c r="A404" s="1"/>
      <c r="B404" s="4" t="s">
        <v>4281</v>
      </c>
      <c r="D404" s="9"/>
      <c r="E404" s="17" t="s">
        <v>14</v>
      </c>
      <c r="F404" s="18" t="str">
        <f>HYPERLINK("https://www.twitch.tv/videos/395623269",'Players&gt;List'!$B30)</f>
        <v>[TST]</v>
      </c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25" t="s">
        <v>649</v>
      </c>
      <c r="E405" s="17" t="s">
        <v>90</v>
      </c>
      <c r="F405" s="18" t="str">
        <f>HYPERLINK("https://www.youtube.com/watch?v=QBRBOszS8XU&amp;index=224&amp;t=0s&amp;list=PLbU6uWaIKemqNvTeRxK-Ay6PRg9iwCKVi",'Players&gt;List'!$B19)</f>
        <v>[HIT]</v>
      </c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25" t="s">
        <v>88</v>
      </c>
      <c r="E406" s="17" t="s">
        <v>147</v>
      </c>
      <c r="F406" s="18" t="str">
        <f>HYPERLINK("https://www.youtube.com/watch?v=QBRBOszS8XU&amp;index=224&amp;t=0s&amp;list=PLbU6uWaIKemqNvTeRxK-Ay6PRg9iwCKVi",'Players&gt;List'!$B19)</f>
        <v>[HIT]</v>
      </c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4" t="s">
        <v>4284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4"/>
    </row>
    <row r="408">
      <c r="A408" s="1"/>
      <c r="B408" s="4" t="s">
        <v>4285</v>
      </c>
      <c r="D408" s="9"/>
      <c r="E408" s="17" t="s">
        <v>14</v>
      </c>
      <c r="F408" s="18" t="str">
        <f>HYPERLINK("https://www.youtube.com/watch?v=9aILEgQ1s_Q",'Players&gt;List'!$B11)</f>
        <v>[CHB]</v>
      </c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34" t="s">
        <v>88</v>
      </c>
      <c r="E409" s="17" t="s">
        <v>90</v>
      </c>
      <c r="F409" s="18" t="str">
        <f>HYPERLINK("https://www.youtube.com/watch?v=9Dav9mXPRK0",'Players&gt;List'!$B11)</f>
        <v>[CHB]</v>
      </c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4" t="s">
        <v>4289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4"/>
    </row>
    <row r="411">
      <c r="A411" s="1"/>
      <c r="B411" s="4" t="s">
        <v>4291</v>
      </c>
      <c r="D411" s="9"/>
      <c r="E411" s="17" t="s">
        <v>14</v>
      </c>
      <c r="F411" s="18" t="str">
        <f>HYPERLINK("https://www.youtube.com/watch?v=gS6gR-N0608&amp;index=252&amp;list=PLbU6uWaIKemqNvTeRxK-Ay6PRg9iwCKVi&amp;t=0s",'Players&gt;List'!$B19)</f>
        <v>[HIT]</v>
      </c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34" t="s">
        <v>88</v>
      </c>
      <c r="E412" s="17" t="s">
        <v>90</v>
      </c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33" t="s">
        <v>149</v>
      </c>
      <c r="E413" s="17" t="s">
        <v>147</v>
      </c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4" t="s">
        <v>4293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4"/>
    </row>
    <row r="415">
      <c r="A415" s="1"/>
      <c r="B415" s="4" t="s">
        <v>4295</v>
      </c>
      <c r="D415" s="9"/>
      <c r="E415" s="17" t="s">
        <v>14</v>
      </c>
      <c r="F415" s="18" t="str">
        <f>HYPERLINK("https://www.twitch.tv/videos/395624557",'Players&gt;List'!$B30)</f>
        <v>[TST]</v>
      </c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33" t="s">
        <v>88</v>
      </c>
      <c r="E416" s="17" t="s">
        <v>90</v>
      </c>
      <c r="F416" s="18" t="str">
        <f>HYPERLINK("https://www.youtube.com/watch?v=v-lpvg09VqM&amp;t=0s&amp;list=PLbU6uWaIKemqNvTeRxK-Ay6PRg9iwCKVi&amp;index=94",'Players&gt;List'!$B19)</f>
        <v>[HIT]</v>
      </c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4" t="s">
        <v>4297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4"/>
    </row>
    <row r="418">
      <c r="A418" s="1"/>
      <c r="B418" s="4" t="s">
        <v>4299</v>
      </c>
      <c r="D418" s="9"/>
      <c r="E418" s="17" t="s">
        <v>14</v>
      </c>
      <c r="F418" s="18" t="str">
        <f>HYPERLINK("https://www.youtube.com/watch?v=yRJ8oFElwoQ",'Players&gt;List'!$B18)</f>
        <v>[HGB]</v>
      </c>
      <c r="G418" s="18" t="str">
        <f>HYPERLINK("https://www.youtube.com/watch?v=ImhEh5C601o",'Players&gt;List'!$B11)</f>
        <v>[CHB]</v>
      </c>
      <c r="H418" s="18" t="str">
        <f>HYPERLINK("https://www.twitch.tv/videos/396853224",'Players&gt;List'!$B30)</f>
        <v>[TST]</v>
      </c>
      <c r="I418" s="1"/>
      <c r="J418" s="1"/>
      <c r="K418" s="1"/>
      <c r="L418" s="1"/>
      <c r="M418" s="1"/>
      <c r="N418" s="1"/>
    </row>
    <row r="419">
      <c r="A419" s="1"/>
      <c r="B419" s="33" t="s">
        <v>88</v>
      </c>
      <c r="E419" s="17" t="s">
        <v>90</v>
      </c>
      <c r="F419" s="18" t="str">
        <f>HYPERLINK("https://www.youtube.com/watch?v=AC_a2g8yRhY&amp;index=253&amp;list=PLbU6uWaIKemqNvTeRxK-Ay6PRg9iwCKVi&amp;t=0s",'Players&gt;List'!$B19)</f>
        <v>[HIT]</v>
      </c>
      <c r="G419" s="18" t="str">
        <f>HYPERLINK("https://www.youtube.com/watch?v=rgpBjKIxiVo",'Players&gt;List'!$B11)</f>
        <v>[CHB]</v>
      </c>
      <c r="H419" s="1"/>
      <c r="I419" s="1"/>
      <c r="J419" s="1"/>
      <c r="K419" s="1"/>
      <c r="L419" s="1"/>
      <c r="M419" s="1"/>
      <c r="N419" s="1"/>
    </row>
    <row r="420">
      <c r="A420" s="1"/>
      <c r="B420" s="14" t="s">
        <v>4306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4"/>
    </row>
    <row r="421">
      <c r="A421" s="1"/>
      <c r="B421" s="4" t="s">
        <v>4307</v>
      </c>
      <c r="D421" s="9"/>
      <c r="E421" s="17" t="s">
        <v>14</v>
      </c>
      <c r="F421" s="18" t="str">
        <f>HYPERLINK("https://www.youtube.com/watch?v=cLknB_3GA6g&amp;t=0s&amp;list=PLbU6uWaIKemqNvTeRxK-Ay6PRg9iwCKVi&amp;index=95",'Players&gt;List'!$B19)</f>
        <v>[HIT]</v>
      </c>
      <c r="G421" s="18" t="str">
        <f>HYPERLINK("https://www.youtube.com/watch?v=4XJvZj2UD_o",'Players&gt;List'!$B11)</f>
        <v>[CHB]</v>
      </c>
      <c r="H421" s="18" t="str">
        <f>HYPERLINK("https://www.twitch.tv/videos/395744089",'Players&gt;List'!$B30)</f>
        <v>[TST]</v>
      </c>
      <c r="I421" s="1"/>
      <c r="J421" s="1"/>
      <c r="K421" s="1"/>
      <c r="L421" s="1"/>
      <c r="M421" s="1"/>
      <c r="N421" s="1"/>
    </row>
    <row r="422">
      <c r="A422" s="29"/>
      <c r="B422" s="33" t="s">
        <v>88</v>
      </c>
      <c r="E422" s="17" t="s">
        <v>90</v>
      </c>
      <c r="F422" s="18" t="str">
        <f>HYPERLINK("https://www.youtube.com/watch?v=1vmhrb8JPcA&amp;index=227&amp;t=0s&amp;list=PLbU6uWaIKemqNvTeRxK-Ay6PRg9iwCKVi",'Players&gt;List'!$B19)</f>
        <v>[HIT]</v>
      </c>
      <c r="G422" s="18" t="str">
        <f>HYPERLINK("https://www.youtube.com/watch?v=1M5TWujSizU",'Players&gt;List'!$B11)</f>
        <v>[CHB]</v>
      </c>
      <c r="H422" s="29"/>
      <c r="I422" s="29"/>
      <c r="J422" s="29"/>
      <c r="K422" s="29"/>
      <c r="L422" s="29"/>
      <c r="M422" s="29"/>
      <c r="N422" s="29"/>
    </row>
    <row r="423">
      <c r="A423" s="29"/>
      <c r="B423" s="14" t="s">
        <v>4312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35"/>
    </row>
    <row r="424">
      <c r="A424" s="29"/>
      <c r="B424" s="4" t="s">
        <v>4315</v>
      </c>
      <c r="D424" s="9"/>
      <c r="E424" s="17" t="s">
        <v>14</v>
      </c>
      <c r="F424" s="1"/>
      <c r="G424" s="1"/>
      <c r="H424" s="1"/>
      <c r="I424" s="1"/>
      <c r="J424" s="1"/>
      <c r="K424" s="1"/>
      <c r="L424" s="1"/>
      <c r="M424" s="1"/>
      <c r="N424" s="29"/>
    </row>
    <row r="425">
      <c r="A425" s="29"/>
      <c r="B425" s="33" t="s">
        <v>131</v>
      </c>
      <c r="E425" s="17" t="s">
        <v>110</v>
      </c>
      <c r="F425" s="18" t="str">
        <f>HYPERLINK("https://www.youtube.com/watch?v=gObnLSe8C0M",'Players&gt;List'!$B11)</f>
        <v>[CHB]</v>
      </c>
      <c r="G425" s="29"/>
      <c r="H425" s="29"/>
      <c r="I425" s="29"/>
      <c r="J425" s="29"/>
      <c r="K425" s="29"/>
      <c r="L425" s="29"/>
      <c r="M425" s="29"/>
      <c r="N425" s="29"/>
    </row>
    <row r="426">
      <c r="A426" s="29"/>
      <c r="B426" s="14" t="s">
        <v>4316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35"/>
    </row>
    <row r="427">
      <c r="A427" s="29"/>
      <c r="B427" s="4" t="s">
        <v>4317</v>
      </c>
      <c r="D427" s="9"/>
      <c r="E427" s="17" t="s">
        <v>14</v>
      </c>
      <c r="F427" s="18" t="str">
        <f>HYPERLINK("https://www.youtube.com/watch?v=Vf-No_Kcqv8",'Players&gt;List'!$B11)</f>
        <v>[CHB]</v>
      </c>
      <c r="G427" s="1"/>
      <c r="H427" s="1"/>
      <c r="I427" s="1"/>
      <c r="J427" s="1"/>
      <c r="K427" s="1"/>
      <c r="L427" s="1"/>
      <c r="M427" s="1"/>
      <c r="N427" s="29"/>
    </row>
    <row r="428">
      <c r="A428" s="29"/>
      <c r="B428" s="33" t="s">
        <v>117</v>
      </c>
      <c r="E428" s="17" t="s">
        <v>110</v>
      </c>
      <c r="F428" s="18" t="str">
        <f>HYPERLINK("https://www.youtube.com/watch?v=pX2XsBqlfiQ&amp;index=278&amp;list=PLbU6uWaIKemqNvTeRxK-Ay6PRg9iwCKVi&amp;t=0s",'Players&gt;List'!$B19)</f>
        <v>[HIT]</v>
      </c>
      <c r="G428" s="18" t="str">
        <f>HYPERLINK("https://www.youtube.com/watch?v=IkV1m5twAhk",'Players&gt;List'!$B11)</f>
        <v>[CHB]</v>
      </c>
      <c r="H428" s="29"/>
      <c r="I428" s="29"/>
      <c r="J428" s="29"/>
      <c r="K428" s="29"/>
      <c r="L428" s="29"/>
      <c r="M428" s="29"/>
      <c r="N428" s="29"/>
    </row>
    <row r="429">
      <c r="A429" s="29"/>
      <c r="B429" s="33" t="s">
        <v>649</v>
      </c>
      <c r="E429" s="17" t="s">
        <v>147</v>
      </c>
      <c r="F429" s="18" t="str">
        <f>HYPERLINK("https://www.youtube.com/watch?v=pX2XsBqlfiQ&amp;index=278&amp;list=PLbU6uWaIKemqNvTeRxK-Ay6PRg9iwCKVi&amp;t=0s",'Players&gt;List'!$B19)</f>
        <v>[HIT]</v>
      </c>
      <c r="G429" s="18" t="str">
        <f>HYPERLINK("https://www.youtube.com/watch?v=IkV1m5twAhk",'Players&gt;List'!$B11)</f>
        <v>[CHB]</v>
      </c>
      <c r="H429" s="29"/>
      <c r="I429" s="29"/>
      <c r="J429" s="29"/>
      <c r="K429" s="29"/>
      <c r="L429" s="29"/>
      <c r="M429" s="29"/>
      <c r="N429" s="29"/>
    </row>
    <row r="430">
      <c r="A430" s="29"/>
      <c r="B430" s="33" t="s">
        <v>197</v>
      </c>
      <c r="E430" s="17" t="s">
        <v>147</v>
      </c>
      <c r="F430" s="18" t="str">
        <f>HYPERLINK("https://www.youtube.com/watch?v=qg060KhSJSs",'Players&gt;List'!$B11)</f>
        <v>[CHB]</v>
      </c>
      <c r="G430" s="29"/>
      <c r="H430" s="29"/>
      <c r="I430" s="29"/>
      <c r="J430" s="29"/>
      <c r="K430" s="29"/>
      <c r="L430" s="29"/>
      <c r="M430" s="29"/>
      <c r="N430" s="29"/>
    </row>
    <row r="431">
      <c r="A431" s="29"/>
      <c r="B431" s="14" t="s">
        <v>4326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35"/>
    </row>
    <row r="432">
      <c r="A432" s="29"/>
      <c r="B432" s="4" t="s">
        <v>4327</v>
      </c>
      <c r="D432" s="9"/>
      <c r="E432" s="17" t="s">
        <v>14</v>
      </c>
      <c r="F432" s="18" t="str">
        <f>HYPERLINK("https://www.youtube.com/watch?v=ld0dFr1-_EA",'Players&gt;List'!$B11)</f>
        <v>[CHB]</v>
      </c>
      <c r="G432" s="1"/>
      <c r="H432" s="1"/>
      <c r="I432" s="1"/>
      <c r="J432" s="1"/>
      <c r="K432" s="1"/>
      <c r="L432" s="1"/>
      <c r="M432" s="1"/>
      <c r="N432" s="29"/>
    </row>
    <row r="433">
      <c r="A433" s="29"/>
      <c r="B433" s="33" t="s">
        <v>88</v>
      </c>
      <c r="E433" s="17" t="s">
        <v>90</v>
      </c>
      <c r="F433" s="18" t="str">
        <f>HYPERLINK("https://www.youtube.com/watch?v=AnOjBhF8szw",'Players&gt;List'!$B11)</f>
        <v>[CHB]</v>
      </c>
      <c r="G433" s="29"/>
      <c r="H433" s="29"/>
      <c r="I433" s="29"/>
      <c r="J433" s="29"/>
      <c r="K433" s="29"/>
      <c r="L433" s="29"/>
      <c r="M433" s="29"/>
      <c r="N433" s="29"/>
    </row>
    <row r="434">
      <c r="A434" s="29"/>
      <c r="B434" s="14" t="s">
        <v>4330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35"/>
    </row>
    <row r="435">
      <c r="A435" s="29"/>
      <c r="B435" s="4" t="s">
        <v>4333</v>
      </c>
      <c r="D435" s="9"/>
      <c r="E435" s="17" t="s">
        <v>14</v>
      </c>
      <c r="F435" s="1"/>
      <c r="G435" s="1"/>
      <c r="H435" s="1"/>
      <c r="I435" s="1"/>
      <c r="J435" s="1"/>
      <c r="K435" s="1"/>
      <c r="L435" s="1"/>
      <c r="M435" s="1"/>
      <c r="N435" s="29"/>
    </row>
    <row r="436">
      <c r="A436" s="29"/>
      <c r="B436" s="33" t="s">
        <v>4334</v>
      </c>
      <c r="E436" s="17" t="s">
        <v>380</v>
      </c>
      <c r="F436" s="18" t="str">
        <f>HYPERLINK("https://www.youtube.com/watch?v=aVb_A1_HgEw&amp;index=296&amp;list=PLbU6uWaIKemqNvTeRxK-Ay6PRg9iwCKVi&amp;t=0s",'Players&gt;List'!$B19)</f>
        <v>[HIT]</v>
      </c>
      <c r="G436" s="18" t="str">
        <f>HYPERLINK("https://www.youtube.com/watch?v=9InHMWnAkX8",'Players&gt;List'!$B8)</f>
        <v>[ABA]</v>
      </c>
      <c r="H436" s="18" t="str">
        <f>HYPERLINK("https://www.youtube.com/watch?v=-BXjrSeXuXA",'Players&gt;List'!$B11)</f>
        <v>[CHB]</v>
      </c>
      <c r="I436" s="29"/>
      <c r="J436" s="29"/>
      <c r="K436" s="29"/>
      <c r="L436" s="29"/>
      <c r="M436" s="29"/>
      <c r="N436" s="29"/>
    </row>
    <row r="437">
      <c r="A437" s="29"/>
      <c r="B437" s="33" t="s">
        <v>149</v>
      </c>
      <c r="E437" s="17" t="s">
        <v>147</v>
      </c>
      <c r="F437" s="1"/>
      <c r="G437" s="1"/>
      <c r="H437" s="29"/>
      <c r="I437" s="29"/>
      <c r="J437" s="29"/>
      <c r="K437" s="29"/>
      <c r="L437" s="29"/>
      <c r="M437" s="29"/>
      <c r="N437" s="29"/>
    </row>
    <row r="438">
      <c r="A438" s="29"/>
      <c r="B438" s="33" t="s">
        <v>2213</v>
      </c>
      <c r="E438" s="17" t="s">
        <v>147</v>
      </c>
      <c r="F438" s="1"/>
      <c r="G438" s="1"/>
      <c r="H438" s="29"/>
      <c r="I438" s="29"/>
      <c r="J438" s="29"/>
      <c r="K438" s="29"/>
      <c r="L438" s="29"/>
      <c r="M438" s="29"/>
      <c r="N438" s="29"/>
    </row>
    <row r="439">
      <c r="A439" s="29"/>
      <c r="B439" s="33" t="s">
        <v>335</v>
      </c>
      <c r="E439" s="17" t="s">
        <v>147</v>
      </c>
      <c r="F439" s="1"/>
      <c r="G439" s="1"/>
      <c r="H439" s="29"/>
      <c r="I439" s="29"/>
      <c r="J439" s="29"/>
      <c r="K439" s="29"/>
      <c r="L439" s="29"/>
      <c r="M439" s="29"/>
      <c r="N439" s="29"/>
    </row>
    <row r="440">
      <c r="A440" s="29"/>
      <c r="B440" s="33" t="s">
        <v>649</v>
      </c>
      <c r="E440" s="17" t="s">
        <v>147</v>
      </c>
      <c r="F440" s="1"/>
      <c r="G440" s="1"/>
      <c r="H440" s="29"/>
      <c r="I440" s="29"/>
      <c r="J440" s="29"/>
      <c r="K440" s="29"/>
      <c r="L440" s="29"/>
      <c r="M440" s="29"/>
      <c r="N440" s="29"/>
    </row>
    <row r="441">
      <c r="A441" s="29"/>
      <c r="B441" s="33" t="s">
        <v>157</v>
      </c>
      <c r="E441" s="17" t="s">
        <v>132</v>
      </c>
      <c r="F441" s="18" t="str">
        <f>HYPERLINK("https://www.youtube.com/watch?v=AgRqsk3qWG8",'Players&gt;List'!$B11)</f>
        <v>[CHB]</v>
      </c>
      <c r="G441" s="1"/>
      <c r="H441" s="29"/>
      <c r="I441" s="29"/>
      <c r="J441" s="29"/>
      <c r="K441" s="29"/>
      <c r="L441" s="29"/>
      <c r="M441" s="29"/>
      <c r="N441" s="29"/>
    </row>
    <row r="442">
      <c r="A442" s="29"/>
      <c r="B442" s="14" t="s">
        <v>4341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35"/>
    </row>
    <row r="443">
      <c r="A443" s="29"/>
      <c r="B443" s="4" t="s">
        <v>4343</v>
      </c>
      <c r="D443" s="9"/>
      <c r="E443" s="17" t="s">
        <v>14</v>
      </c>
      <c r="F443" s="18" t="str">
        <f>HYPERLINK("https://www.youtube.com/watch?v=fr64UAAVYGY",'Players&gt;List'!$B11)</f>
        <v>[CHB]</v>
      </c>
      <c r="G443" s="1"/>
      <c r="H443" s="1"/>
      <c r="I443" s="1"/>
      <c r="J443" s="1"/>
      <c r="K443" s="1"/>
      <c r="L443" s="1"/>
      <c r="M443" s="1"/>
      <c r="N443" s="29"/>
    </row>
    <row r="444">
      <c r="A444" s="29"/>
      <c r="B444" s="33" t="s">
        <v>88</v>
      </c>
      <c r="E444" s="17" t="s">
        <v>90</v>
      </c>
      <c r="F444" s="18" t="str">
        <f>HYPERLINK("https://www.youtube.com/watch?v=zkdBo7-0hB0&amp;index=318&amp;list=PLbU6uWaIKemqNvTeRxK-Ay6PRg9iwCKVi&amp;t=0s",'Players&gt;List'!$B19)</f>
        <v>[HIT]</v>
      </c>
      <c r="G444" s="18" t="str">
        <f>HYPERLINK("https://www.youtube.com/watch?v=bO_TRM4Rszk",'Players&gt;List'!$B11)</f>
        <v>[CHB]</v>
      </c>
      <c r="H444" s="29"/>
      <c r="I444" s="29"/>
      <c r="J444" s="29"/>
      <c r="K444" s="29"/>
      <c r="L444" s="29"/>
      <c r="M444" s="29"/>
      <c r="N444" s="29"/>
    </row>
    <row r="445">
      <c r="A445" s="29"/>
      <c r="B445" s="14" t="s">
        <v>4346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35"/>
    </row>
    <row r="446">
      <c r="A446" s="29"/>
      <c r="B446" s="4" t="s">
        <v>4348</v>
      </c>
      <c r="D446" s="9"/>
      <c r="E446" s="17" t="s">
        <v>14</v>
      </c>
      <c r="F446" s="18" t="str">
        <f>HYPERLINK("https://www.youtube.com/watch?v=NVHG0tOnAns",'Players&gt;List'!$B11)</f>
        <v>[CHB]</v>
      </c>
      <c r="G446" s="1"/>
      <c r="H446" s="1"/>
      <c r="I446" s="1"/>
      <c r="J446" s="1"/>
      <c r="K446" s="1"/>
      <c r="L446" s="1"/>
      <c r="M446" s="1"/>
      <c r="N446" s="29"/>
    </row>
    <row r="447">
      <c r="A447" s="29"/>
      <c r="B447" s="33" t="s">
        <v>88</v>
      </c>
      <c r="E447" s="17" t="s">
        <v>90</v>
      </c>
      <c r="F447" s="18" t="str">
        <f>HYPERLINK("https://www.youtube.com/watch?v=INatX3xSF0Y&amp;index=262&amp;list=PLbU6uWaIKemqNvTeRxK-Ay6PRg9iwCKVi&amp;t=0s",'Players&gt;List'!$B19)</f>
        <v>[HIT]</v>
      </c>
      <c r="G447" s="18" t="str">
        <f>HYPERLINK("https://www.twitch.tv/videos/283887215",'Players&gt;List'!$B24)</f>
        <v>[NIM]</v>
      </c>
      <c r="H447" s="18" t="str">
        <f>HYPERLINK("https://youtu.be/NVHG0tOnAns?t=18",'Players&gt;List'!$B11)</f>
        <v>[CHB]</v>
      </c>
      <c r="I447" s="29"/>
      <c r="J447" s="29"/>
      <c r="K447" s="29"/>
      <c r="L447" s="29"/>
      <c r="M447" s="29"/>
      <c r="N447" s="29"/>
    </row>
    <row r="448">
      <c r="A448" s="29"/>
      <c r="B448" s="14" t="s">
        <v>4353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35"/>
    </row>
    <row r="449">
      <c r="A449" s="29"/>
      <c r="B449" s="4" t="s">
        <v>4355</v>
      </c>
      <c r="D449" s="9"/>
      <c r="E449" s="17" t="s">
        <v>14</v>
      </c>
      <c r="F449" s="1"/>
      <c r="G449" s="1"/>
      <c r="H449" s="1"/>
      <c r="I449" s="1"/>
      <c r="J449" s="1"/>
      <c r="K449" s="1"/>
      <c r="L449" s="1"/>
      <c r="M449" s="1"/>
      <c r="N449" s="29"/>
    </row>
    <row r="450">
      <c r="A450" s="29"/>
      <c r="B450" s="33" t="s">
        <v>2183</v>
      </c>
      <c r="E450" s="17" t="s">
        <v>380</v>
      </c>
      <c r="F450" s="18" t="str">
        <f>HYPERLINK("https://www.youtube.com/watch?v=33_OZWWDAuU&amp;t=0s&amp;list=PLbU6uWaIKemqNvTeRxK-Ay6PRg9iwCKVi&amp;index=101",'Players&gt;List'!$B19)</f>
        <v>[HIT]</v>
      </c>
      <c r="G450" s="18" t="str">
        <f>HYPERLINK("https://www.youtube.com/watch?v=2wwQgmj3bdY",'Players&gt;List'!$B11)</f>
        <v>[CHB]</v>
      </c>
      <c r="H450" s="29"/>
      <c r="I450" s="29"/>
      <c r="J450" s="29"/>
      <c r="K450" s="29"/>
      <c r="L450" s="29"/>
      <c r="M450" s="29"/>
      <c r="N450" s="29"/>
    </row>
    <row r="451">
      <c r="A451" s="29"/>
      <c r="B451" s="33" t="s">
        <v>2303</v>
      </c>
      <c r="E451" s="17" t="s">
        <v>132</v>
      </c>
      <c r="F451" s="1"/>
      <c r="G451" s="29"/>
      <c r="H451" s="29"/>
      <c r="I451" s="29"/>
      <c r="J451" s="29"/>
      <c r="K451" s="29"/>
      <c r="L451" s="29"/>
      <c r="M451" s="29"/>
      <c r="N451" s="29"/>
    </row>
    <row r="452">
      <c r="A452" s="29"/>
      <c r="B452" s="14" t="s">
        <v>4359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35"/>
    </row>
    <row r="453">
      <c r="A453" s="29"/>
      <c r="B453" s="4" t="s">
        <v>4360</v>
      </c>
      <c r="D453" s="9"/>
      <c r="E453" s="17" t="s">
        <v>14</v>
      </c>
      <c r="F453" s="1"/>
      <c r="G453" s="1"/>
      <c r="H453" s="1"/>
      <c r="I453" s="1"/>
      <c r="J453" s="1"/>
      <c r="K453" s="1"/>
      <c r="L453" s="1"/>
      <c r="M453" s="1"/>
      <c r="N453" s="29"/>
    </row>
    <row r="454">
      <c r="A454" s="29"/>
      <c r="B454" s="33" t="s">
        <v>131</v>
      </c>
      <c r="E454" s="17" t="s">
        <v>110</v>
      </c>
      <c r="F454" s="18" t="str">
        <f>HYPERLINK("https://www.youtube.com/watch?v=tmIadh5ufMI",'Players&gt;List'!$B19)</f>
        <v>[HIT]</v>
      </c>
      <c r="G454" s="18" t="str">
        <f>HYPERLINK("https://www.youtube.com/watch?v=aP_Y1Xi5AzI",'Players&gt;List'!$B11)</f>
        <v>[CHB]</v>
      </c>
      <c r="H454" s="29"/>
      <c r="I454" s="29"/>
      <c r="J454" s="29"/>
      <c r="K454" s="29"/>
      <c r="L454" s="29"/>
      <c r="M454" s="29"/>
      <c r="N454" s="29"/>
    </row>
    <row r="455">
      <c r="A455" s="29"/>
      <c r="B455" s="14" t="s">
        <v>4361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35"/>
    </row>
    <row r="456">
      <c r="A456" s="29"/>
      <c r="B456" s="4" t="s">
        <v>4362</v>
      </c>
      <c r="D456" s="9"/>
      <c r="E456" s="17" t="s">
        <v>14</v>
      </c>
      <c r="F456" s="18" t="str">
        <f>HYPERLINK("https://www.youtube.com/watch?v=Z49gWy_md2U",'Players&gt;List'!$B11)</f>
        <v>[CHB]</v>
      </c>
      <c r="G456" s="1"/>
      <c r="H456" s="1"/>
      <c r="I456" s="1"/>
      <c r="J456" s="1"/>
      <c r="K456" s="1"/>
      <c r="L456" s="1"/>
      <c r="M456" s="1"/>
      <c r="N456" s="29"/>
    </row>
    <row r="457">
      <c r="A457" s="29"/>
      <c r="B457" s="33" t="s">
        <v>649</v>
      </c>
      <c r="E457" s="17" t="s">
        <v>90</v>
      </c>
      <c r="F457" s="18" t="str">
        <f>HYPERLINK("https://www.youtube.com/watch?v=jvWbWDQvM9Y",'Players&gt;List'!$B11)</f>
        <v>[CHB]</v>
      </c>
      <c r="G457" s="29"/>
      <c r="H457" s="29"/>
      <c r="I457" s="29"/>
      <c r="J457" s="29"/>
      <c r="K457" s="29"/>
      <c r="L457" s="29"/>
      <c r="M457" s="29"/>
      <c r="N457" s="29"/>
    </row>
    <row r="458">
      <c r="A458" s="29"/>
      <c r="B458" s="33" t="s">
        <v>197</v>
      </c>
      <c r="E458" s="17" t="s">
        <v>147</v>
      </c>
      <c r="F458" s="18" t="str">
        <f>HYPERLINK("https://www.youtube.com/watch?v=Y3wqLPdkxG8",'Players&gt;List'!$B11)</f>
        <v>[CHB]</v>
      </c>
      <c r="G458" s="29"/>
      <c r="H458" s="29"/>
      <c r="I458" s="29"/>
      <c r="J458" s="29"/>
      <c r="K458" s="29"/>
      <c r="L458" s="29"/>
      <c r="M458" s="29"/>
      <c r="N458" s="29"/>
    </row>
    <row r="459">
      <c r="A459" s="29"/>
      <c r="B459" s="14" t="s">
        <v>4365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35"/>
    </row>
    <row r="460">
      <c r="A460" s="29"/>
      <c r="B460" s="4" t="s">
        <v>4366</v>
      </c>
      <c r="D460" s="9"/>
      <c r="E460" s="17" t="s">
        <v>14</v>
      </c>
      <c r="F460" s="18" t="str">
        <f>HYPERLINK("https://www.youtube.com/watch?v=rQMIku0HY9E",'Players&gt;List'!$B19)</f>
        <v>[HIT]</v>
      </c>
      <c r="G460" s="18" t="str">
        <f>HYPERLINK("https://www.youtube.com/watch?v=PT6QF8o2EMo",'Players&gt;List'!$B14)</f>
        <v>[ESP]</v>
      </c>
      <c r="H460" s="1"/>
      <c r="I460" s="1"/>
      <c r="J460" s="1"/>
      <c r="K460" s="1"/>
      <c r="L460" s="1"/>
      <c r="M460" s="1"/>
      <c r="N460" s="29"/>
    </row>
    <row r="461">
      <c r="A461" s="29"/>
      <c r="B461" s="33" t="s">
        <v>197</v>
      </c>
      <c r="E461" s="17" t="s">
        <v>90</v>
      </c>
      <c r="F461" s="18" t="str">
        <f>HYPERLINK("https://www.youtube.com/watch?v=4cJc1CLIf9w",'Players&gt;List'!$B19)</f>
        <v>[HIT]</v>
      </c>
      <c r="G461" s="18" t="str">
        <f>HYPERLINK("https://www.youtube.com/watch?v=A3_pi9_ATJE",'Players&gt;List'!$B14)</f>
        <v>[ESP]</v>
      </c>
      <c r="H461" s="29"/>
      <c r="I461" s="29"/>
      <c r="J461" s="29"/>
      <c r="K461" s="29"/>
      <c r="L461" s="29"/>
      <c r="M461" s="29"/>
      <c r="N461" s="29"/>
    </row>
    <row r="462">
      <c r="A462" s="29"/>
      <c r="B462" s="36"/>
      <c r="C462" s="36"/>
      <c r="D462" s="36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</sheetData>
  <mergeCells count="463">
    <mergeCell ref="B370:M370"/>
    <mergeCell ref="B367:M367"/>
    <mergeCell ref="B368:C368"/>
    <mergeCell ref="B369:D369"/>
    <mergeCell ref="B364:M364"/>
    <mergeCell ref="B361:M361"/>
    <mergeCell ref="B344:M344"/>
    <mergeCell ref="B346:D346"/>
    <mergeCell ref="B347:M347"/>
    <mergeCell ref="B350:M350"/>
    <mergeCell ref="B341:M341"/>
    <mergeCell ref="B375:M375"/>
    <mergeCell ref="B374:D374"/>
    <mergeCell ref="B343:D343"/>
    <mergeCell ref="B436:D436"/>
    <mergeCell ref="B437:D437"/>
    <mergeCell ref="B438:D438"/>
    <mergeCell ref="B461:D461"/>
    <mergeCell ref="B460:C460"/>
    <mergeCell ref="B458:D458"/>
    <mergeCell ref="B456:C456"/>
    <mergeCell ref="B457:D457"/>
    <mergeCell ref="B444:D444"/>
    <mergeCell ref="B446:C446"/>
    <mergeCell ref="B451:D451"/>
    <mergeCell ref="B450:D450"/>
    <mergeCell ref="B459:M459"/>
    <mergeCell ref="B455:M455"/>
    <mergeCell ref="B452:M452"/>
    <mergeCell ref="B454:D454"/>
    <mergeCell ref="B453:C453"/>
    <mergeCell ref="B449:C449"/>
    <mergeCell ref="B447:D447"/>
    <mergeCell ref="B445:M445"/>
    <mergeCell ref="B448:M448"/>
    <mergeCell ref="B442:M442"/>
    <mergeCell ref="B443:C443"/>
    <mergeCell ref="B400:C400"/>
    <mergeCell ref="B397:C397"/>
    <mergeCell ref="B345:C345"/>
    <mergeCell ref="B356:D356"/>
    <mergeCell ref="B355:C355"/>
    <mergeCell ref="B353:D353"/>
    <mergeCell ref="B384:C384"/>
    <mergeCell ref="B376:C376"/>
    <mergeCell ref="B414:M414"/>
    <mergeCell ref="B418:C418"/>
    <mergeCell ref="B415:C415"/>
    <mergeCell ref="B417:M417"/>
    <mergeCell ref="B379:M379"/>
    <mergeCell ref="B383:M383"/>
    <mergeCell ref="B409:D409"/>
    <mergeCell ref="B408:C408"/>
    <mergeCell ref="B427:C427"/>
    <mergeCell ref="B435:C435"/>
    <mergeCell ref="B402:D402"/>
    <mergeCell ref="B413:D413"/>
    <mergeCell ref="B404:C404"/>
    <mergeCell ref="B412:D412"/>
    <mergeCell ref="B411:C411"/>
    <mergeCell ref="B425:D425"/>
    <mergeCell ref="B424:C424"/>
    <mergeCell ref="B340:D340"/>
    <mergeCell ref="B339:C339"/>
    <mergeCell ref="B324:D324"/>
    <mergeCell ref="B325:D325"/>
    <mergeCell ref="B316:C316"/>
    <mergeCell ref="B336:D336"/>
    <mergeCell ref="B332:D332"/>
    <mergeCell ref="B333:D333"/>
    <mergeCell ref="B335:C335"/>
    <mergeCell ref="B321:D321"/>
    <mergeCell ref="B323:C323"/>
    <mergeCell ref="B337:D337"/>
    <mergeCell ref="B331:C331"/>
    <mergeCell ref="B390:D390"/>
    <mergeCell ref="B389:C389"/>
    <mergeCell ref="B387:D387"/>
    <mergeCell ref="B314:D314"/>
    <mergeCell ref="B315:M315"/>
    <mergeCell ref="B322:M322"/>
    <mergeCell ref="B382:D382"/>
    <mergeCell ref="B396:M396"/>
    <mergeCell ref="B393:M393"/>
    <mergeCell ref="B388:M388"/>
    <mergeCell ref="B391:D391"/>
    <mergeCell ref="B392:D392"/>
    <mergeCell ref="B395:D395"/>
    <mergeCell ref="B394:C394"/>
    <mergeCell ref="B334:M334"/>
    <mergeCell ref="B338:M338"/>
    <mergeCell ref="B358:M358"/>
    <mergeCell ref="B354:M354"/>
    <mergeCell ref="B357:D357"/>
    <mergeCell ref="B359:C359"/>
    <mergeCell ref="B360:D360"/>
    <mergeCell ref="B342:C342"/>
    <mergeCell ref="B351:C351"/>
    <mergeCell ref="B348:C348"/>
    <mergeCell ref="B352:D352"/>
    <mergeCell ref="B349:D349"/>
    <mergeCell ref="B362:C362"/>
    <mergeCell ref="B363:D363"/>
    <mergeCell ref="B372:D372"/>
    <mergeCell ref="B371:C371"/>
    <mergeCell ref="B377:D377"/>
    <mergeCell ref="B378:D378"/>
    <mergeCell ref="B366:D366"/>
    <mergeCell ref="B365:C365"/>
    <mergeCell ref="B373:D373"/>
    <mergeCell ref="B381:D381"/>
    <mergeCell ref="B380:C380"/>
    <mergeCell ref="B276:C276"/>
    <mergeCell ref="B278:D278"/>
    <mergeCell ref="B277:D277"/>
    <mergeCell ref="B270:C270"/>
    <mergeCell ref="B272:M272"/>
    <mergeCell ref="B269:M269"/>
    <mergeCell ref="B263:C263"/>
    <mergeCell ref="B261:D261"/>
    <mergeCell ref="B262:M262"/>
    <mergeCell ref="B259:M259"/>
    <mergeCell ref="B266:M266"/>
    <mergeCell ref="B260:C260"/>
    <mergeCell ref="B258:D258"/>
    <mergeCell ref="B308:D308"/>
    <mergeCell ref="B309:M309"/>
    <mergeCell ref="B302:D302"/>
    <mergeCell ref="B304:C304"/>
    <mergeCell ref="B312:D312"/>
    <mergeCell ref="B386:D386"/>
    <mergeCell ref="B385:D385"/>
    <mergeCell ref="B283:D283"/>
    <mergeCell ref="B280:M280"/>
    <mergeCell ref="B285:C285"/>
    <mergeCell ref="B293:D293"/>
    <mergeCell ref="B289:C289"/>
    <mergeCell ref="B286:D286"/>
    <mergeCell ref="B288:M288"/>
    <mergeCell ref="B297:D297"/>
    <mergeCell ref="B284:M284"/>
    <mergeCell ref="B29:D29"/>
    <mergeCell ref="B33:D33"/>
    <mergeCell ref="B32:C32"/>
    <mergeCell ref="B25:D25"/>
    <mergeCell ref="B34:D34"/>
    <mergeCell ref="B22:D22"/>
    <mergeCell ref="B18:D18"/>
    <mergeCell ref="B19:D19"/>
    <mergeCell ref="B21:C21"/>
    <mergeCell ref="B71:M71"/>
    <mergeCell ref="B72:C72"/>
    <mergeCell ref="B77:D77"/>
    <mergeCell ref="B78:D78"/>
    <mergeCell ref="B79:D79"/>
    <mergeCell ref="B85:D85"/>
    <mergeCell ref="B65:M65"/>
    <mergeCell ref="B82:D82"/>
    <mergeCell ref="B80:M80"/>
    <mergeCell ref="B75:C75"/>
    <mergeCell ref="B73:D73"/>
    <mergeCell ref="B62:C62"/>
    <mergeCell ref="B61:M61"/>
    <mergeCell ref="B76:D76"/>
    <mergeCell ref="B1:M3"/>
    <mergeCell ref="B6:M6"/>
    <mergeCell ref="D4:E4"/>
    <mergeCell ref="B9:M9"/>
    <mergeCell ref="B7:C7"/>
    <mergeCell ref="B17:D17"/>
    <mergeCell ref="B159:D159"/>
    <mergeCell ref="B160:M160"/>
    <mergeCell ref="B166:D166"/>
    <mergeCell ref="B152:M152"/>
    <mergeCell ref="B155:D155"/>
    <mergeCell ref="B162:D162"/>
    <mergeCell ref="B164:M164"/>
    <mergeCell ref="B156:M156"/>
    <mergeCell ref="B149:M149"/>
    <mergeCell ref="B150:C150"/>
    <mergeCell ref="B238:C238"/>
    <mergeCell ref="B239:D239"/>
    <mergeCell ref="B232:D232"/>
    <mergeCell ref="B23:M23"/>
    <mergeCell ref="B27:M27"/>
    <mergeCell ref="B24:C24"/>
    <mergeCell ref="F4:G4"/>
    <mergeCell ref="L4:M4"/>
    <mergeCell ref="H4:I4"/>
    <mergeCell ref="J4:K4"/>
    <mergeCell ref="B20:M20"/>
    <mergeCell ref="B15:M15"/>
    <mergeCell ref="B12:M12"/>
    <mergeCell ref="B197:M197"/>
    <mergeCell ref="B194:M194"/>
    <mergeCell ref="B189:M189"/>
    <mergeCell ref="B184:M184"/>
    <mergeCell ref="B180:M180"/>
    <mergeCell ref="B185:C185"/>
    <mergeCell ref="B179:D179"/>
    <mergeCell ref="B183:D183"/>
    <mergeCell ref="B203:M203"/>
    <mergeCell ref="B211:M211"/>
    <mergeCell ref="B214:M214"/>
    <mergeCell ref="B219:M219"/>
    <mergeCell ref="B228:M228"/>
    <mergeCell ref="B224:M224"/>
    <mergeCell ref="B208:M208"/>
    <mergeCell ref="B229:C229"/>
    <mergeCell ref="B171:C171"/>
    <mergeCell ref="B172:D172"/>
    <mergeCell ref="B177:D177"/>
    <mergeCell ref="B176:D176"/>
    <mergeCell ref="B167:M167"/>
    <mergeCell ref="B178:D178"/>
    <mergeCell ref="B169:D169"/>
    <mergeCell ref="B140:D140"/>
    <mergeCell ref="B145:M145"/>
    <mergeCell ref="B141:M141"/>
    <mergeCell ref="B142:C142"/>
    <mergeCell ref="B144:D144"/>
    <mergeCell ref="B143:D143"/>
    <mergeCell ref="B135:C135"/>
    <mergeCell ref="B136:D136"/>
    <mergeCell ref="B123:D123"/>
    <mergeCell ref="B154:D154"/>
    <mergeCell ref="B151:D151"/>
    <mergeCell ref="B139:D139"/>
    <mergeCell ref="B137:M137"/>
    <mergeCell ref="B31:M31"/>
    <mergeCell ref="B30:D30"/>
    <mergeCell ref="B57:M57"/>
    <mergeCell ref="B59:D59"/>
    <mergeCell ref="B48:D48"/>
    <mergeCell ref="B56:D56"/>
    <mergeCell ref="B55:D55"/>
    <mergeCell ref="B41:C41"/>
    <mergeCell ref="B42:D42"/>
    <mergeCell ref="B45:D45"/>
    <mergeCell ref="B44:C44"/>
    <mergeCell ref="B46:D46"/>
    <mergeCell ref="B47:D47"/>
    <mergeCell ref="B95:D95"/>
    <mergeCell ref="B94:D94"/>
    <mergeCell ref="B96:M96"/>
    <mergeCell ref="B92:M92"/>
    <mergeCell ref="B90:C90"/>
    <mergeCell ref="B91:D91"/>
    <mergeCell ref="B93:C93"/>
    <mergeCell ref="B88:D88"/>
    <mergeCell ref="B87:C87"/>
    <mergeCell ref="B63:D63"/>
    <mergeCell ref="B60:D60"/>
    <mergeCell ref="B103:D103"/>
    <mergeCell ref="B98:D98"/>
    <mergeCell ref="B99:D99"/>
    <mergeCell ref="B102:D102"/>
    <mergeCell ref="B106:D106"/>
    <mergeCell ref="B122:C122"/>
    <mergeCell ref="B116:C116"/>
    <mergeCell ref="B117:D117"/>
    <mergeCell ref="B120:D120"/>
    <mergeCell ref="B119:C119"/>
    <mergeCell ref="B114:D114"/>
    <mergeCell ref="B111:D111"/>
    <mergeCell ref="B113:C113"/>
    <mergeCell ref="B64:D64"/>
    <mergeCell ref="B69:D69"/>
    <mergeCell ref="B70:D70"/>
    <mergeCell ref="B68:D68"/>
    <mergeCell ref="B67:D67"/>
    <mergeCell ref="B66:C66"/>
    <mergeCell ref="B97:C97"/>
    <mergeCell ref="B233:D233"/>
    <mergeCell ref="B231:D231"/>
    <mergeCell ref="B225:C225"/>
    <mergeCell ref="B226:D226"/>
    <mergeCell ref="B235:C235"/>
    <mergeCell ref="B221:D221"/>
    <mergeCell ref="B222:D222"/>
    <mergeCell ref="B223:D223"/>
    <mergeCell ref="B215:C215"/>
    <mergeCell ref="B218:D218"/>
    <mergeCell ref="B230:D230"/>
    <mergeCell ref="B220:C220"/>
    <mergeCell ref="B242:D242"/>
    <mergeCell ref="B244:C244"/>
    <mergeCell ref="B240:M240"/>
    <mergeCell ref="B241:C241"/>
    <mergeCell ref="B246:M246"/>
    <mergeCell ref="B234:M234"/>
    <mergeCell ref="B237:M237"/>
    <mergeCell ref="B243:M243"/>
    <mergeCell ref="B236:D236"/>
    <mergeCell ref="B126:C126"/>
    <mergeCell ref="B128:D128"/>
    <mergeCell ref="B127:D127"/>
    <mergeCell ref="B147:D147"/>
    <mergeCell ref="B146:C146"/>
    <mergeCell ref="B133:D133"/>
    <mergeCell ref="B138:C138"/>
    <mergeCell ref="B148:D148"/>
    <mergeCell ref="B157:C157"/>
    <mergeCell ref="B161:C161"/>
    <mergeCell ref="B124:D124"/>
    <mergeCell ref="B132:D132"/>
    <mergeCell ref="B153:C153"/>
    <mergeCell ref="B187:D187"/>
    <mergeCell ref="B188:D188"/>
    <mergeCell ref="B192:D192"/>
    <mergeCell ref="B191:D191"/>
    <mergeCell ref="B186:D186"/>
    <mergeCell ref="B200:D200"/>
    <mergeCell ref="B202:D202"/>
    <mergeCell ref="B201:D201"/>
    <mergeCell ref="B190:C190"/>
    <mergeCell ref="B105:C105"/>
    <mergeCell ref="B104:M104"/>
    <mergeCell ref="B109:M109"/>
    <mergeCell ref="B110:C110"/>
    <mergeCell ref="B107:D107"/>
    <mergeCell ref="B108:D108"/>
    <mergeCell ref="B101:C101"/>
    <mergeCell ref="B115:M115"/>
    <mergeCell ref="B100:M100"/>
    <mergeCell ref="B170:M170"/>
    <mergeCell ref="B168:C168"/>
    <mergeCell ref="B112:M112"/>
    <mergeCell ref="B118:M118"/>
    <mergeCell ref="B121:M121"/>
    <mergeCell ref="B173:M173"/>
    <mergeCell ref="B125:M125"/>
    <mergeCell ref="B134:M134"/>
    <mergeCell ref="B158:D158"/>
    <mergeCell ref="B129:M129"/>
    <mergeCell ref="B131:D131"/>
    <mergeCell ref="B130:C130"/>
    <mergeCell ref="B206:D206"/>
    <mergeCell ref="B207:D207"/>
    <mergeCell ref="B213:D213"/>
    <mergeCell ref="B212:C212"/>
    <mergeCell ref="B163:D163"/>
    <mergeCell ref="B165:C165"/>
    <mergeCell ref="B196:D196"/>
    <mergeCell ref="B193:D193"/>
    <mergeCell ref="B195:C195"/>
    <mergeCell ref="B199:D199"/>
    <mergeCell ref="B198:C198"/>
    <mergeCell ref="B205:D205"/>
    <mergeCell ref="B209:C209"/>
    <mergeCell ref="B210:D210"/>
    <mergeCell ref="B227:D227"/>
    <mergeCell ref="B217:D217"/>
    <mergeCell ref="B216:D216"/>
    <mergeCell ref="B204:C204"/>
    <mergeCell ref="B175:D175"/>
    <mergeCell ref="B174:C174"/>
    <mergeCell ref="B182:D182"/>
    <mergeCell ref="B181:C181"/>
    <mergeCell ref="B403:M403"/>
    <mergeCell ref="B407:M407"/>
    <mergeCell ref="B406:D406"/>
    <mergeCell ref="B405:D405"/>
    <mergeCell ref="B401:D401"/>
    <mergeCell ref="B416:D416"/>
    <mergeCell ref="B429:D429"/>
    <mergeCell ref="B428:D428"/>
    <mergeCell ref="B420:M420"/>
    <mergeCell ref="B426:M426"/>
    <mergeCell ref="B423:M423"/>
    <mergeCell ref="B422:D422"/>
    <mergeCell ref="B421:C421"/>
    <mergeCell ref="B431:M431"/>
    <mergeCell ref="B430:D430"/>
    <mergeCell ref="B433:D433"/>
    <mergeCell ref="B432:C432"/>
    <mergeCell ref="B441:D441"/>
    <mergeCell ref="B440:D440"/>
    <mergeCell ref="B439:D439"/>
    <mergeCell ref="B399:M399"/>
    <mergeCell ref="B398:D398"/>
    <mergeCell ref="B410:M410"/>
    <mergeCell ref="B434:M434"/>
    <mergeCell ref="B419:D419"/>
    <mergeCell ref="B39:D39"/>
    <mergeCell ref="B38:D38"/>
    <mergeCell ref="B37:C37"/>
    <mergeCell ref="B40:M40"/>
    <mergeCell ref="B43:M43"/>
    <mergeCell ref="B36:M36"/>
    <mergeCell ref="B51:D51"/>
    <mergeCell ref="B50:C50"/>
    <mergeCell ref="B49:M49"/>
    <mergeCell ref="B54:D54"/>
    <mergeCell ref="B53:C53"/>
    <mergeCell ref="B52:M52"/>
    <mergeCell ref="B84:C84"/>
    <mergeCell ref="B81:C81"/>
    <mergeCell ref="B83:M83"/>
    <mergeCell ref="B74:M74"/>
    <mergeCell ref="B86:M86"/>
    <mergeCell ref="B89:M89"/>
    <mergeCell ref="B4:C4"/>
    <mergeCell ref="B13:C13"/>
    <mergeCell ref="B26:D26"/>
    <mergeCell ref="B28:C28"/>
    <mergeCell ref="B58:C58"/>
    <mergeCell ref="B35:D35"/>
    <mergeCell ref="B14:D14"/>
    <mergeCell ref="B16:C16"/>
    <mergeCell ref="B10:C10"/>
    <mergeCell ref="B11:D11"/>
    <mergeCell ref="B8:D8"/>
    <mergeCell ref="B305:D305"/>
    <mergeCell ref="B306:M306"/>
    <mergeCell ref="B301:D301"/>
    <mergeCell ref="B298:M298"/>
    <mergeCell ref="B300:D300"/>
    <mergeCell ref="B291:M291"/>
    <mergeCell ref="B295:M295"/>
    <mergeCell ref="B296:C296"/>
    <mergeCell ref="B307:C307"/>
    <mergeCell ref="B320:D320"/>
    <mergeCell ref="B319:C319"/>
    <mergeCell ref="B317:D317"/>
    <mergeCell ref="B318:M318"/>
    <mergeCell ref="B328:D328"/>
    <mergeCell ref="B329:D329"/>
    <mergeCell ref="B330:M330"/>
    <mergeCell ref="B326:M326"/>
    <mergeCell ref="B327:C327"/>
    <mergeCell ref="B251:D251"/>
    <mergeCell ref="B250:C250"/>
    <mergeCell ref="B252:M252"/>
    <mergeCell ref="B255:M255"/>
    <mergeCell ref="B268:D268"/>
    <mergeCell ref="B275:M275"/>
    <mergeCell ref="B271:D271"/>
    <mergeCell ref="B249:M249"/>
    <mergeCell ref="B256:C256"/>
    <mergeCell ref="B257:D257"/>
    <mergeCell ref="B313:D313"/>
    <mergeCell ref="B311:D311"/>
    <mergeCell ref="B310:C310"/>
    <mergeCell ref="B303:M303"/>
    <mergeCell ref="B247:C247"/>
    <mergeCell ref="B245:D245"/>
    <mergeCell ref="B248:D248"/>
    <mergeCell ref="B287:D287"/>
    <mergeCell ref="B290:D290"/>
    <mergeCell ref="B292:C292"/>
    <mergeCell ref="B299:C299"/>
    <mergeCell ref="B267:C267"/>
    <mergeCell ref="B264:D264"/>
    <mergeCell ref="B265:D265"/>
    <mergeCell ref="B282:D282"/>
    <mergeCell ref="B279:D279"/>
    <mergeCell ref="B281:C281"/>
    <mergeCell ref="B294:D294"/>
    <mergeCell ref="B273:C273"/>
    <mergeCell ref="B274:D274"/>
    <mergeCell ref="B253:C253"/>
    <mergeCell ref="B254:D254"/>
  </mergeCells>
  <hyperlinks>
    <hyperlink display="N++&gt;Solo&gt;Levels" location="Main Menu!A1" ref="B1"/>
    <hyperlink display="Intro" location="Solo&gt;Levels&gt;Intro!A1" ref="B4"/>
    <hyperlink display="N++" location="Solo&gt;Levels&gt;N++!A1" ref="D4"/>
    <hyperlink display="Ultimate" location="Solo&gt;Levels&gt;Ultimate!A1" ref="F4"/>
    <hyperlink display="Legacy" location="Solo&gt;Levels&gt;Legacy!A1" ref="H4"/>
    <hyperlink display="?" location="Solo&gt;Levels&gt;!A1" ref="J4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4383</v>
      </c>
      <c r="N1" s="4"/>
    </row>
    <row r="2">
      <c r="A2" s="1"/>
      <c r="N2" s="4"/>
    </row>
    <row r="3">
      <c r="A3" s="1"/>
      <c r="N3" s="4"/>
    </row>
    <row r="4">
      <c r="A4" s="1"/>
      <c r="B4" s="31" t="s">
        <v>3</v>
      </c>
      <c r="C4" s="6"/>
      <c r="D4" s="8" t="s">
        <v>4</v>
      </c>
      <c r="E4" s="6"/>
      <c r="F4" s="9"/>
      <c r="G4" s="9"/>
      <c r="H4" s="9"/>
      <c r="I4" s="9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4387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4388</v>
      </c>
      <c r="D7" s="37" t="s">
        <v>3</v>
      </c>
      <c r="E7" s="38" t="s">
        <v>4390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4391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4393</v>
      </c>
      <c r="D9" s="37" t="s">
        <v>3</v>
      </c>
      <c r="E9" s="38" t="s">
        <v>4390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30"/>
      <c r="B10" s="14" t="s">
        <v>4394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/>
    </row>
    <row r="11">
      <c r="A11" s="30"/>
      <c r="B11" s="4" t="s">
        <v>4397</v>
      </c>
      <c r="D11" s="37" t="s">
        <v>3</v>
      </c>
      <c r="E11" s="38" t="s">
        <v>4390</v>
      </c>
      <c r="F11" s="30"/>
      <c r="G11" s="30"/>
      <c r="H11" s="30"/>
      <c r="I11" s="30"/>
      <c r="J11" s="30"/>
      <c r="K11" s="30"/>
      <c r="L11" s="30"/>
      <c r="M11" s="30"/>
      <c r="N11" s="30"/>
    </row>
    <row r="12">
      <c r="A12" s="30"/>
      <c r="B12" s="14" t="s">
        <v>4399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</row>
    <row r="13">
      <c r="A13" s="30"/>
      <c r="B13" s="4" t="s">
        <v>4400</v>
      </c>
      <c r="D13" s="37" t="s">
        <v>3</v>
      </c>
      <c r="E13" s="38" t="s">
        <v>4390</v>
      </c>
      <c r="F13" s="30"/>
      <c r="G13" s="30"/>
      <c r="H13" s="30"/>
      <c r="I13" s="30"/>
      <c r="J13" s="30"/>
      <c r="K13" s="30"/>
      <c r="L13" s="30"/>
      <c r="M13" s="30"/>
      <c r="N13" s="30"/>
    </row>
    <row r="14">
      <c r="A14" s="30"/>
      <c r="B14" s="14" t="s">
        <v>4402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</row>
    <row r="15">
      <c r="A15" s="30"/>
      <c r="B15" s="4" t="s">
        <v>4404</v>
      </c>
      <c r="D15" s="37" t="s">
        <v>3</v>
      </c>
      <c r="E15" s="38" t="s">
        <v>4390</v>
      </c>
      <c r="F15" s="30"/>
      <c r="G15" s="30"/>
      <c r="H15" s="30"/>
      <c r="I15" s="30"/>
      <c r="J15" s="30"/>
      <c r="K15" s="30"/>
      <c r="L15" s="30"/>
      <c r="M15" s="30"/>
      <c r="N15" s="30"/>
    </row>
    <row r="16">
      <c r="A16" s="1"/>
      <c r="B16" s="14" t="s">
        <v>4405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4408</v>
      </c>
      <c r="D17" s="37" t="s">
        <v>3</v>
      </c>
      <c r="E17" s="38" t="s">
        <v>4390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4409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4410</v>
      </c>
      <c r="D19" s="37" t="s">
        <v>3</v>
      </c>
      <c r="E19" s="38" t="s">
        <v>4390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30"/>
      <c r="B20" s="14" t="s">
        <v>4412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/>
    </row>
    <row r="21">
      <c r="A21" s="30"/>
      <c r="B21" s="4" t="s">
        <v>4415</v>
      </c>
      <c r="D21" s="37" t="s">
        <v>3</v>
      </c>
      <c r="E21" s="38" t="s">
        <v>4390</v>
      </c>
      <c r="F21" s="30"/>
      <c r="G21" s="30"/>
      <c r="H21" s="30"/>
      <c r="I21" s="30"/>
      <c r="J21" s="30"/>
      <c r="K21" s="30"/>
      <c r="L21" s="30"/>
      <c r="M21" s="30"/>
      <c r="N21" s="30"/>
    </row>
    <row r="22">
      <c r="A22" s="30"/>
      <c r="B22" s="14" t="s">
        <v>4416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/>
    </row>
    <row r="23">
      <c r="A23" s="30"/>
      <c r="B23" s="4" t="s">
        <v>4419</v>
      </c>
      <c r="D23" s="37" t="s">
        <v>3</v>
      </c>
      <c r="E23" s="38" t="s">
        <v>4390</v>
      </c>
      <c r="F23" s="30"/>
      <c r="G23" s="30"/>
      <c r="H23" s="30"/>
      <c r="I23" s="30"/>
      <c r="J23" s="30"/>
      <c r="K23" s="30"/>
      <c r="L23" s="30"/>
      <c r="M23" s="30"/>
      <c r="N23" s="30"/>
    </row>
    <row r="24">
      <c r="A24" s="30"/>
      <c r="B24" s="14" t="s">
        <v>4420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2"/>
    </row>
    <row r="25">
      <c r="A25" s="30"/>
      <c r="B25" s="4" t="s">
        <v>4422</v>
      </c>
      <c r="D25" s="37" t="s">
        <v>3</v>
      </c>
      <c r="E25" s="38" t="s">
        <v>4390</v>
      </c>
      <c r="F25" s="30"/>
      <c r="G25" s="30"/>
      <c r="H25" s="30"/>
      <c r="I25" s="30"/>
      <c r="J25" s="30"/>
      <c r="K25" s="30"/>
      <c r="L25" s="30"/>
      <c r="M25" s="30"/>
      <c r="N25" s="30"/>
    </row>
    <row r="26">
      <c r="A26" s="1"/>
      <c r="B26" s="14" t="s">
        <v>4424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4426</v>
      </c>
      <c r="D27" s="37" t="s">
        <v>3</v>
      </c>
      <c r="E27" s="38" t="s">
        <v>4390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4429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4430</v>
      </c>
      <c r="D29" s="37" t="s">
        <v>3</v>
      </c>
      <c r="E29" s="38" t="s">
        <v>4390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30"/>
      <c r="B30" s="14" t="s">
        <v>4431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2"/>
    </row>
    <row r="31">
      <c r="A31" s="30"/>
      <c r="B31" s="4" t="s">
        <v>4433</v>
      </c>
      <c r="D31" s="37" t="s">
        <v>3</v>
      </c>
      <c r="E31" s="38" t="s">
        <v>4390</v>
      </c>
      <c r="F31" s="30"/>
      <c r="G31" s="30"/>
      <c r="H31" s="30"/>
      <c r="I31" s="30"/>
      <c r="J31" s="30"/>
      <c r="K31" s="30"/>
      <c r="L31" s="30"/>
      <c r="M31" s="30"/>
      <c r="N31" s="30"/>
    </row>
    <row r="32">
      <c r="A32" s="30"/>
      <c r="B32" s="14" t="s">
        <v>4435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/>
    </row>
    <row r="33">
      <c r="A33" s="30"/>
      <c r="B33" s="4" t="s">
        <v>4437</v>
      </c>
      <c r="D33" s="37" t="s">
        <v>3</v>
      </c>
      <c r="E33" s="38" t="s">
        <v>4390</v>
      </c>
      <c r="F33" s="30"/>
      <c r="G33" s="30"/>
      <c r="H33" s="30"/>
      <c r="I33" s="30"/>
      <c r="J33" s="30"/>
      <c r="K33" s="30"/>
      <c r="L33" s="30"/>
      <c r="M33" s="30"/>
      <c r="N33" s="30"/>
    </row>
    <row r="34">
      <c r="A34" s="30"/>
      <c r="B34" s="14" t="s">
        <v>4439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/>
    </row>
    <row r="35">
      <c r="A35" s="30"/>
      <c r="B35" s="4" t="s">
        <v>4441</v>
      </c>
      <c r="D35" s="37" t="s">
        <v>3</v>
      </c>
      <c r="E35" s="38" t="s">
        <v>4390</v>
      </c>
      <c r="F35" s="30"/>
      <c r="G35" s="30"/>
      <c r="H35" s="30"/>
      <c r="I35" s="30"/>
      <c r="J35" s="30"/>
      <c r="K35" s="30"/>
      <c r="L35" s="30"/>
      <c r="M35" s="30"/>
      <c r="N35" s="30"/>
    </row>
    <row r="36">
      <c r="A36" s="1"/>
      <c r="B36" s="14" t="s">
        <v>4443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4444</v>
      </c>
      <c r="D37" s="37" t="s">
        <v>3</v>
      </c>
      <c r="E37" s="38" t="s">
        <v>4390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4446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4448</v>
      </c>
      <c r="D39" s="37" t="s">
        <v>3</v>
      </c>
      <c r="E39" s="38" t="s">
        <v>4390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30"/>
      <c r="B40" s="14" t="s">
        <v>4450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2"/>
    </row>
    <row r="41">
      <c r="A41" s="30"/>
      <c r="B41" s="4" t="s">
        <v>4452</v>
      </c>
      <c r="D41" s="37" t="s">
        <v>3</v>
      </c>
      <c r="E41" s="38" t="s">
        <v>4390</v>
      </c>
      <c r="F41" s="30"/>
      <c r="G41" s="30"/>
      <c r="H41" s="30"/>
      <c r="I41" s="30"/>
      <c r="J41" s="30"/>
      <c r="K41" s="30"/>
      <c r="L41" s="30"/>
      <c r="M41" s="30"/>
      <c r="N41" s="30"/>
    </row>
    <row r="42">
      <c r="A42" s="30"/>
      <c r="B42" s="14" t="s">
        <v>4454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2"/>
    </row>
    <row r="43">
      <c r="A43" s="30"/>
      <c r="B43" s="4" t="s">
        <v>4456</v>
      </c>
      <c r="D43" s="37" t="s">
        <v>3</v>
      </c>
      <c r="E43" s="38" t="s">
        <v>4390</v>
      </c>
      <c r="F43" s="30"/>
      <c r="G43" s="30"/>
      <c r="H43" s="30"/>
      <c r="I43" s="30"/>
      <c r="J43" s="30"/>
      <c r="K43" s="30"/>
      <c r="L43" s="30"/>
      <c r="M43" s="30"/>
      <c r="N43" s="30"/>
    </row>
    <row r="44">
      <c r="A44" s="30"/>
      <c r="B44" s="14" t="s">
        <v>4457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2"/>
    </row>
    <row r="45">
      <c r="A45" s="30"/>
      <c r="B45" s="4" t="s">
        <v>4459</v>
      </c>
      <c r="D45" s="37" t="s">
        <v>3</v>
      </c>
      <c r="E45" s="38" t="s">
        <v>4390</v>
      </c>
      <c r="F45" s="30"/>
      <c r="G45" s="30"/>
      <c r="H45" s="30"/>
      <c r="I45" s="30"/>
      <c r="J45" s="30"/>
      <c r="K45" s="30"/>
      <c r="L45" s="30"/>
      <c r="M45" s="30"/>
      <c r="N45" s="30"/>
    </row>
    <row r="46">
      <c r="A46" s="1"/>
      <c r="B46" s="14" t="s">
        <v>4460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4463</v>
      </c>
      <c r="D47" s="37" t="s">
        <v>3</v>
      </c>
      <c r="E47" s="38" t="s">
        <v>4390</v>
      </c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4" t="s">
        <v>4465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4"/>
    </row>
    <row r="49">
      <c r="A49" s="1"/>
      <c r="B49" s="4" t="s">
        <v>4466</v>
      </c>
      <c r="D49" s="37" t="s">
        <v>3</v>
      </c>
      <c r="E49" s="38" t="s">
        <v>4390</v>
      </c>
      <c r="F49" s="1"/>
      <c r="G49" s="1"/>
      <c r="H49" s="1"/>
      <c r="I49" s="1"/>
      <c r="J49" s="1"/>
      <c r="K49" s="1"/>
      <c r="L49" s="1"/>
      <c r="M49" s="1"/>
      <c r="N49" s="1"/>
    </row>
    <row r="50">
      <c r="A50" s="30"/>
      <c r="B50" s="14" t="s">
        <v>4469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2"/>
    </row>
    <row r="51">
      <c r="A51" s="30"/>
      <c r="B51" s="4" t="s">
        <v>4471</v>
      </c>
      <c r="D51" s="37" t="s">
        <v>3</v>
      </c>
      <c r="E51" s="38" t="s">
        <v>4390</v>
      </c>
      <c r="F51" s="30"/>
      <c r="G51" s="30"/>
      <c r="H51" s="30"/>
      <c r="I51" s="30"/>
      <c r="J51" s="30"/>
      <c r="K51" s="30"/>
      <c r="L51" s="30"/>
      <c r="M51" s="30"/>
      <c r="N51" s="30"/>
    </row>
    <row r="52">
      <c r="A52" s="30"/>
      <c r="B52" s="14" t="s">
        <v>4473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2"/>
    </row>
    <row r="53">
      <c r="A53" s="30"/>
      <c r="B53" s="4" t="s">
        <v>4474</v>
      </c>
      <c r="D53" s="37" t="s">
        <v>3</v>
      </c>
      <c r="E53" s="38" t="s">
        <v>4390</v>
      </c>
      <c r="F53" s="30"/>
      <c r="G53" s="30"/>
      <c r="H53" s="30"/>
      <c r="I53" s="30"/>
      <c r="J53" s="30"/>
      <c r="K53" s="30"/>
      <c r="L53" s="30"/>
      <c r="M53" s="30"/>
      <c r="N53" s="30"/>
    </row>
    <row r="54">
      <c r="A54" s="30"/>
      <c r="B54" s="14" t="s">
        <v>4476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2"/>
    </row>
    <row r="55">
      <c r="A55" s="30"/>
      <c r="B55" s="4" t="s">
        <v>4478</v>
      </c>
      <c r="D55" s="37" t="s">
        <v>3</v>
      </c>
      <c r="E55" s="38" t="s">
        <v>4390</v>
      </c>
      <c r="F55" s="30"/>
      <c r="G55" s="30"/>
      <c r="H55" s="30"/>
      <c r="I55" s="30"/>
      <c r="J55" s="30"/>
      <c r="K55" s="30"/>
      <c r="L55" s="30"/>
      <c r="M55" s="30"/>
      <c r="N55" s="30"/>
    </row>
    <row r="56">
      <c r="A56" s="1"/>
      <c r="B56" s="14" t="s">
        <v>4480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4"/>
    </row>
    <row r="57">
      <c r="A57" s="1"/>
      <c r="B57" s="4" t="s">
        <v>4482</v>
      </c>
      <c r="D57" s="37" t="s">
        <v>3</v>
      </c>
      <c r="E57" s="38" t="s">
        <v>4390</v>
      </c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4" t="s">
        <v>4483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4485</v>
      </c>
      <c r="D59" s="37" t="s">
        <v>3</v>
      </c>
      <c r="E59" s="38" t="s">
        <v>4390</v>
      </c>
      <c r="F59" s="1"/>
      <c r="G59" s="1"/>
      <c r="H59" s="1"/>
      <c r="I59" s="1"/>
      <c r="J59" s="1"/>
      <c r="K59" s="1"/>
      <c r="L59" s="1"/>
      <c r="M59" s="1"/>
      <c r="N59" s="1"/>
    </row>
    <row r="60">
      <c r="A60" s="30"/>
      <c r="B60" s="14" t="s">
        <v>4487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2"/>
    </row>
    <row r="61">
      <c r="A61" s="30"/>
      <c r="B61" s="4" t="s">
        <v>4488</v>
      </c>
      <c r="D61" s="37" t="s">
        <v>3</v>
      </c>
      <c r="E61" s="38" t="s">
        <v>4390</v>
      </c>
      <c r="F61" s="30"/>
      <c r="G61" s="30"/>
      <c r="H61" s="30"/>
      <c r="I61" s="30"/>
      <c r="J61" s="30"/>
      <c r="K61" s="30"/>
      <c r="L61" s="30"/>
      <c r="M61" s="30"/>
      <c r="N61" s="30"/>
    </row>
    <row r="62">
      <c r="A62" s="30"/>
      <c r="B62" s="14" t="s">
        <v>4491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2"/>
    </row>
    <row r="63">
      <c r="A63" s="30"/>
      <c r="B63" s="4" t="s">
        <v>4493</v>
      </c>
      <c r="D63" s="37" t="s">
        <v>3</v>
      </c>
      <c r="E63" s="38" t="s">
        <v>4390</v>
      </c>
      <c r="F63" s="30"/>
      <c r="G63" s="30"/>
      <c r="H63" s="30"/>
      <c r="I63" s="30"/>
      <c r="J63" s="30"/>
      <c r="K63" s="30"/>
      <c r="L63" s="30"/>
      <c r="M63" s="30"/>
      <c r="N63" s="30"/>
    </row>
    <row r="64">
      <c r="A64" s="30"/>
      <c r="B64" s="14" t="s">
        <v>4495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2"/>
    </row>
    <row r="65">
      <c r="A65" s="30"/>
      <c r="B65" s="4" t="s">
        <v>4496</v>
      </c>
      <c r="D65" s="37" t="s">
        <v>3</v>
      </c>
      <c r="E65" s="38" t="s">
        <v>4390</v>
      </c>
      <c r="F65" s="30"/>
      <c r="G65" s="30"/>
      <c r="H65" s="30"/>
      <c r="I65" s="30"/>
      <c r="J65" s="30"/>
      <c r="K65" s="30"/>
      <c r="L65" s="30"/>
      <c r="M65" s="30"/>
      <c r="N65" s="30"/>
    </row>
    <row r="66">
      <c r="A66" s="1"/>
      <c r="B66" s="14" t="s">
        <v>4498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4500</v>
      </c>
      <c r="D67" s="37" t="s">
        <v>3</v>
      </c>
      <c r="E67" s="38" t="s">
        <v>4390</v>
      </c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4" t="s">
        <v>4501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4"/>
    </row>
    <row r="69">
      <c r="A69" s="1"/>
      <c r="B69" s="4" t="s">
        <v>4505</v>
      </c>
      <c r="D69" s="37" t="s">
        <v>3</v>
      </c>
      <c r="E69" s="38" t="s">
        <v>4390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30"/>
      <c r="B70" s="14" t="s">
        <v>4506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2"/>
    </row>
    <row r="71">
      <c r="A71" s="30"/>
      <c r="B71" s="4" t="s">
        <v>4507</v>
      </c>
      <c r="D71" s="37" t="s">
        <v>3</v>
      </c>
      <c r="E71" s="38" t="s">
        <v>4390</v>
      </c>
      <c r="F71" s="30"/>
      <c r="G71" s="30"/>
      <c r="H71" s="30"/>
      <c r="I71" s="30"/>
      <c r="J71" s="30"/>
      <c r="K71" s="30"/>
      <c r="L71" s="30"/>
      <c r="M71" s="30"/>
      <c r="N71" s="30"/>
    </row>
    <row r="72">
      <c r="A72" s="30"/>
      <c r="B72" s="14" t="s">
        <v>4509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2"/>
    </row>
    <row r="73">
      <c r="A73" s="30"/>
      <c r="B73" s="4" t="s">
        <v>4511</v>
      </c>
      <c r="D73" s="37" t="s">
        <v>3</v>
      </c>
      <c r="E73" s="38" t="s">
        <v>4390</v>
      </c>
      <c r="F73" s="30"/>
      <c r="G73" s="30"/>
      <c r="H73" s="30"/>
      <c r="I73" s="30"/>
      <c r="J73" s="30"/>
      <c r="K73" s="30"/>
      <c r="L73" s="30"/>
      <c r="M73" s="30"/>
      <c r="N73" s="30"/>
    </row>
    <row r="74">
      <c r="A74" s="30"/>
      <c r="B74" s="14" t="s">
        <v>4513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2"/>
    </row>
    <row r="75">
      <c r="A75" s="30"/>
      <c r="B75" s="4" t="s">
        <v>4514</v>
      </c>
      <c r="D75" s="37" t="s">
        <v>3</v>
      </c>
      <c r="E75" s="38" t="s">
        <v>4390</v>
      </c>
      <c r="F75" s="30"/>
      <c r="G75" s="30"/>
      <c r="H75" s="30"/>
      <c r="I75" s="30"/>
      <c r="J75" s="30"/>
      <c r="K75" s="30"/>
      <c r="L75" s="30"/>
      <c r="M75" s="30"/>
      <c r="N75" s="30"/>
    </row>
    <row r="76">
      <c r="A76" s="1"/>
      <c r="B76" s="14" t="s">
        <v>4516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4518</v>
      </c>
      <c r="D77" s="37" t="s">
        <v>3</v>
      </c>
      <c r="E77" s="38" t="s">
        <v>4390</v>
      </c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4" t="s">
        <v>4520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4522</v>
      </c>
      <c r="D79" s="37" t="s">
        <v>3</v>
      </c>
      <c r="E79" s="38" t="s">
        <v>4390</v>
      </c>
      <c r="F79" s="1"/>
      <c r="G79" s="1"/>
      <c r="H79" s="1"/>
      <c r="I79" s="1"/>
      <c r="J79" s="1"/>
      <c r="K79" s="1"/>
      <c r="L79" s="1"/>
      <c r="M79" s="1"/>
      <c r="N79" s="1"/>
    </row>
    <row r="80">
      <c r="A80" s="30"/>
      <c r="B80" s="14" t="s">
        <v>4524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2"/>
    </row>
    <row r="81">
      <c r="A81" s="30"/>
      <c r="B81" s="4" t="s">
        <v>4526</v>
      </c>
      <c r="D81" s="37" t="s">
        <v>3</v>
      </c>
      <c r="E81" s="38" t="s">
        <v>4390</v>
      </c>
      <c r="F81" s="30"/>
      <c r="G81" s="30"/>
      <c r="H81" s="30"/>
      <c r="I81" s="30"/>
      <c r="J81" s="30"/>
      <c r="K81" s="30"/>
      <c r="L81" s="30"/>
      <c r="M81" s="30"/>
      <c r="N81" s="30"/>
    </row>
    <row r="82">
      <c r="A82" s="30"/>
      <c r="B82" s="14" t="s">
        <v>4527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2"/>
    </row>
    <row r="83">
      <c r="A83" s="30"/>
      <c r="B83" s="4" t="s">
        <v>4530</v>
      </c>
      <c r="D83" s="37" t="s">
        <v>3</v>
      </c>
      <c r="E83" s="38" t="s">
        <v>4390</v>
      </c>
      <c r="F83" s="30"/>
      <c r="G83" s="30"/>
      <c r="H83" s="30"/>
      <c r="I83" s="30"/>
      <c r="J83" s="30"/>
      <c r="K83" s="30"/>
      <c r="L83" s="30"/>
      <c r="M83" s="30"/>
      <c r="N83" s="30"/>
    </row>
    <row r="84">
      <c r="A84" s="30"/>
      <c r="B84" s="14" t="s">
        <v>4532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2"/>
    </row>
    <row r="85">
      <c r="A85" s="30"/>
      <c r="B85" s="4" t="s">
        <v>4534</v>
      </c>
      <c r="D85" s="37" t="s">
        <v>3</v>
      </c>
      <c r="E85" s="38" t="s">
        <v>4390</v>
      </c>
      <c r="F85" s="30"/>
      <c r="G85" s="30"/>
      <c r="H85" s="30"/>
      <c r="I85" s="30"/>
      <c r="J85" s="30"/>
      <c r="K85" s="30"/>
      <c r="L85" s="30"/>
      <c r="M85" s="30"/>
      <c r="N85" s="30"/>
    </row>
    <row r="86">
      <c r="A86" s="1"/>
      <c r="B86" s="14" t="s">
        <v>4536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4538</v>
      </c>
      <c r="D87" s="37" t="s">
        <v>3</v>
      </c>
      <c r="E87" s="38" t="s">
        <v>4390</v>
      </c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4" t="s">
        <v>4539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4542</v>
      </c>
      <c r="D89" s="37" t="s">
        <v>3</v>
      </c>
      <c r="E89" s="38" t="s">
        <v>4390</v>
      </c>
      <c r="F89" s="1"/>
      <c r="G89" s="1"/>
      <c r="H89" s="1"/>
      <c r="I89" s="1"/>
      <c r="J89" s="1"/>
      <c r="K89" s="1"/>
      <c r="L89" s="1"/>
      <c r="M89" s="1"/>
      <c r="N89" s="1"/>
    </row>
    <row r="90">
      <c r="A90" s="30"/>
      <c r="B90" s="14" t="s">
        <v>4544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2"/>
    </row>
    <row r="91">
      <c r="A91" s="30"/>
      <c r="B91" s="4" t="s">
        <v>4546</v>
      </c>
      <c r="D91" s="37" t="s">
        <v>3</v>
      </c>
      <c r="E91" s="38" t="s">
        <v>4390</v>
      </c>
      <c r="F91" s="30"/>
      <c r="G91" s="30"/>
      <c r="H91" s="30"/>
      <c r="I91" s="30"/>
      <c r="J91" s="30"/>
      <c r="K91" s="30"/>
      <c r="L91" s="30"/>
      <c r="M91" s="30"/>
      <c r="N91" s="30"/>
    </row>
    <row r="92">
      <c r="A92" s="30"/>
      <c r="B92" s="14" t="s">
        <v>4547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2"/>
    </row>
    <row r="93">
      <c r="A93" s="30"/>
      <c r="B93" s="4" t="s">
        <v>4550</v>
      </c>
      <c r="D93" s="37" t="s">
        <v>3</v>
      </c>
      <c r="E93" s="38" t="s">
        <v>4390</v>
      </c>
      <c r="F93" s="30"/>
      <c r="G93" s="30"/>
      <c r="H93" s="30"/>
      <c r="I93" s="30"/>
      <c r="J93" s="30"/>
      <c r="K93" s="30"/>
      <c r="L93" s="30"/>
      <c r="M93" s="30"/>
      <c r="N93" s="30"/>
    </row>
    <row r="94">
      <c r="A94" s="30"/>
      <c r="B94" s="14" t="s">
        <v>4552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2"/>
    </row>
    <row r="95">
      <c r="A95" s="30"/>
      <c r="B95" s="4" t="s">
        <v>4554</v>
      </c>
      <c r="D95" s="37" t="s">
        <v>3</v>
      </c>
      <c r="E95" s="38" t="s">
        <v>4390</v>
      </c>
      <c r="F95" s="30"/>
      <c r="G95" s="30"/>
      <c r="H95" s="30"/>
      <c r="I95" s="30"/>
      <c r="J95" s="30"/>
      <c r="K95" s="30"/>
      <c r="L95" s="30"/>
      <c r="M95" s="30"/>
      <c r="N95" s="30"/>
    </row>
    <row r="96">
      <c r="A96" s="1"/>
      <c r="B96" s="14" t="s">
        <v>4555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4557</v>
      </c>
      <c r="D97" s="37" t="s">
        <v>3</v>
      </c>
      <c r="E97" s="38" t="s">
        <v>4390</v>
      </c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4" t="s">
        <v>4558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4"/>
    </row>
    <row r="99">
      <c r="A99" s="1"/>
      <c r="B99" s="4" t="s">
        <v>4561</v>
      </c>
      <c r="D99" s="37" t="s">
        <v>3</v>
      </c>
      <c r="E99" s="38" t="s">
        <v>4390</v>
      </c>
      <c r="F99" s="1"/>
      <c r="G99" s="1"/>
      <c r="H99" s="1"/>
      <c r="I99" s="1"/>
      <c r="J99" s="1"/>
      <c r="K99" s="1"/>
      <c r="L99" s="1"/>
      <c r="M99" s="1"/>
      <c r="N99" s="1"/>
    </row>
    <row r="100">
      <c r="A100" s="30"/>
      <c r="B100" s="14" t="s">
        <v>4562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2"/>
    </row>
    <row r="101">
      <c r="A101" s="30"/>
      <c r="B101" s="4" t="s">
        <v>4565</v>
      </c>
      <c r="D101" s="37" t="s">
        <v>3</v>
      </c>
      <c r="E101" s="38" t="s">
        <v>4390</v>
      </c>
      <c r="F101" s="30"/>
      <c r="G101" s="30"/>
      <c r="H101" s="30"/>
      <c r="I101" s="30"/>
      <c r="J101" s="30"/>
      <c r="K101" s="30"/>
      <c r="L101" s="30"/>
      <c r="M101" s="30"/>
      <c r="N101" s="30"/>
    </row>
    <row r="102">
      <c r="A102" s="30"/>
      <c r="B102" s="14" t="s">
        <v>4566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2"/>
    </row>
    <row r="103">
      <c r="A103" s="30"/>
      <c r="B103" s="4" t="s">
        <v>4568</v>
      </c>
      <c r="D103" s="37" t="s">
        <v>3</v>
      </c>
      <c r="E103" s="38" t="s">
        <v>4390</v>
      </c>
      <c r="F103" s="30"/>
      <c r="G103" s="30"/>
      <c r="H103" s="30"/>
      <c r="I103" s="30"/>
      <c r="J103" s="30"/>
      <c r="K103" s="30"/>
      <c r="L103" s="30"/>
      <c r="M103" s="30"/>
      <c r="N103" s="30"/>
    </row>
    <row r="104">
      <c r="A104" s="30"/>
      <c r="B104" s="14" t="s">
        <v>4570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2"/>
    </row>
    <row r="105">
      <c r="A105" s="30"/>
      <c r="B105" s="4" t="s">
        <v>4572</v>
      </c>
      <c r="D105" s="37" t="s">
        <v>3</v>
      </c>
      <c r="E105" s="38" t="s">
        <v>4390</v>
      </c>
      <c r="F105" s="30"/>
      <c r="G105" s="30"/>
      <c r="H105" s="30"/>
      <c r="I105" s="30"/>
      <c r="J105" s="30"/>
      <c r="K105" s="30"/>
      <c r="L105" s="30"/>
      <c r="M105" s="30"/>
      <c r="N105" s="30"/>
    </row>
    <row r="106">
      <c r="A106" s="1"/>
      <c r="B106" s="14" t="s">
        <v>4575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4"/>
    </row>
    <row r="107">
      <c r="A107" s="1"/>
      <c r="B107" s="4" t="s">
        <v>4576</v>
      </c>
      <c r="D107" s="37" t="s">
        <v>3</v>
      </c>
      <c r="E107" s="38" t="s">
        <v>4390</v>
      </c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4" t="s">
        <v>4577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4"/>
    </row>
    <row r="109">
      <c r="A109" s="1"/>
      <c r="B109" s="4" t="s">
        <v>4579</v>
      </c>
      <c r="D109" s="37" t="s">
        <v>3</v>
      </c>
      <c r="E109" s="38" t="s">
        <v>4390</v>
      </c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30"/>
      <c r="B110" s="14" t="s">
        <v>4581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2"/>
    </row>
    <row r="111">
      <c r="A111" s="30"/>
      <c r="B111" s="4" t="s">
        <v>4583</v>
      </c>
      <c r="D111" s="37" t="s">
        <v>3</v>
      </c>
      <c r="E111" s="38" t="s">
        <v>4390</v>
      </c>
      <c r="F111" s="30"/>
      <c r="G111" s="30"/>
      <c r="H111" s="30"/>
      <c r="I111" s="30"/>
      <c r="J111" s="30"/>
      <c r="K111" s="30"/>
      <c r="L111" s="30"/>
      <c r="M111" s="30"/>
      <c r="N111" s="30"/>
    </row>
    <row r="112">
      <c r="A112" s="30"/>
      <c r="B112" s="14" t="s">
        <v>4585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2"/>
    </row>
    <row r="113">
      <c r="A113" s="30"/>
      <c r="B113" s="4" t="s">
        <v>4588</v>
      </c>
      <c r="D113" s="37" t="s">
        <v>3</v>
      </c>
      <c r="E113" s="38" t="s">
        <v>4390</v>
      </c>
      <c r="F113" s="30"/>
      <c r="G113" s="30"/>
      <c r="H113" s="30"/>
      <c r="I113" s="30"/>
      <c r="J113" s="30"/>
      <c r="K113" s="30"/>
      <c r="L113" s="30"/>
      <c r="M113" s="30"/>
      <c r="N113" s="30"/>
    </row>
    <row r="114">
      <c r="A114" s="30"/>
      <c r="B114" s="14" t="s">
        <v>4590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2"/>
    </row>
    <row r="115">
      <c r="A115" s="30"/>
      <c r="B115" s="4" t="s">
        <v>4592</v>
      </c>
      <c r="D115" s="37" t="s">
        <v>3</v>
      </c>
      <c r="E115" s="38" t="s">
        <v>4390</v>
      </c>
      <c r="F115" s="30"/>
      <c r="G115" s="30"/>
      <c r="H115" s="30"/>
      <c r="I115" s="30"/>
      <c r="J115" s="30"/>
      <c r="K115" s="30"/>
      <c r="L115" s="30"/>
      <c r="M115" s="30"/>
      <c r="N115" s="30"/>
    </row>
    <row r="116">
      <c r="A116" s="1"/>
      <c r="B116" s="14" t="s">
        <v>4595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4"/>
    </row>
    <row r="117">
      <c r="A117" s="1"/>
      <c r="B117" s="4" t="s">
        <v>4599</v>
      </c>
      <c r="D117" s="37" t="s">
        <v>3</v>
      </c>
      <c r="E117" s="38" t="s">
        <v>4390</v>
      </c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4600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4"/>
    </row>
    <row r="119">
      <c r="A119" s="1"/>
      <c r="B119" s="4" t="s">
        <v>4602</v>
      </c>
      <c r="D119" s="37" t="s">
        <v>3</v>
      </c>
      <c r="E119" s="38" t="s">
        <v>4390</v>
      </c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30"/>
      <c r="B120" s="14" t="s">
        <v>4605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32"/>
    </row>
    <row r="121">
      <c r="A121" s="30"/>
      <c r="B121" s="4" t="s">
        <v>4608</v>
      </c>
      <c r="D121" s="37" t="s">
        <v>3</v>
      </c>
      <c r="E121" s="38" t="s">
        <v>4390</v>
      </c>
      <c r="F121" s="30"/>
      <c r="G121" s="30"/>
      <c r="H121" s="30"/>
      <c r="I121" s="30"/>
      <c r="J121" s="30"/>
      <c r="K121" s="30"/>
      <c r="L121" s="30"/>
      <c r="M121" s="30"/>
      <c r="N121" s="30"/>
    </row>
    <row r="122">
      <c r="A122" s="30"/>
      <c r="B122" s="14" t="s">
        <v>4610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32"/>
    </row>
    <row r="123">
      <c r="A123" s="30"/>
      <c r="B123" s="4" t="s">
        <v>4613</v>
      </c>
      <c r="D123" s="37" t="s">
        <v>3</v>
      </c>
      <c r="E123" s="38" t="s">
        <v>4390</v>
      </c>
      <c r="F123" s="30"/>
      <c r="G123" s="30"/>
      <c r="H123" s="30"/>
      <c r="I123" s="30"/>
      <c r="J123" s="30"/>
      <c r="K123" s="30"/>
      <c r="L123" s="30"/>
      <c r="M123" s="30"/>
      <c r="N123" s="30"/>
    </row>
    <row r="124">
      <c r="A124" s="30"/>
      <c r="B124" s="14" t="s">
        <v>4614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2"/>
    </row>
    <row r="125">
      <c r="A125" s="30"/>
      <c r="B125" s="4" t="s">
        <v>4618</v>
      </c>
      <c r="D125" s="37" t="s">
        <v>3</v>
      </c>
      <c r="E125" s="38" t="s">
        <v>4390</v>
      </c>
      <c r="F125" s="30"/>
      <c r="G125" s="30"/>
      <c r="H125" s="30"/>
      <c r="I125" s="30"/>
      <c r="J125" s="30"/>
      <c r="K125" s="30"/>
      <c r="L125" s="30"/>
      <c r="M125" s="30"/>
      <c r="N125" s="30"/>
    </row>
    <row r="126">
      <c r="A126" s="1"/>
      <c r="B126" s="14" t="s">
        <v>4619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4"/>
    </row>
    <row r="127">
      <c r="A127" s="1"/>
      <c r="B127" s="4" t="s">
        <v>4623</v>
      </c>
      <c r="D127" s="37" t="s">
        <v>3</v>
      </c>
      <c r="E127" s="38" t="s">
        <v>4390</v>
      </c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4" t="s">
        <v>4624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4"/>
    </row>
    <row r="129">
      <c r="A129" s="1"/>
      <c r="B129" s="4" t="s">
        <v>4628</v>
      </c>
      <c r="D129" s="37" t="s">
        <v>3</v>
      </c>
      <c r="E129" s="38" t="s">
        <v>4390</v>
      </c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30"/>
      <c r="B130" s="14" t="s">
        <v>4630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2"/>
    </row>
    <row r="131">
      <c r="A131" s="30"/>
      <c r="B131" s="4" t="s">
        <v>4633</v>
      </c>
      <c r="D131" s="37" t="s">
        <v>3</v>
      </c>
      <c r="E131" s="38" t="s">
        <v>4390</v>
      </c>
      <c r="F131" s="30"/>
      <c r="G131" s="30"/>
      <c r="H131" s="30"/>
      <c r="I131" s="30"/>
      <c r="J131" s="30"/>
      <c r="K131" s="30"/>
      <c r="L131" s="30"/>
      <c r="M131" s="30"/>
      <c r="N131" s="30"/>
    </row>
    <row r="132">
      <c r="A132" s="30"/>
      <c r="B132" s="14" t="s">
        <v>4634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32"/>
    </row>
    <row r="133">
      <c r="A133" s="30"/>
      <c r="B133" s="4" t="s">
        <v>4640</v>
      </c>
      <c r="D133" s="37" t="s">
        <v>3</v>
      </c>
      <c r="E133" s="38" t="s">
        <v>4390</v>
      </c>
      <c r="F133" s="30"/>
      <c r="G133" s="30"/>
      <c r="H133" s="30"/>
      <c r="I133" s="30"/>
      <c r="J133" s="30"/>
      <c r="K133" s="30"/>
      <c r="L133" s="30"/>
      <c r="M133" s="30"/>
      <c r="N133" s="30"/>
    </row>
    <row r="134">
      <c r="A134" s="30"/>
      <c r="B134" s="14" t="s">
        <v>4642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32"/>
    </row>
    <row r="135">
      <c r="A135" s="30"/>
      <c r="B135" s="4" t="s">
        <v>4644</v>
      </c>
      <c r="D135" s="37" t="s">
        <v>3</v>
      </c>
      <c r="E135" s="38" t="s">
        <v>4390</v>
      </c>
      <c r="F135" s="30"/>
      <c r="G135" s="30"/>
      <c r="H135" s="30"/>
      <c r="I135" s="30"/>
      <c r="J135" s="30"/>
      <c r="K135" s="30"/>
      <c r="L135" s="30"/>
      <c r="M135" s="30"/>
      <c r="N135" s="30"/>
    </row>
    <row r="136">
      <c r="A136" s="1"/>
      <c r="B136" s="14" t="s">
        <v>4647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4"/>
    </row>
    <row r="137">
      <c r="A137" s="1"/>
      <c r="B137" s="4" t="s">
        <v>4651</v>
      </c>
      <c r="D137" s="37" t="s">
        <v>3</v>
      </c>
      <c r="E137" s="38" t="s">
        <v>4390</v>
      </c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4" t="s">
        <v>4652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4"/>
    </row>
    <row r="139">
      <c r="A139" s="1"/>
      <c r="B139" s="4" t="s">
        <v>4655</v>
      </c>
      <c r="D139" s="37" t="s">
        <v>3</v>
      </c>
      <c r="E139" s="38" t="s">
        <v>4390</v>
      </c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30"/>
      <c r="B140" s="14" t="s">
        <v>4656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32"/>
    </row>
    <row r="141">
      <c r="A141" s="30"/>
      <c r="B141" s="4" t="s">
        <v>4660</v>
      </c>
      <c r="D141" s="37" t="s">
        <v>3</v>
      </c>
      <c r="E141" s="38" t="s">
        <v>4390</v>
      </c>
      <c r="F141" s="30"/>
      <c r="G141" s="30"/>
      <c r="H141" s="30"/>
      <c r="I141" s="30"/>
      <c r="J141" s="30"/>
      <c r="K141" s="30"/>
      <c r="L141" s="30"/>
      <c r="M141" s="30"/>
      <c r="N141" s="30"/>
    </row>
    <row r="142">
      <c r="A142" s="30"/>
      <c r="B142" s="14" t="s">
        <v>4663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32"/>
    </row>
    <row r="143">
      <c r="A143" s="30"/>
      <c r="B143" s="4" t="s">
        <v>4666</v>
      </c>
      <c r="D143" s="37" t="s">
        <v>3</v>
      </c>
      <c r="E143" s="38" t="s">
        <v>4390</v>
      </c>
      <c r="F143" s="30"/>
      <c r="G143" s="30"/>
      <c r="H143" s="30"/>
      <c r="I143" s="30"/>
      <c r="J143" s="30"/>
      <c r="K143" s="30"/>
      <c r="L143" s="30"/>
      <c r="M143" s="30"/>
      <c r="N143" s="30"/>
    </row>
    <row r="144">
      <c r="A144" s="30"/>
      <c r="B144" s="14" t="s">
        <v>4668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32"/>
    </row>
    <row r="145">
      <c r="A145" s="30"/>
      <c r="B145" s="4" t="s">
        <v>4669</v>
      </c>
      <c r="D145" s="37" t="s">
        <v>3</v>
      </c>
      <c r="E145" s="38" t="s">
        <v>4390</v>
      </c>
      <c r="F145" s="30"/>
      <c r="G145" s="30"/>
      <c r="H145" s="30"/>
      <c r="I145" s="30"/>
      <c r="J145" s="30"/>
      <c r="K145" s="30"/>
      <c r="L145" s="30"/>
      <c r="M145" s="30"/>
      <c r="N145" s="30"/>
    </row>
    <row r="146">
      <c r="A146" s="1"/>
      <c r="B146" s="14" t="s">
        <v>4672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4"/>
    </row>
    <row r="147">
      <c r="A147" s="1"/>
      <c r="B147" s="4" t="s">
        <v>4674</v>
      </c>
      <c r="D147" s="37" t="s">
        <v>3</v>
      </c>
      <c r="E147" s="38" t="s">
        <v>4390</v>
      </c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4" t="s">
        <v>4676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4"/>
    </row>
    <row r="149">
      <c r="A149" s="1"/>
      <c r="B149" s="4" t="s">
        <v>4679</v>
      </c>
      <c r="D149" s="37" t="s">
        <v>3</v>
      </c>
      <c r="E149" s="38" t="s">
        <v>4390</v>
      </c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30"/>
      <c r="B150" s="14" t="s">
        <v>4680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32"/>
    </row>
    <row r="151">
      <c r="A151" s="30"/>
      <c r="B151" s="4" t="s">
        <v>4683</v>
      </c>
      <c r="D151" s="37" t="s">
        <v>3</v>
      </c>
      <c r="E151" s="38" t="s">
        <v>4390</v>
      </c>
      <c r="F151" s="30"/>
      <c r="G151" s="30"/>
      <c r="H151" s="30"/>
      <c r="I151" s="30"/>
      <c r="J151" s="30"/>
      <c r="K151" s="30"/>
      <c r="L151" s="30"/>
      <c r="M151" s="30"/>
      <c r="N151" s="30"/>
    </row>
    <row r="152">
      <c r="A152" s="30"/>
      <c r="B152" s="14" t="s">
        <v>4684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32"/>
    </row>
    <row r="153">
      <c r="A153" s="30"/>
      <c r="B153" s="4" t="s">
        <v>4688</v>
      </c>
      <c r="D153" s="37" t="s">
        <v>3</v>
      </c>
      <c r="E153" s="38" t="s">
        <v>4390</v>
      </c>
      <c r="F153" s="30"/>
      <c r="G153" s="30"/>
      <c r="H153" s="30"/>
      <c r="I153" s="30"/>
      <c r="J153" s="30"/>
      <c r="K153" s="30"/>
      <c r="L153" s="30"/>
      <c r="M153" s="30"/>
      <c r="N153" s="30"/>
    </row>
    <row r="154">
      <c r="A154" s="30"/>
      <c r="B154" s="14" t="s">
        <v>4690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32"/>
    </row>
    <row r="155">
      <c r="A155" s="30"/>
      <c r="B155" s="4" t="s">
        <v>4692</v>
      </c>
      <c r="D155" s="37" t="s">
        <v>3</v>
      </c>
      <c r="E155" s="38" t="s">
        <v>4390</v>
      </c>
      <c r="F155" s="30"/>
      <c r="G155" s="30"/>
      <c r="H155" s="30"/>
      <c r="I155" s="30"/>
      <c r="J155" s="30"/>
      <c r="K155" s="30"/>
      <c r="L155" s="30"/>
      <c r="M155" s="30"/>
      <c r="N155" s="30"/>
    </row>
    <row r="156">
      <c r="A156" s="30"/>
      <c r="B156" s="14" t="s">
        <v>4694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32"/>
    </row>
    <row r="157">
      <c r="A157" s="30"/>
      <c r="B157" s="4" t="s">
        <v>4698</v>
      </c>
      <c r="D157" s="37" t="s">
        <v>3</v>
      </c>
      <c r="E157" s="38" t="s">
        <v>4390</v>
      </c>
      <c r="F157" s="30"/>
      <c r="G157" s="30"/>
      <c r="H157" s="30"/>
      <c r="I157" s="30"/>
      <c r="J157" s="30"/>
      <c r="K157" s="30"/>
      <c r="L157" s="30"/>
      <c r="M157" s="30"/>
      <c r="N157" s="30"/>
    </row>
    <row r="158">
      <c r="A158" s="30"/>
      <c r="B158" s="14" t="s">
        <v>4699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32"/>
    </row>
    <row r="159">
      <c r="A159" s="30"/>
      <c r="B159" s="4" t="s">
        <v>4703</v>
      </c>
      <c r="D159" s="37" t="s">
        <v>3</v>
      </c>
      <c r="E159" s="38" t="s">
        <v>4390</v>
      </c>
      <c r="F159" s="30"/>
      <c r="G159" s="30"/>
      <c r="H159" s="30"/>
      <c r="I159" s="30"/>
      <c r="J159" s="30"/>
      <c r="K159" s="30"/>
      <c r="L159" s="30"/>
      <c r="M159" s="30"/>
      <c r="N159" s="30"/>
    </row>
    <row r="160">
      <c r="A160" s="1"/>
      <c r="B160" s="14" t="s">
        <v>4704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4"/>
    </row>
    <row r="161">
      <c r="A161" s="1"/>
      <c r="B161" s="4" t="s">
        <v>4707</v>
      </c>
      <c r="D161" s="37" t="s">
        <v>3</v>
      </c>
      <c r="E161" s="38" t="s">
        <v>4390</v>
      </c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4" t="s">
        <v>4709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4"/>
    </row>
    <row r="163">
      <c r="A163" s="1"/>
      <c r="B163" s="4" t="s">
        <v>4713</v>
      </c>
      <c r="D163" s="37" t="s">
        <v>3</v>
      </c>
      <c r="E163" s="38" t="s">
        <v>4390</v>
      </c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30"/>
      <c r="B164" s="14" t="s">
        <v>4715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32"/>
    </row>
    <row r="165">
      <c r="A165" s="30"/>
      <c r="B165" s="4" t="s">
        <v>4718</v>
      </c>
      <c r="D165" s="37" t="s">
        <v>3</v>
      </c>
      <c r="E165" s="38" t="s">
        <v>4390</v>
      </c>
      <c r="F165" s="18" t="str">
        <f>HYPERLINK("https://www.twitch.tv/videos/392174619?collection=oQVne6T1iRWqEw",'Players&gt;List'!$B30)</f>
        <v>[TST]</v>
      </c>
      <c r="G165" s="30"/>
      <c r="H165" s="30"/>
      <c r="I165" s="30"/>
      <c r="J165" s="30"/>
      <c r="K165" s="30"/>
      <c r="L165" s="30"/>
      <c r="M165" s="30"/>
      <c r="N165" s="30"/>
    </row>
    <row r="166">
      <c r="A166" s="30"/>
      <c r="B166" s="14" t="s">
        <v>4725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32"/>
    </row>
    <row r="167">
      <c r="A167" s="30"/>
      <c r="B167" s="4" t="s">
        <v>4727</v>
      </c>
      <c r="D167" s="37" t="s">
        <v>3</v>
      </c>
      <c r="E167" s="38" t="s">
        <v>4390</v>
      </c>
      <c r="F167" s="30"/>
      <c r="G167" s="30"/>
      <c r="H167" s="30"/>
      <c r="I167" s="30"/>
      <c r="J167" s="30"/>
      <c r="K167" s="30"/>
      <c r="L167" s="30"/>
      <c r="M167" s="30"/>
      <c r="N167" s="30"/>
    </row>
    <row r="168">
      <c r="A168" s="30"/>
      <c r="B168" s="14" t="s">
        <v>4729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32"/>
    </row>
    <row r="169">
      <c r="A169" s="30"/>
      <c r="B169" s="4" t="s">
        <v>4732</v>
      </c>
      <c r="D169" s="37" t="s">
        <v>3</v>
      </c>
      <c r="E169" s="38" t="s">
        <v>4390</v>
      </c>
      <c r="F169" s="30"/>
      <c r="G169" s="30"/>
      <c r="H169" s="30"/>
      <c r="I169" s="30"/>
      <c r="J169" s="30"/>
      <c r="K169" s="30"/>
      <c r="L169" s="30"/>
      <c r="M169" s="30"/>
      <c r="N169" s="30"/>
    </row>
    <row r="170">
      <c r="A170" s="1"/>
      <c r="B170" s="14" t="s">
        <v>4734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4"/>
    </row>
    <row r="171">
      <c r="A171" s="1"/>
      <c r="B171" s="4" t="s">
        <v>4737</v>
      </c>
      <c r="D171" s="37" t="s">
        <v>3</v>
      </c>
      <c r="E171" s="38" t="s">
        <v>4390</v>
      </c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4" t="s">
        <v>4738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4"/>
    </row>
    <row r="173">
      <c r="A173" s="1"/>
      <c r="B173" s="4" t="s">
        <v>4740</v>
      </c>
      <c r="D173" s="37" t="s">
        <v>3</v>
      </c>
      <c r="E173" s="38" t="s">
        <v>4390</v>
      </c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30"/>
      <c r="B174" s="14" t="s">
        <v>4742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32"/>
    </row>
    <row r="175">
      <c r="A175" s="30"/>
      <c r="B175" s="4" t="s">
        <v>4744</v>
      </c>
      <c r="D175" s="37" t="s">
        <v>3</v>
      </c>
      <c r="E175" s="38" t="s">
        <v>4390</v>
      </c>
      <c r="F175" s="30"/>
      <c r="G175" s="30"/>
      <c r="H175" s="30"/>
      <c r="I175" s="30"/>
      <c r="J175" s="30"/>
      <c r="K175" s="30"/>
      <c r="L175" s="30"/>
      <c r="M175" s="30"/>
      <c r="N175" s="30"/>
    </row>
    <row r="176">
      <c r="A176" s="30"/>
      <c r="B176" s="14" t="s">
        <v>4746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2"/>
    </row>
    <row r="177">
      <c r="A177" s="30"/>
      <c r="B177" s="4" t="s">
        <v>4748</v>
      </c>
      <c r="D177" s="37" t="s">
        <v>3</v>
      </c>
      <c r="E177" s="38" t="s">
        <v>4390</v>
      </c>
      <c r="F177" s="30"/>
      <c r="G177" s="30"/>
      <c r="H177" s="30"/>
      <c r="I177" s="30"/>
      <c r="J177" s="30"/>
      <c r="K177" s="30"/>
      <c r="L177" s="30"/>
      <c r="M177" s="30"/>
      <c r="N177" s="30"/>
    </row>
    <row r="178">
      <c r="A178" s="30"/>
      <c r="B178" s="14" t="s">
        <v>4750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32"/>
    </row>
    <row r="179">
      <c r="A179" s="30"/>
      <c r="B179" s="4" t="s">
        <v>4753</v>
      </c>
      <c r="D179" s="37" t="s">
        <v>3</v>
      </c>
      <c r="E179" s="38" t="s">
        <v>4390</v>
      </c>
      <c r="F179" s="30"/>
      <c r="G179" s="30"/>
      <c r="H179" s="30"/>
      <c r="I179" s="30"/>
      <c r="J179" s="30"/>
      <c r="K179" s="30"/>
      <c r="L179" s="30"/>
      <c r="M179" s="30"/>
      <c r="N179" s="30"/>
    </row>
    <row r="180">
      <c r="A180" s="1"/>
      <c r="B180" s="14" t="s">
        <v>4755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4"/>
    </row>
    <row r="181">
      <c r="A181" s="1"/>
      <c r="B181" s="4" t="s">
        <v>4757</v>
      </c>
      <c r="D181" s="37" t="s">
        <v>3</v>
      </c>
      <c r="E181" s="38" t="s">
        <v>4390</v>
      </c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4" t="s">
        <v>4759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4"/>
    </row>
    <row r="183">
      <c r="A183" s="1"/>
      <c r="B183" s="4" t="s">
        <v>4761</v>
      </c>
      <c r="D183" s="37" t="s">
        <v>3</v>
      </c>
      <c r="E183" s="38" t="s">
        <v>4390</v>
      </c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30"/>
      <c r="B184" s="14" t="s">
        <v>4762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32"/>
    </row>
    <row r="185">
      <c r="A185" s="30"/>
      <c r="B185" s="4" t="s">
        <v>4764</v>
      </c>
      <c r="D185" s="37" t="s">
        <v>3</v>
      </c>
      <c r="E185" s="38" t="s">
        <v>4390</v>
      </c>
      <c r="F185" s="18" t="str">
        <f>HYPERLINK("https://www.youtube.com/watch?v=JmsfJXLpEvo",'Players&gt;List'!$B18)</f>
        <v>[HGB]</v>
      </c>
      <c r="G185" s="30"/>
      <c r="H185" s="30"/>
      <c r="I185" s="30"/>
      <c r="J185" s="30"/>
      <c r="K185" s="30"/>
      <c r="L185" s="30"/>
      <c r="M185" s="30"/>
      <c r="N185" s="30"/>
    </row>
    <row r="186">
      <c r="A186" s="30"/>
      <c r="B186" s="14" t="s">
        <v>4770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32"/>
    </row>
    <row r="187">
      <c r="A187" s="30"/>
      <c r="B187" s="4" t="s">
        <v>4773</v>
      </c>
      <c r="D187" s="37" t="s">
        <v>3</v>
      </c>
      <c r="E187" s="38" t="s">
        <v>4390</v>
      </c>
      <c r="F187" s="30"/>
      <c r="G187" s="30"/>
      <c r="H187" s="30"/>
      <c r="I187" s="30"/>
      <c r="J187" s="30"/>
      <c r="K187" s="30"/>
      <c r="L187" s="30"/>
      <c r="M187" s="30"/>
      <c r="N187" s="30"/>
    </row>
    <row r="188">
      <c r="A188" s="30"/>
      <c r="B188" s="14" t="s">
        <v>4776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32"/>
    </row>
    <row r="189">
      <c r="A189" s="30"/>
      <c r="B189" s="4" t="s">
        <v>4777</v>
      </c>
      <c r="D189" s="37" t="s">
        <v>3</v>
      </c>
      <c r="E189" s="38" t="s">
        <v>4390</v>
      </c>
      <c r="F189" s="30"/>
      <c r="G189" s="30"/>
      <c r="H189" s="30"/>
      <c r="I189" s="30"/>
      <c r="J189" s="30"/>
      <c r="K189" s="30"/>
      <c r="L189" s="30"/>
      <c r="M189" s="30"/>
      <c r="N189" s="30"/>
    </row>
    <row r="190">
      <c r="A190" s="1"/>
      <c r="B190" s="14" t="s">
        <v>4779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4"/>
    </row>
    <row r="191">
      <c r="A191" s="1"/>
      <c r="B191" s="4" t="s">
        <v>4781</v>
      </c>
      <c r="D191" s="37" t="s">
        <v>3</v>
      </c>
      <c r="E191" s="38" t="s">
        <v>4390</v>
      </c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4" t="s">
        <v>4782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4"/>
    </row>
    <row r="193">
      <c r="A193" s="1"/>
      <c r="B193" s="4" t="s">
        <v>4784</v>
      </c>
      <c r="D193" s="37" t="s">
        <v>3</v>
      </c>
      <c r="E193" s="38" t="s">
        <v>4390</v>
      </c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30"/>
      <c r="B194" s="14" t="s">
        <v>4786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32"/>
    </row>
    <row r="195">
      <c r="A195" s="30"/>
      <c r="B195" s="4" t="s">
        <v>4788</v>
      </c>
      <c r="D195" s="37" t="s">
        <v>3</v>
      </c>
      <c r="E195" s="38" t="s">
        <v>4390</v>
      </c>
      <c r="F195" s="30"/>
      <c r="G195" s="30"/>
      <c r="H195" s="30"/>
      <c r="I195" s="30"/>
      <c r="J195" s="30"/>
      <c r="K195" s="30"/>
      <c r="L195" s="30"/>
      <c r="M195" s="30"/>
      <c r="N195" s="30"/>
    </row>
    <row r="196">
      <c r="A196" s="30"/>
      <c r="B196" s="14" t="s">
        <v>4790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32"/>
    </row>
    <row r="197">
      <c r="A197" s="30"/>
      <c r="B197" s="4" t="s">
        <v>4792</v>
      </c>
      <c r="D197" s="37" t="s">
        <v>3</v>
      </c>
      <c r="E197" s="38" t="s">
        <v>4390</v>
      </c>
      <c r="F197" s="30"/>
      <c r="G197" s="30"/>
      <c r="H197" s="30"/>
      <c r="I197" s="30"/>
      <c r="J197" s="30"/>
      <c r="K197" s="30"/>
      <c r="L197" s="30"/>
      <c r="M197" s="30"/>
      <c r="N197" s="30"/>
    </row>
    <row r="198">
      <c r="A198" s="30"/>
      <c r="B198" s="14" t="s">
        <v>4794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32"/>
    </row>
    <row r="199">
      <c r="A199" s="30"/>
      <c r="B199" s="4" t="s">
        <v>4795</v>
      </c>
      <c r="D199" s="37" t="s">
        <v>3</v>
      </c>
      <c r="E199" s="38" t="s">
        <v>4390</v>
      </c>
      <c r="F199" s="30"/>
      <c r="G199" s="30"/>
      <c r="H199" s="30"/>
      <c r="I199" s="30"/>
      <c r="J199" s="30"/>
      <c r="K199" s="30"/>
      <c r="L199" s="30"/>
      <c r="M199" s="30"/>
      <c r="N199" s="30"/>
    </row>
    <row r="200">
      <c r="A200" s="30"/>
      <c r="B200" s="14" t="s">
        <v>4796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32"/>
    </row>
    <row r="201">
      <c r="A201" s="30"/>
      <c r="B201" s="4" t="s">
        <v>4798</v>
      </c>
      <c r="D201" s="37" t="s">
        <v>3</v>
      </c>
      <c r="E201" s="38" t="s">
        <v>4390</v>
      </c>
      <c r="F201" s="30"/>
      <c r="G201" s="30"/>
      <c r="H201" s="30"/>
      <c r="I201" s="30"/>
      <c r="J201" s="30"/>
      <c r="K201" s="30"/>
      <c r="L201" s="30"/>
      <c r="M201" s="30"/>
      <c r="N201" s="30"/>
    </row>
    <row r="202">
      <c r="A202" s="30"/>
      <c r="B202" s="14" t="s">
        <v>4799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32"/>
    </row>
    <row r="203">
      <c r="A203" s="30"/>
      <c r="B203" s="4" t="s">
        <v>4801</v>
      </c>
      <c r="D203" s="37" t="s">
        <v>3</v>
      </c>
      <c r="E203" s="38" t="s">
        <v>4390</v>
      </c>
      <c r="F203" s="30"/>
      <c r="G203" s="30"/>
      <c r="H203" s="30"/>
      <c r="I203" s="30"/>
      <c r="J203" s="30"/>
      <c r="K203" s="30"/>
      <c r="L203" s="30"/>
      <c r="M203" s="30"/>
      <c r="N203" s="30"/>
    </row>
    <row r="204">
      <c r="A204" s="1"/>
      <c r="B204" s="14" t="s">
        <v>4803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4"/>
    </row>
    <row r="205">
      <c r="A205" s="1"/>
      <c r="B205" s="4" t="s">
        <v>4806</v>
      </c>
      <c r="D205" s="37" t="s">
        <v>3</v>
      </c>
      <c r="E205" s="38" t="s">
        <v>4390</v>
      </c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4" t="s">
        <v>4807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4"/>
    </row>
    <row r="207">
      <c r="A207" s="1"/>
      <c r="B207" s="4" t="s">
        <v>4810</v>
      </c>
      <c r="D207" s="37" t="s">
        <v>3</v>
      </c>
      <c r="E207" s="38" t="s">
        <v>4390</v>
      </c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30"/>
      <c r="B208" s="14" t="s">
        <v>4812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32"/>
    </row>
    <row r="209">
      <c r="A209" s="30"/>
      <c r="B209" s="4" t="s">
        <v>4814</v>
      </c>
      <c r="D209" s="37" t="s">
        <v>3</v>
      </c>
      <c r="E209" s="38" t="s">
        <v>4390</v>
      </c>
      <c r="F209" s="30"/>
      <c r="G209" s="30"/>
      <c r="H209" s="30"/>
      <c r="I209" s="30"/>
      <c r="J209" s="30"/>
      <c r="K209" s="30"/>
      <c r="L209" s="30"/>
      <c r="M209" s="30"/>
      <c r="N209" s="30"/>
    </row>
    <row r="210">
      <c r="A210" s="30"/>
      <c r="B210" s="14" t="s">
        <v>4816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32"/>
    </row>
    <row r="211">
      <c r="A211" s="30"/>
      <c r="B211" s="4" t="s">
        <v>4818</v>
      </c>
      <c r="D211" s="37" t="s">
        <v>3</v>
      </c>
      <c r="E211" s="38" t="s">
        <v>4390</v>
      </c>
      <c r="F211" s="30"/>
      <c r="G211" s="30"/>
      <c r="H211" s="30"/>
      <c r="I211" s="30"/>
      <c r="J211" s="30"/>
      <c r="K211" s="30"/>
      <c r="L211" s="30"/>
      <c r="M211" s="30"/>
      <c r="N211" s="30"/>
    </row>
    <row r="212">
      <c r="A212" s="30"/>
      <c r="B212" s="14" t="s">
        <v>4820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32"/>
    </row>
    <row r="213">
      <c r="A213" s="30"/>
      <c r="B213" s="4" t="s">
        <v>4823</v>
      </c>
      <c r="D213" s="37" t="s">
        <v>3</v>
      </c>
      <c r="E213" s="38" t="s">
        <v>4390</v>
      </c>
      <c r="F213" s="30"/>
      <c r="G213" s="30"/>
      <c r="H213" s="30"/>
      <c r="I213" s="30"/>
      <c r="J213" s="30"/>
      <c r="K213" s="30"/>
      <c r="L213" s="30"/>
      <c r="M213" s="30"/>
      <c r="N213" s="30"/>
    </row>
    <row r="214">
      <c r="A214" s="1"/>
      <c r="B214" s="14" t="s">
        <v>4826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4"/>
    </row>
    <row r="215">
      <c r="A215" s="1"/>
      <c r="B215" s="4" t="s">
        <v>4828</v>
      </c>
      <c r="D215" s="37" t="s">
        <v>3</v>
      </c>
      <c r="E215" s="38" t="s">
        <v>4390</v>
      </c>
      <c r="F215" s="18" t="str">
        <f>HYPERLINK("https://www.twitch.tv/videos/110110113",'Players&gt;List'!$B17)</f>
        <v>[GOL]</v>
      </c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4" t="s">
        <v>4831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4"/>
    </row>
    <row r="217">
      <c r="A217" s="1"/>
      <c r="B217" s="4" t="s">
        <v>4833</v>
      </c>
      <c r="D217" s="37" t="s">
        <v>3</v>
      </c>
      <c r="E217" s="38" t="s">
        <v>4390</v>
      </c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30"/>
      <c r="B218" s="14" t="s">
        <v>4835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32"/>
    </row>
    <row r="219">
      <c r="A219" s="30"/>
      <c r="B219" s="4" t="s">
        <v>4837</v>
      </c>
      <c r="D219" s="37" t="s">
        <v>3</v>
      </c>
      <c r="E219" s="38" t="s">
        <v>4390</v>
      </c>
      <c r="F219" s="30"/>
      <c r="G219" s="30"/>
      <c r="H219" s="30"/>
      <c r="I219" s="30"/>
      <c r="J219" s="30"/>
      <c r="K219" s="30"/>
      <c r="L219" s="30"/>
      <c r="M219" s="30"/>
      <c r="N219" s="30"/>
    </row>
    <row r="220">
      <c r="A220" s="30"/>
      <c r="B220" s="14" t="s">
        <v>4838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32"/>
    </row>
    <row r="221">
      <c r="A221" s="30"/>
      <c r="B221" s="4" t="s">
        <v>4843</v>
      </c>
      <c r="D221" s="37" t="s">
        <v>3</v>
      </c>
      <c r="E221" s="38" t="s">
        <v>4390</v>
      </c>
      <c r="F221" s="30"/>
      <c r="G221" s="30"/>
      <c r="H221" s="30"/>
      <c r="I221" s="30"/>
      <c r="J221" s="30"/>
      <c r="K221" s="30"/>
      <c r="L221" s="30"/>
      <c r="M221" s="30"/>
      <c r="N221" s="30"/>
    </row>
    <row r="222">
      <c r="A222" s="30"/>
      <c r="B222" s="14" t="s">
        <v>4845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32"/>
    </row>
    <row r="223">
      <c r="A223" s="30"/>
      <c r="B223" s="4" t="s">
        <v>4848</v>
      </c>
      <c r="D223" s="37" t="s">
        <v>3</v>
      </c>
      <c r="E223" s="38" t="s">
        <v>4390</v>
      </c>
      <c r="F223" s="30"/>
      <c r="G223" s="30"/>
      <c r="H223" s="30"/>
      <c r="I223" s="30"/>
      <c r="J223" s="30"/>
      <c r="K223" s="30"/>
      <c r="L223" s="30"/>
      <c r="M223" s="30"/>
      <c r="N223" s="30"/>
    </row>
    <row r="224">
      <c r="A224" s="30"/>
      <c r="B224" s="14" t="s">
        <v>4850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32"/>
    </row>
    <row r="225">
      <c r="A225" s="30"/>
      <c r="B225" s="4" t="s">
        <v>4853</v>
      </c>
      <c r="D225" s="37" t="s">
        <v>3</v>
      </c>
      <c r="E225" s="38" t="s">
        <v>4390</v>
      </c>
      <c r="F225" s="18" t="str">
        <f>HYPERLINK("https://www.twitch.tv/videos/392181091?collection=oQVne6T1iRWqEw",'Players&gt;List'!$B30)</f>
        <v>[TST]</v>
      </c>
      <c r="G225" s="30"/>
      <c r="H225" s="30"/>
      <c r="I225" s="30"/>
      <c r="J225" s="30"/>
      <c r="K225" s="30"/>
      <c r="L225" s="30"/>
      <c r="M225" s="30"/>
      <c r="N225" s="30"/>
    </row>
    <row r="226">
      <c r="A226" s="1"/>
      <c r="B226" s="14" t="s">
        <v>4860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4"/>
    </row>
    <row r="227">
      <c r="A227" s="1"/>
      <c r="B227" s="4" t="s">
        <v>4861</v>
      </c>
      <c r="D227" s="37" t="s">
        <v>3</v>
      </c>
      <c r="E227" s="38" t="s">
        <v>4390</v>
      </c>
      <c r="F227" s="18" t="str">
        <f>HYPERLINK("https://www.twitch.tv/videos/392182436?collection=oQVne6T1iRWqEw",'Players&gt;List'!$B30)</f>
        <v>[TST]</v>
      </c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4" t="s">
        <v>4868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4"/>
    </row>
    <row r="229">
      <c r="A229" s="1"/>
      <c r="B229" s="4" t="s">
        <v>4870</v>
      </c>
      <c r="D229" s="37" t="s">
        <v>3</v>
      </c>
      <c r="E229" s="38" t="s">
        <v>4390</v>
      </c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30"/>
      <c r="B230" s="14" t="s">
        <v>4872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32"/>
    </row>
    <row r="231">
      <c r="A231" s="30"/>
      <c r="B231" s="4" t="s">
        <v>4875</v>
      </c>
      <c r="D231" s="37" t="s">
        <v>3</v>
      </c>
      <c r="E231" s="38" t="s">
        <v>4390</v>
      </c>
      <c r="F231" s="30"/>
      <c r="G231" s="30"/>
      <c r="H231" s="30"/>
      <c r="I231" s="30"/>
      <c r="J231" s="30"/>
      <c r="K231" s="30"/>
      <c r="L231" s="30"/>
      <c r="M231" s="30"/>
      <c r="N231" s="30"/>
    </row>
    <row r="232">
      <c r="A232" s="30"/>
      <c r="B232" s="14" t="s">
        <v>4878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2"/>
    </row>
    <row r="233">
      <c r="A233" s="30"/>
      <c r="B233" s="4" t="s">
        <v>4880</v>
      </c>
      <c r="D233" s="37" t="s">
        <v>3</v>
      </c>
      <c r="E233" s="38" t="s">
        <v>4390</v>
      </c>
      <c r="F233" s="18" t="str">
        <f>HYPERLINK("https://www.youtube.com/watch?v=z-jtC0Vhivk&amp;index=238&amp;t=0s&amp;list=PLbU6uWaIKemqNvTeRxK-Ay6PRg9iwCKVi",'Players&gt;List'!$B19)</f>
        <v>[HIT]</v>
      </c>
      <c r="G233" s="30"/>
      <c r="H233" s="30"/>
      <c r="I233" s="30"/>
      <c r="J233" s="30"/>
      <c r="K233" s="30"/>
      <c r="L233" s="30"/>
      <c r="M233" s="30"/>
      <c r="N233" s="30"/>
    </row>
    <row r="234">
      <c r="A234" s="30"/>
      <c r="B234" s="14" t="s">
        <v>4883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32"/>
    </row>
    <row r="235">
      <c r="A235" s="30"/>
      <c r="B235" s="4" t="s">
        <v>4886</v>
      </c>
      <c r="D235" s="37" t="s">
        <v>3</v>
      </c>
      <c r="E235" s="38" t="s">
        <v>4390</v>
      </c>
      <c r="F235" s="30"/>
      <c r="G235" s="30"/>
      <c r="H235" s="30"/>
      <c r="I235" s="30"/>
      <c r="J235" s="30"/>
      <c r="K235" s="30"/>
      <c r="L235" s="30"/>
      <c r="M235" s="30"/>
      <c r="N235" s="30"/>
    </row>
    <row r="236">
      <c r="A236" s="30"/>
      <c r="B236" s="14" t="s">
        <v>4888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32"/>
    </row>
    <row r="237">
      <c r="A237" s="30"/>
      <c r="B237" s="4" t="s">
        <v>4891</v>
      </c>
      <c r="D237" s="37" t="s">
        <v>3</v>
      </c>
      <c r="E237" s="38" t="s">
        <v>4390</v>
      </c>
      <c r="F237" s="30"/>
      <c r="G237" s="30"/>
      <c r="H237" s="30"/>
      <c r="I237" s="30"/>
      <c r="J237" s="30"/>
      <c r="K237" s="30"/>
      <c r="L237" s="30"/>
      <c r="M237" s="30"/>
      <c r="N237" s="30"/>
    </row>
    <row r="238">
      <c r="A238" s="1"/>
      <c r="B238" s="14" t="s">
        <v>4892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4"/>
    </row>
    <row r="239">
      <c r="A239" s="1"/>
      <c r="B239" s="4" t="s">
        <v>4894</v>
      </c>
      <c r="D239" s="37" t="s">
        <v>3</v>
      </c>
      <c r="E239" s="38" t="s">
        <v>4390</v>
      </c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4" t="s">
        <v>4896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4"/>
    </row>
    <row r="241">
      <c r="A241" s="1"/>
      <c r="B241" s="4" t="s">
        <v>4898</v>
      </c>
      <c r="D241" s="37" t="s">
        <v>3</v>
      </c>
      <c r="E241" s="38" t="s">
        <v>4390</v>
      </c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30"/>
      <c r="B242" s="14" t="s">
        <v>4899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32"/>
    </row>
    <row r="243">
      <c r="A243" s="30"/>
      <c r="B243" s="4" t="s">
        <v>4902</v>
      </c>
      <c r="D243" s="37" t="s">
        <v>3</v>
      </c>
      <c r="E243" s="38" t="s">
        <v>4390</v>
      </c>
      <c r="F243" s="18" t="str">
        <f>HYPERLINK("https://www.youtube.com/watch?v=oAVKxnxRFsw",'Players&gt;List'!$B18)</f>
        <v>[HGB]</v>
      </c>
      <c r="G243" s="30"/>
      <c r="H243" s="30"/>
      <c r="I243" s="30"/>
      <c r="J243" s="30"/>
      <c r="K243" s="30"/>
      <c r="L243" s="30"/>
      <c r="M243" s="30"/>
      <c r="N243" s="30"/>
    </row>
    <row r="244">
      <c r="A244" s="30"/>
      <c r="B244" s="14" t="s">
        <v>4907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32"/>
    </row>
    <row r="245">
      <c r="A245" s="30"/>
      <c r="B245" s="4" t="s">
        <v>4911</v>
      </c>
      <c r="D245" s="37" t="s">
        <v>3</v>
      </c>
      <c r="E245" s="38" t="s">
        <v>4390</v>
      </c>
      <c r="F245" s="18" t="str">
        <f>HYPERLINK("https://www.youtube.com/watch?v=8MKN2ihzYcw",'Players&gt;List'!$B18)</f>
        <v>[HGB]</v>
      </c>
      <c r="G245" s="18" t="str">
        <f>HYPERLINK("https://www.twitch.tv/videos/340169446",'Players&gt;List'!$B24)</f>
        <v>[NIM]</v>
      </c>
      <c r="H245" s="30"/>
      <c r="I245" s="30"/>
      <c r="J245" s="30"/>
      <c r="K245" s="30"/>
      <c r="L245" s="30"/>
      <c r="M245" s="30"/>
      <c r="N245" s="30"/>
    </row>
    <row r="246">
      <c r="A246" s="30"/>
      <c r="B246" s="9"/>
      <c r="C246" s="9"/>
      <c r="D246" s="32"/>
      <c r="E246" s="32"/>
      <c r="F246" s="30"/>
      <c r="G246" s="30"/>
      <c r="H246" s="30"/>
      <c r="I246" s="30"/>
      <c r="J246" s="30"/>
      <c r="K246" s="30"/>
      <c r="L246" s="30"/>
      <c r="M246" s="30"/>
      <c r="N246" s="30"/>
    </row>
  </sheetData>
  <mergeCells count="243">
    <mergeCell ref="B184:M184"/>
    <mergeCell ref="B182:M182"/>
    <mergeCell ref="B170:M170"/>
    <mergeCell ref="B174:M174"/>
    <mergeCell ref="B176:M176"/>
    <mergeCell ref="B172:M172"/>
    <mergeCell ref="B178:M178"/>
    <mergeCell ref="B191:C191"/>
    <mergeCell ref="B188:M188"/>
    <mergeCell ref="B225:C225"/>
    <mergeCell ref="B224:M224"/>
    <mergeCell ref="B193:C193"/>
    <mergeCell ref="B195:C195"/>
    <mergeCell ref="B205:C205"/>
    <mergeCell ref="B206:M206"/>
    <mergeCell ref="B144:M144"/>
    <mergeCell ref="B142:M142"/>
    <mergeCell ref="B222:M222"/>
    <mergeCell ref="B223:C223"/>
    <mergeCell ref="B110:M110"/>
    <mergeCell ref="B112:M112"/>
    <mergeCell ref="B114:M114"/>
    <mergeCell ref="B102:M102"/>
    <mergeCell ref="B106:M106"/>
    <mergeCell ref="B104:M104"/>
    <mergeCell ref="B105:C105"/>
    <mergeCell ref="B103:C103"/>
    <mergeCell ref="B100:M100"/>
    <mergeCell ref="B101:C101"/>
    <mergeCell ref="B108:M108"/>
    <mergeCell ref="B197:C197"/>
    <mergeCell ref="B196:M196"/>
    <mergeCell ref="B198:M198"/>
    <mergeCell ref="B194:M194"/>
    <mergeCell ref="B165:C165"/>
    <mergeCell ref="B183:C183"/>
    <mergeCell ref="B181:C181"/>
    <mergeCell ref="B177:C177"/>
    <mergeCell ref="B175:C175"/>
    <mergeCell ref="B179:C179"/>
    <mergeCell ref="B189:C189"/>
    <mergeCell ref="B187:C187"/>
    <mergeCell ref="B199:C199"/>
    <mergeCell ref="B203:C203"/>
    <mergeCell ref="B201:C201"/>
    <mergeCell ref="B192:M192"/>
    <mergeCell ref="B190:M190"/>
    <mergeCell ref="B166:M166"/>
    <mergeCell ref="B168:M168"/>
    <mergeCell ref="B75:C75"/>
    <mergeCell ref="B73:C73"/>
    <mergeCell ref="B65:C65"/>
    <mergeCell ref="B67:C67"/>
    <mergeCell ref="B85:C85"/>
    <mergeCell ref="B79:C79"/>
    <mergeCell ref="B81:C81"/>
    <mergeCell ref="B83:C83"/>
    <mergeCell ref="B71:C71"/>
    <mergeCell ref="B77:C77"/>
    <mergeCell ref="B63:C63"/>
    <mergeCell ref="B59:C59"/>
    <mergeCell ref="B61:C61"/>
    <mergeCell ref="B55:C55"/>
    <mergeCell ref="B57:C57"/>
    <mergeCell ref="B87:C87"/>
    <mergeCell ref="B69:C69"/>
    <mergeCell ref="B149:C149"/>
    <mergeCell ref="B157:C157"/>
    <mergeCell ref="B153:C153"/>
    <mergeCell ref="B155:C155"/>
    <mergeCell ref="B151:C151"/>
    <mergeCell ref="B167:C167"/>
    <mergeCell ref="B169:C169"/>
    <mergeCell ref="B173:C173"/>
    <mergeCell ref="B171:C171"/>
    <mergeCell ref="B141:C141"/>
    <mergeCell ref="B143:C143"/>
    <mergeCell ref="B139:C139"/>
    <mergeCell ref="B147:C147"/>
    <mergeCell ref="B145:C145"/>
    <mergeCell ref="B17:C17"/>
    <mergeCell ref="B19:C19"/>
    <mergeCell ref="B107:C107"/>
    <mergeCell ref="B95:C95"/>
    <mergeCell ref="B93:C93"/>
    <mergeCell ref="B99:C99"/>
    <mergeCell ref="B91:C91"/>
    <mergeCell ref="B89:C89"/>
    <mergeCell ref="B97:C97"/>
    <mergeCell ref="B109:C109"/>
    <mergeCell ref="B111:C111"/>
    <mergeCell ref="B123:C123"/>
    <mergeCell ref="B125:C125"/>
    <mergeCell ref="B129:C129"/>
    <mergeCell ref="B131:C131"/>
    <mergeCell ref="B113:C113"/>
    <mergeCell ref="B47:C47"/>
    <mergeCell ref="B41:C41"/>
    <mergeCell ref="B137:C137"/>
    <mergeCell ref="B119:C119"/>
    <mergeCell ref="B117:C117"/>
    <mergeCell ref="B121:C121"/>
    <mergeCell ref="B135:C135"/>
    <mergeCell ref="B133:C133"/>
    <mergeCell ref="B127:C127"/>
    <mergeCell ref="B124:M124"/>
    <mergeCell ref="B126:M126"/>
    <mergeCell ref="B122:M122"/>
    <mergeCell ref="B130:M130"/>
    <mergeCell ref="B128:M128"/>
    <mergeCell ref="B132:M132"/>
    <mergeCell ref="B136:M136"/>
    <mergeCell ref="B134:M134"/>
    <mergeCell ref="B150:M150"/>
    <mergeCell ref="B146:M146"/>
    <mergeCell ref="B148:M148"/>
    <mergeCell ref="B152:M152"/>
    <mergeCell ref="B154:M154"/>
    <mergeCell ref="B156:M156"/>
    <mergeCell ref="B140:M140"/>
    <mergeCell ref="B120:M120"/>
    <mergeCell ref="B118:M118"/>
    <mergeCell ref="B138:M138"/>
    <mergeCell ref="B88:M88"/>
    <mergeCell ref="B86:M86"/>
    <mergeCell ref="B115:C115"/>
    <mergeCell ref="B116:M116"/>
    <mergeCell ref="B92:M92"/>
    <mergeCell ref="B90:M90"/>
    <mergeCell ref="B96:M96"/>
    <mergeCell ref="B98:M98"/>
    <mergeCell ref="B94:M94"/>
    <mergeCell ref="B233:C233"/>
    <mergeCell ref="B229:C229"/>
    <mergeCell ref="B231:C231"/>
    <mergeCell ref="B237:C237"/>
    <mergeCell ref="B235:C235"/>
    <mergeCell ref="B238:M238"/>
    <mergeCell ref="B236:M236"/>
    <mergeCell ref="B239:C239"/>
    <mergeCell ref="B240:M240"/>
    <mergeCell ref="B230:M230"/>
    <mergeCell ref="B228:M228"/>
    <mergeCell ref="B226:M226"/>
    <mergeCell ref="B227:C227"/>
    <mergeCell ref="B232:M232"/>
    <mergeCell ref="B234:M234"/>
    <mergeCell ref="B241:C241"/>
    <mergeCell ref="B245:C245"/>
    <mergeCell ref="B242:M242"/>
    <mergeCell ref="B244:M244"/>
    <mergeCell ref="B243:C243"/>
    <mergeCell ref="B221:C221"/>
    <mergeCell ref="B217:C217"/>
    <mergeCell ref="B219:C219"/>
    <mergeCell ref="B215:C215"/>
    <mergeCell ref="B213:C213"/>
    <mergeCell ref="B207:C207"/>
    <mergeCell ref="B208:M208"/>
    <mergeCell ref="B209:C209"/>
    <mergeCell ref="B212:M212"/>
    <mergeCell ref="B218:M218"/>
    <mergeCell ref="B216:M216"/>
    <mergeCell ref="B220:M220"/>
    <mergeCell ref="B214:M214"/>
    <mergeCell ref="B211:C211"/>
    <mergeCell ref="B210:M210"/>
    <mergeCell ref="B159:C159"/>
    <mergeCell ref="B164:M164"/>
    <mergeCell ref="B160:M160"/>
    <mergeCell ref="B162:M162"/>
    <mergeCell ref="B161:C161"/>
    <mergeCell ref="B163:C163"/>
    <mergeCell ref="B158:M158"/>
    <mergeCell ref="B202:M202"/>
    <mergeCell ref="B204:M204"/>
    <mergeCell ref="B180:M180"/>
    <mergeCell ref="B186:M186"/>
    <mergeCell ref="B200:M200"/>
    <mergeCell ref="B185:C185"/>
    <mergeCell ref="B45:C45"/>
    <mergeCell ref="B48:M48"/>
    <mergeCell ref="B46:M46"/>
    <mergeCell ref="B52:M52"/>
    <mergeCell ref="B50:M50"/>
    <mergeCell ref="B70:M70"/>
    <mergeCell ref="B68:M68"/>
    <mergeCell ref="B66:M66"/>
    <mergeCell ref="B76:M76"/>
    <mergeCell ref="B74:M74"/>
    <mergeCell ref="B78:M78"/>
    <mergeCell ref="B82:M82"/>
    <mergeCell ref="B84:M84"/>
    <mergeCell ref="B80:M80"/>
    <mergeCell ref="B72:M72"/>
    <mergeCell ref="B56:M56"/>
    <mergeCell ref="B58:M58"/>
    <mergeCell ref="B60:M60"/>
    <mergeCell ref="B62:M62"/>
    <mergeCell ref="B64:M64"/>
    <mergeCell ref="B36:M36"/>
    <mergeCell ref="B44:M44"/>
    <mergeCell ref="B42:M42"/>
    <mergeCell ref="B43:C43"/>
    <mergeCell ref="B54:M54"/>
    <mergeCell ref="B53:C53"/>
    <mergeCell ref="B40:M40"/>
    <mergeCell ref="B24:M24"/>
    <mergeCell ref="B20:M20"/>
    <mergeCell ref="B22:M22"/>
    <mergeCell ref="B4:C4"/>
    <mergeCell ref="B9:C9"/>
    <mergeCell ref="B7:C7"/>
    <mergeCell ref="B14:M14"/>
    <mergeCell ref="D4:E4"/>
    <mergeCell ref="B1:M3"/>
    <mergeCell ref="B12:M12"/>
    <mergeCell ref="B10:M10"/>
    <mergeCell ref="B6:M6"/>
    <mergeCell ref="B8:M8"/>
    <mergeCell ref="B11:C11"/>
    <mergeCell ref="B30:M30"/>
    <mergeCell ref="B28:M28"/>
    <mergeCell ref="B26:M26"/>
    <mergeCell ref="B34:M34"/>
    <mergeCell ref="B32:M32"/>
    <mergeCell ref="B16:M16"/>
    <mergeCell ref="B18:M18"/>
    <mergeCell ref="B39:C39"/>
    <mergeCell ref="B38:M38"/>
    <mergeCell ref="B37:C37"/>
    <mergeCell ref="B35:C35"/>
    <mergeCell ref="B51:C51"/>
    <mergeCell ref="B49:C49"/>
    <mergeCell ref="B21:C21"/>
    <mergeCell ref="B23:C23"/>
    <mergeCell ref="B29:C29"/>
    <mergeCell ref="B27:C27"/>
    <mergeCell ref="B31:C31"/>
    <mergeCell ref="B25:C25"/>
    <mergeCell ref="B33:C33"/>
    <mergeCell ref="B15:C15"/>
    <mergeCell ref="B13:C13"/>
  </mergeCells>
  <conditionalFormatting sqref="F4:M4">
    <cfRule type="cellIs" dxfId="1" priority="1" operator="equal">
      <formula>"In Progress"</formula>
    </cfRule>
  </conditionalFormatting>
  <hyperlinks>
    <hyperlink display="N++&gt;Solo&gt;Episodes" location="Main Menu!A1" ref="B1"/>
    <hyperlink display="Ultimate" location="Solo&gt;Episodes&gt;Ultimate!A1" ref="D4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4383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3</v>
      </c>
      <c r="C4" s="6"/>
      <c r="D4" s="31" t="s">
        <v>4</v>
      </c>
      <c r="E4" s="6"/>
      <c r="F4" s="9"/>
      <c r="G4" s="9"/>
      <c r="H4" s="9"/>
      <c r="I4" s="9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4386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4389</v>
      </c>
      <c r="D7" s="37" t="s">
        <v>3</v>
      </c>
      <c r="E7" s="38" t="s">
        <v>4390</v>
      </c>
      <c r="F7" s="18" t="str">
        <f>HYPERLINK("https://youtu.be/SpRH1pIZ8NA?t=504",'Players&gt;List'!$B16)</f>
        <v>[GEA]</v>
      </c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4395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4398</v>
      </c>
      <c r="D9" s="37" t="s">
        <v>3</v>
      </c>
      <c r="E9" s="38" t="s">
        <v>4390</v>
      </c>
      <c r="F9" s="18" t="str">
        <f>HYPERLINK("https://youtu.be/e8KOI6ziCbU?t=306",'Players&gt;List'!$B16)</f>
        <v>[GEA]</v>
      </c>
      <c r="G9" s="1"/>
      <c r="H9" s="1"/>
      <c r="I9" s="1"/>
      <c r="J9" s="1"/>
      <c r="K9" s="1"/>
      <c r="L9" s="1"/>
      <c r="M9" s="1"/>
      <c r="N9" s="1"/>
    </row>
    <row r="10">
      <c r="A10" s="30"/>
      <c r="B10" s="14" t="s">
        <v>4401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/>
    </row>
    <row r="11">
      <c r="A11" s="30"/>
      <c r="B11" s="4" t="s">
        <v>4406</v>
      </c>
      <c r="D11" s="37" t="s">
        <v>3</v>
      </c>
      <c r="E11" s="38" t="s">
        <v>4390</v>
      </c>
      <c r="F11" s="18" t="str">
        <f>HYPERLINK("https://youtu.be/u3K_rtl6nz8?t=326",'Players&gt;List'!$B16)</f>
        <v>[GEA]</v>
      </c>
      <c r="G11" s="30"/>
      <c r="H11" s="30"/>
      <c r="I11" s="30"/>
      <c r="J11" s="30"/>
      <c r="K11" s="30"/>
      <c r="L11" s="30"/>
      <c r="M11" s="30"/>
      <c r="N11" s="30"/>
    </row>
    <row r="12">
      <c r="A12" s="30"/>
      <c r="B12" s="14" t="s">
        <v>4411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</row>
    <row r="13">
      <c r="A13" s="30"/>
      <c r="B13" s="4" t="s">
        <v>4414</v>
      </c>
      <c r="D13" s="37" t="s">
        <v>3</v>
      </c>
      <c r="E13" s="38" t="s">
        <v>4390</v>
      </c>
      <c r="F13" s="18" t="str">
        <f>HYPERLINK("https://youtu.be/HavrBXiXlr4?t=831",'Players&gt;List'!$B16)</f>
        <v>[GEA]</v>
      </c>
      <c r="G13" s="30"/>
      <c r="H13" s="30"/>
      <c r="I13" s="30"/>
      <c r="J13" s="30"/>
      <c r="K13" s="30"/>
      <c r="L13" s="30"/>
      <c r="M13" s="30"/>
      <c r="N13" s="30"/>
    </row>
    <row r="14">
      <c r="A14" s="30"/>
      <c r="B14" s="14" t="s">
        <v>4418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</row>
    <row r="15">
      <c r="A15" s="30"/>
      <c r="B15" s="4" t="s">
        <v>4421</v>
      </c>
      <c r="D15" s="37" t="s">
        <v>3</v>
      </c>
      <c r="E15" s="38" t="s">
        <v>4390</v>
      </c>
      <c r="F15" s="18" t="str">
        <f>HYPERLINK("https://youtu.be/OkFePehMwhQ?t=367",'Players&gt;List'!$B16)</f>
        <v>[GEA]</v>
      </c>
      <c r="G15" s="30"/>
      <c r="H15" s="30"/>
      <c r="I15" s="30"/>
      <c r="J15" s="30"/>
      <c r="K15" s="30"/>
      <c r="L15" s="30"/>
      <c r="M15" s="30"/>
      <c r="N15" s="30"/>
    </row>
    <row r="16">
      <c r="A16" s="1"/>
      <c r="B16" s="14" t="s">
        <v>4425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4428</v>
      </c>
      <c r="D17" s="37" t="s">
        <v>3</v>
      </c>
      <c r="E17" s="38" t="s">
        <v>4390</v>
      </c>
      <c r="F17" s="18" t="str">
        <f>HYPERLINK("https://youtu.be/8_gy0oWrsUQ?t=390",'Players&gt;List'!$B16)</f>
        <v>[GEA]</v>
      </c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4432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4434</v>
      </c>
      <c r="D19" s="37" t="s">
        <v>3</v>
      </c>
      <c r="E19" s="38" t="s">
        <v>4390</v>
      </c>
      <c r="F19" s="18" t="str">
        <f>HYPERLINK("https://youtu.be/PbUuMnWtZbk?t=349",'Players&gt;List'!$B16)</f>
        <v>[GEA]</v>
      </c>
      <c r="G19" s="1"/>
      <c r="H19" s="1"/>
      <c r="I19" s="1"/>
      <c r="J19" s="1"/>
      <c r="K19" s="1"/>
      <c r="L19" s="1"/>
      <c r="M19" s="1"/>
      <c r="N19" s="1"/>
    </row>
    <row r="20">
      <c r="A20" s="30"/>
      <c r="B20" s="14" t="s">
        <v>4440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/>
    </row>
    <row r="21">
      <c r="A21" s="30"/>
      <c r="B21" s="4" t="s">
        <v>4442</v>
      </c>
      <c r="D21" s="37" t="s">
        <v>3</v>
      </c>
      <c r="E21" s="38" t="s">
        <v>4390</v>
      </c>
      <c r="F21" s="18" t="str">
        <f>HYPERLINK("https://youtu.be/TCdhXx5ah24?t=386",'Players&gt;List'!$B16)</f>
        <v>[GEA]</v>
      </c>
      <c r="G21" s="30"/>
      <c r="H21" s="30"/>
      <c r="I21" s="30"/>
      <c r="J21" s="30"/>
      <c r="K21" s="30"/>
      <c r="L21" s="30"/>
      <c r="M21" s="30"/>
      <c r="N21" s="30"/>
    </row>
    <row r="22">
      <c r="A22" s="30"/>
      <c r="B22" s="14" t="s">
        <v>4445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/>
    </row>
    <row r="23">
      <c r="A23" s="30"/>
      <c r="B23" s="4" t="s">
        <v>4447</v>
      </c>
      <c r="D23" s="37" t="s">
        <v>3</v>
      </c>
      <c r="E23" s="38" t="s">
        <v>4390</v>
      </c>
      <c r="F23" s="18" t="str">
        <f>HYPERLINK("https://www.youtube.com/watch?v=UE8dunH6zaY&amp;t=509s",'Players&gt;List'!$B16)</f>
        <v>[GEA]</v>
      </c>
      <c r="G23" s="30"/>
      <c r="H23" s="30"/>
      <c r="I23" s="30"/>
      <c r="J23" s="30"/>
      <c r="K23" s="30"/>
      <c r="L23" s="30"/>
      <c r="M23" s="30"/>
      <c r="N23" s="30"/>
    </row>
    <row r="24">
      <c r="A24" s="30"/>
      <c r="B24" s="14" t="s">
        <v>4451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2"/>
    </row>
    <row r="25">
      <c r="A25" s="30"/>
      <c r="B25" s="4" t="s">
        <v>4455</v>
      </c>
      <c r="D25" s="37" t="s">
        <v>3</v>
      </c>
      <c r="E25" s="38" t="s">
        <v>4390</v>
      </c>
      <c r="F25" s="18" t="str">
        <f>HYPERLINK("https://www.youtube.com/watch?v=l3UOMh6ji88&amp;t=538s",'Players&gt;List'!$B16)</f>
        <v>[GEA]</v>
      </c>
      <c r="G25" s="30"/>
      <c r="H25" s="30"/>
      <c r="I25" s="30"/>
      <c r="J25" s="30"/>
      <c r="K25" s="30"/>
      <c r="L25" s="30"/>
      <c r="M25" s="30"/>
      <c r="N25" s="30"/>
    </row>
    <row r="26">
      <c r="A26" s="1"/>
      <c r="B26" s="14" t="s">
        <v>4461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4464</v>
      </c>
      <c r="D27" s="37" t="s">
        <v>3</v>
      </c>
      <c r="E27" s="38" t="s">
        <v>4390</v>
      </c>
      <c r="F27" s="18" t="str">
        <f>HYPERLINK("https://youtu.be/tl6-EietaHA?t=424",'Players&gt;List'!$B16)</f>
        <v>[GEA]</v>
      </c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4468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4472</v>
      </c>
      <c r="D29" s="37" t="s">
        <v>3</v>
      </c>
      <c r="E29" s="38" t="s">
        <v>4390</v>
      </c>
      <c r="F29" s="18" t="str">
        <f>HYPERLINK("https://youtu.be/8OCno0gAHnA?t=397",'Players&gt;List'!$B16)</f>
        <v>[GEA]</v>
      </c>
      <c r="G29" s="1"/>
      <c r="H29" s="1"/>
      <c r="I29" s="1"/>
      <c r="J29" s="1"/>
      <c r="K29" s="1"/>
      <c r="L29" s="1"/>
      <c r="M29" s="1"/>
      <c r="N29" s="1"/>
    </row>
    <row r="30">
      <c r="A30" s="30"/>
      <c r="B30" s="14" t="s">
        <v>4475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2"/>
    </row>
    <row r="31">
      <c r="A31" s="30"/>
      <c r="B31" s="4" t="s">
        <v>4479</v>
      </c>
      <c r="D31" s="37" t="s">
        <v>3</v>
      </c>
      <c r="E31" s="38" t="s">
        <v>4390</v>
      </c>
      <c r="F31" s="18" t="str">
        <f>HYPERLINK("https://www.youtube.com/watch?v=WDqmmQ0_j7A&amp;t=378s",'Players&gt;List'!$B16)</f>
        <v>[GEA]</v>
      </c>
      <c r="G31" s="30"/>
      <c r="H31" s="30"/>
      <c r="I31" s="30"/>
      <c r="J31" s="30"/>
      <c r="K31" s="30"/>
      <c r="L31" s="30"/>
      <c r="M31" s="30"/>
      <c r="N31" s="30"/>
    </row>
    <row r="32">
      <c r="A32" s="30"/>
      <c r="B32" s="14" t="s">
        <v>4484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/>
    </row>
    <row r="33">
      <c r="A33" s="30"/>
      <c r="B33" s="4" t="s">
        <v>4486</v>
      </c>
      <c r="D33" s="37" t="s">
        <v>3</v>
      </c>
      <c r="E33" s="38" t="s">
        <v>4390</v>
      </c>
      <c r="F33" s="18" t="str">
        <f>HYPERLINK("https://www.youtube.com/watch?v=OmDf1xgv6Ek&amp;t=367s",'Players&gt;List'!$B16)</f>
        <v>[GEA]</v>
      </c>
      <c r="G33" s="30"/>
      <c r="H33" s="30"/>
      <c r="I33" s="30"/>
      <c r="J33" s="30"/>
      <c r="K33" s="30"/>
      <c r="L33" s="30"/>
      <c r="M33" s="30"/>
      <c r="N33" s="30"/>
    </row>
    <row r="34">
      <c r="A34" s="30"/>
      <c r="B34" s="14" t="s">
        <v>4489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/>
    </row>
    <row r="35">
      <c r="A35" s="30"/>
      <c r="B35" s="4" t="s">
        <v>4492</v>
      </c>
      <c r="D35" s="37" t="s">
        <v>3</v>
      </c>
      <c r="E35" s="38" t="s">
        <v>4390</v>
      </c>
      <c r="F35" s="18" t="str">
        <f>HYPERLINK("https://www.youtube.com/watch?v=tZiNbekT-Sw&amp;t=581s",'Players&gt;List'!$B16)</f>
        <v>[GEA]</v>
      </c>
      <c r="G35" s="30"/>
      <c r="H35" s="30"/>
      <c r="I35" s="30"/>
      <c r="J35" s="30"/>
      <c r="K35" s="30"/>
      <c r="L35" s="30"/>
      <c r="M35" s="30"/>
      <c r="N35" s="30"/>
    </row>
    <row r="36">
      <c r="A36" s="1"/>
      <c r="B36" s="14" t="s">
        <v>4497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4499</v>
      </c>
      <c r="D37" s="37" t="s">
        <v>3</v>
      </c>
      <c r="E37" s="38" t="s">
        <v>4390</v>
      </c>
      <c r="F37" s="18" t="str">
        <f>HYPERLINK("https://www.youtube.com/watch?v=NC7RXbalrt0&amp;t=325s",'Players&gt;List'!$B16)</f>
        <v>[GEA]</v>
      </c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4502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4504</v>
      </c>
      <c r="D39" s="37" t="s">
        <v>3</v>
      </c>
      <c r="E39" s="38" t="s">
        <v>4390</v>
      </c>
      <c r="F39" s="18" t="str">
        <f>HYPERLINK("https://www.youtube.com/watch?v=65oZuM-Immk&amp;t=252s",'Players&gt;List'!$B16)</f>
        <v>[GEA]</v>
      </c>
      <c r="G39" s="1"/>
      <c r="H39" s="1"/>
      <c r="I39" s="1"/>
      <c r="J39" s="1"/>
      <c r="K39" s="1"/>
      <c r="L39" s="1"/>
      <c r="M39" s="1"/>
      <c r="N39" s="1"/>
    </row>
    <row r="40">
      <c r="A40" s="30"/>
      <c r="B40" s="14" t="s">
        <v>4508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2"/>
    </row>
    <row r="41">
      <c r="A41" s="30"/>
      <c r="B41" s="4" t="s">
        <v>4512</v>
      </c>
      <c r="D41" s="37" t="s">
        <v>3</v>
      </c>
      <c r="E41" s="38" t="s">
        <v>4390</v>
      </c>
      <c r="F41" s="18" t="str">
        <f>HYPERLINK("https://www.youtube.com/watch?v=8fwQHG9WPKc&amp;t=735s",'Players&gt;List'!$B16)</f>
        <v>[GEA]</v>
      </c>
      <c r="G41" s="30"/>
      <c r="H41" s="30"/>
      <c r="I41" s="30"/>
      <c r="J41" s="30"/>
      <c r="K41" s="30"/>
      <c r="L41" s="30"/>
      <c r="M41" s="30"/>
      <c r="N41" s="30"/>
    </row>
    <row r="42">
      <c r="A42" s="30"/>
      <c r="B42" s="14" t="s">
        <v>4515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2"/>
    </row>
    <row r="43">
      <c r="A43" s="30"/>
      <c r="B43" s="4" t="s">
        <v>4517</v>
      </c>
      <c r="D43" s="37" t="s">
        <v>3</v>
      </c>
      <c r="E43" s="38" t="s">
        <v>4390</v>
      </c>
      <c r="F43" s="18" t="str">
        <f>HYPERLINK("https://www.youtube.com/watch?v=ksYx0hc-m0Q&amp;t=284s",'Players&gt;List'!$B16)</f>
        <v>[GEA]</v>
      </c>
      <c r="G43" s="30"/>
      <c r="H43" s="30"/>
      <c r="I43" s="30"/>
      <c r="J43" s="30"/>
      <c r="K43" s="30"/>
      <c r="L43" s="30"/>
      <c r="M43" s="30"/>
      <c r="N43" s="30"/>
    </row>
    <row r="44">
      <c r="A44" s="30"/>
      <c r="B44" s="14" t="s">
        <v>4521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2"/>
    </row>
    <row r="45">
      <c r="A45" s="30"/>
      <c r="B45" s="4" t="s">
        <v>4525</v>
      </c>
      <c r="D45" s="37" t="s">
        <v>3</v>
      </c>
      <c r="E45" s="38" t="s">
        <v>4390</v>
      </c>
      <c r="F45" s="18" t="str">
        <f>HYPERLINK("https://www.youtube.com/watch?v=Lr-ZkgIzexg&amp;t=590s",'Players&gt;List'!$B16)</f>
        <v>[GEA]</v>
      </c>
      <c r="G45" s="30"/>
      <c r="H45" s="30"/>
      <c r="I45" s="30"/>
      <c r="J45" s="30"/>
      <c r="K45" s="30"/>
      <c r="L45" s="30"/>
      <c r="M45" s="30"/>
      <c r="N45" s="30"/>
    </row>
    <row r="46">
      <c r="A46" s="1"/>
      <c r="B46" s="14" t="s">
        <v>4528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4531</v>
      </c>
      <c r="D47" s="37" t="s">
        <v>3</v>
      </c>
      <c r="E47" s="38" t="s">
        <v>4390</v>
      </c>
      <c r="F47" s="18" t="str">
        <f>HYPERLINK("https://www.youtube.com/watch?v=V153E4zEXLA&amp;t=419s",'Players&gt;List'!$B16)</f>
        <v>[GEA]</v>
      </c>
      <c r="G47" s="1"/>
      <c r="H47" s="1"/>
      <c r="I47" s="1"/>
      <c r="J47" s="1"/>
      <c r="K47" s="1"/>
      <c r="L47" s="1"/>
      <c r="M47" s="1"/>
      <c r="N47" s="1"/>
    </row>
    <row r="48">
      <c r="A48" s="1"/>
      <c r="B48" s="14" t="s">
        <v>4535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4"/>
    </row>
    <row r="49">
      <c r="A49" s="1"/>
      <c r="B49" s="4" t="s">
        <v>4537</v>
      </c>
      <c r="D49" s="37" t="s">
        <v>3</v>
      </c>
      <c r="E49" s="38" t="s">
        <v>4390</v>
      </c>
      <c r="F49" s="18" t="str">
        <f>HYPERLINK("https://www.youtube.com/watch?v=3HeAxkkncU8&amp;t=339s",'Players&gt;List'!$B16)</f>
        <v>[GEA]</v>
      </c>
      <c r="G49" s="1"/>
      <c r="H49" s="1"/>
      <c r="I49" s="1"/>
      <c r="J49" s="1"/>
      <c r="K49" s="1"/>
      <c r="L49" s="1"/>
      <c r="M49" s="1"/>
      <c r="N49" s="1"/>
    </row>
    <row r="50">
      <c r="A50" s="30"/>
      <c r="B50" s="14" t="s">
        <v>4541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32"/>
    </row>
    <row r="51">
      <c r="A51" s="30"/>
      <c r="B51" s="4" t="s">
        <v>4543</v>
      </c>
      <c r="D51" s="37" t="s">
        <v>3</v>
      </c>
      <c r="E51" s="38" t="s">
        <v>4390</v>
      </c>
      <c r="F51" s="28" t="str">
        <f>HYPERLINK("https://www.youtube.com/watch?v=7dbhD3FujuA&amp;t=511s",'Players&gt;List'!$B16)</f>
        <v>[GEA]</v>
      </c>
      <c r="G51" s="30"/>
      <c r="H51" s="30"/>
      <c r="I51" s="30"/>
      <c r="J51" s="30"/>
      <c r="K51" s="30"/>
      <c r="L51" s="30"/>
      <c r="M51" s="30"/>
      <c r="N51" s="30"/>
    </row>
    <row r="52">
      <c r="A52" s="30"/>
      <c r="B52" s="14" t="s">
        <v>4548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32"/>
    </row>
    <row r="53">
      <c r="A53" s="30"/>
      <c r="B53" s="4" t="s">
        <v>4551</v>
      </c>
      <c r="D53" s="37" t="s">
        <v>3</v>
      </c>
      <c r="E53" s="38" t="s">
        <v>4390</v>
      </c>
      <c r="F53" s="28" t="str">
        <f>HYPERLINK("https://www.youtube.com/watch?v=aQ9ToC7OmPY&amp;t=444s",'Players&gt;List'!$B16)</f>
        <v>[GEA]</v>
      </c>
      <c r="G53" s="30"/>
      <c r="H53" s="30"/>
      <c r="I53" s="30"/>
      <c r="J53" s="30"/>
      <c r="K53" s="30"/>
      <c r="L53" s="30"/>
      <c r="M53" s="30"/>
      <c r="N53" s="30"/>
    </row>
    <row r="54">
      <c r="A54" s="30"/>
      <c r="B54" s="14" t="s">
        <v>4556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32"/>
    </row>
    <row r="55">
      <c r="A55" s="30"/>
      <c r="B55" s="4" t="s">
        <v>4559</v>
      </c>
      <c r="D55" s="37" t="s">
        <v>3</v>
      </c>
      <c r="E55" s="38" t="s">
        <v>4390</v>
      </c>
      <c r="F55" s="28" t="str">
        <f>HYPERLINK("https://www.youtube.com/watch?v=qfE3GiwjwK4&amp;t=517s",'Players&gt;List'!$B16)</f>
        <v>[GEA]</v>
      </c>
      <c r="G55" s="30"/>
      <c r="H55" s="30"/>
      <c r="I55" s="30"/>
      <c r="J55" s="30"/>
      <c r="K55" s="30"/>
      <c r="L55" s="30"/>
      <c r="M55" s="30"/>
      <c r="N55" s="30"/>
    </row>
    <row r="56">
      <c r="A56" s="1"/>
      <c r="B56" s="14" t="s">
        <v>4564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4"/>
    </row>
    <row r="57">
      <c r="A57" s="1"/>
      <c r="B57" s="4" t="s">
        <v>4567</v>
      </c>
      <c r="D57" s="37" t="s">
        <v>3</v>
      </c>
      <c r="E57" s="38" t="s">
        <v>4390</v>
      </c>
      <c r="F57" s="28" t="str">
        <f>HYPERLINK("https://www.youtube.com/watch?v=Z7_sJjIwx8s&amp;t=303s",'Players&gt;List'!$B16)</f>
        <v>[GEA]</v>
      </c>
      <c r="G57" s="1"/>
      <c r="H57" s="1"/>
      <c r="I57" s="1"/>
      <c r="J57" s="1"/>
      <c r="K57" s="1"/>
      <c r="L57" s="1"/>
      <c r="M57" s="1"/>
      <c r="N57" s="1"/>
    </row>
    <row r="58">
      <c r="A58" s="1"/>
      <c r="B58" s="14" t="s">
        <v>4571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4574</v>
      </c>
      <c r="D59" s="37" t="s">
        <v>3</v>
      </c>
      <c r="E59" s="38" t="s">
        <v>4390</v>
      </c>
      <c r="F59" s="28" t="str">
        <f>HYPERLINK("https://www.youtube.com/watch?v=UI9Qpvqnr3w&amp;t=362s",'Players&gt;List'!$B16)</f>
        <v>[GEA]</v>
      </c>
      <c r="G59" s="1"/>
      <c r="H59" s="1"/>
      <c r="I59" s="1"/>
      <c r="J59" s="1"/>
      <c r="K59" s="1"/>
      <c r="L59" s="1"/>
      <c r="M59" s="1"/>
      <c r="N59" s="1"/>
    </row>
    <row r="60">
      <c r="A60" s="30"/>
      <c r="B60" s="14" t="s">
        <v>4578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32"/>
    </row>
    <row r="61">
      <c r="A61" s="30"/>
      <c r="B61" s="4" t="s">
        <v>4580</v>
      </c>
      <c r="D61" s="37" t="s">
        <v>3</v>
      </c>
      <c r="E61" s="38" t="s">
        <v>4390</v>
      </c>
      <c r="F61" s="28" t="str">
        <f>HYPERLINK("https://www.youtube.com/watch?v=9K9ytrxrafo&amp;t=339s",'Players&gt;List'!$B16)</f>
        <v>[GEA]</v>
      </c>
      <c r="G61" s="30"/>
      <c r="H61" s="30"/>
      <c r="I61" s="30"/>
      <c r="J61" s="30"/>
      <c r="K61" s="30"/>
      <c r="L61" s="30"/>
      <c r="M61" s="30"/>
      <c r="N61" s="30"/>
    </row>
    <row r="62">
      <c r="A62" s="30"/>
      <c r="B62" s="14" t="s">
        <v>4584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32"/>
    </row>
    <row r="63">
      <c r="A63" s="30"/>
      <c r="B63" s="4" t="s">
        <v>4587</v>
      </c>
      <c r="D63" s="37" t="s">
        <v>3</v>
      </c>
      <c r="E63" s="38" t="s">
        <v>4390</v>
      </c>
      <c r="F63" s="30"/>
      <c r="G63" s="30"/>
      <c r="H63" s="30"/>
      <c r="I63" s="30"/>
      <c r="J63" s="30"/>
      <c r="K63" s="30"/>
      <c r="L63" s="30"/>
      <c r="M63" s="30"/>
      <c r="N63" s="30"/>
    </row>
    <row r="64">
      <c r="A64" s="30"/>
      <c r="B64" s="14" t="s">
        <v>4589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32"/>
    </row>
    <row r="65">
      <c r="A65" s="30"/>
      <c r="B65" s="4" t="s">
        <v>4591</v>
      </c>
      <c r="D65" s="37" t="s">
        <v>3</v>
      </c>
      <c r="E65" s="38" t="s">
        <v>4390</v>
      </c>
      <c r="F65" s="30"/>
      <c r="G65" s="30"/>
      <c r="H65" s="30"/>
      <c r="I65" s="30"/>
      <c r="J65" s="30"/>
      <c r="K65" s="30"/>
      <c r="L65" s="30"/>
      <c r="M65" s="30"/>
      <c r="N65" s="30"/>
    </row>
    <row r="66">
      <c r="A66" s="1"/>
      <c r="B66" s="14" t="s">
        <v>4593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4596</v>
      </c>
      <c r="D67" s="37" t="s">
        <v>3</v>
      </c>
      <c r="E67" s="38" t="s">
        <v>4390</v>
      </c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4" t="s">
        <v>4597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4"/>
    </row>
    <row r="69">
      <c r="A69" s="1"/>
      <c r="B69" s="4" t="s">
        <v>4601</v>
      </c>
      <c r="D69" s="37" t="s">
        <v>3</v>
      </c>
      <c r="E69" s="38" t="s">
        <v>4390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30"/>
      <c r="B70" s="14" t="s">
        <v>4604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32"/>
    </row>
    <row r="71">
      <c r="A71" s="30"/>
      <c r="B71" s="4" t="s">
        <v>4607</v>
      </c>
      <c r="D71" s="37" t="s">
        <v>3</v>
      </c>
      <c r="E71" s="38" t="s">
        <v>4390</v>
      </c>
      <c r="F71" s="30"/>
      <c r="G71" s="30"/>
      <c r="H71" s="30"/>
      <c r="I71" s="30"/>
      <c r="J71" s="30"/>
      <c r="K71" s="30"/>
      <c r="L71" s="30"/>
      <c r="M71" s="30"/>
      <c r="N71" s="30"/>
    </row>
    <row r="72">
      <c r="A72" s="30"/>
      <c r="B72" s="14" t="s">
        <v>4609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32"/>
    </row>
    <row r="73">
      <c r="A73" s="30"/>
      <c r="B73" s="4" t="s">
        <v>4611</v>
      </c>
      <c r="D73" s="37" t="s">
        <v>3</v>
      </c>
      <c r="E73" s="38" t="s">
        <v>4390</v>
      </c>
      <c r="F73" s="30"/>
      <c r="G73" s="30"/>
      <c r="H73" s="30"/>
      <c r="I73" s="30"/>
      <c r="J73" s="30"/>
      <c r="K73" s="30"/>
      <c r="L73" s="30"/>
      <c r="M73" s="30"/>
      <c r="N73" s="30"/>
    </row>
    <row r="74">
      <c r="A74" s="30"/>
      <c r="B74" s="14" t="s">
        <v>4612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32"/>
    </row>
    <row r="75">
      <c r="A75" s="30"/>
      <c r="B75" s="4" t="s">
        <v>4615</v>
      </c>
      <c r="D75" s="37" t="s">
        <v>3</v>
      </c>
      <c r="E75" s="38" t="s">
        <v>4390</v>
      </c>
      <c r="F75" s="30"/>
      <c r="G75" s="30"/>
      <c r="H75" s="30"/>
      <c r="I75" s="30"/>
      <c r="J75" s="30"/>
      <c r="K75" s="30"/>
      <c r="L75" s="30"/>
      <c r="M75" s="30"/>
      <c r="N75" s="30"/>
    </row>
    <row r="76">
      <c r="A76" s="1"/>
      <c r="B76" s="14" t="s">
        <v>4617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4621</v>
      </c>
      <c r="D77" s="37" t="s">
        <v>3</v>
      </c>
      <c r="E77" s="38" t="s">
        <v>4390</v>
      </c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4" t="s">
        <v>4622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4625</v>
      </c>
      <c r="D79" s="37" t="s">
        <v>3</v>
      </c>
      <c r="E79" s="38" t="s">
        <v>4390</v>
      </c>
      <c r="F79" s="1"/>
      <c r="G79" s="1"/>
      <c r="H79" s="1"/>
      <c r="I79" s="1"/>
      <c r="J79" s="1"/>
      <c r="K79" s="1"/>
      <c r="L79" s="1"/>
      <c r="M79" s="1"/>
      <c r="N79" s="1"/>
    </row>
    <row r="80">
      <c r="A80" s="30"/>
      <c r="B80" s="14" t="s">
        <v>4627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32"/>
    </row>
    <row r="81">
      <c r="A81" s="30"/>
      <c r="B81" s="4" t="s">
        <v>4631</v>
      </c>
      <c r="D81" s="37" t="s">
        <v>3</v>
      </c>
      <c r="E81" s="38" t="s">
        <v>4390</v>
      </c>
      <c r="F81" s="30"/>
      <c r="G81" s="30"/>
      <c r="H81" s="30"/>
      <c r="I81" s="30"/>
      <c r="J81" s="30"/>
      <c r="K81" s="30"/>
      <c r="L81" s="30"/>
      <c r="M81" s="30"/>
      <c r="N81" s="30"/>
    </row>
    <row r="82">
      <c r="A82" s="30"/>
      <c r="B82" s="14" t="s">
        <v>4632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32"/>
    </row>
    <row r="83">
      <c r="A83" s="30"/>
      <c r="B83" s="4" t="s">
        <v>4635</v>
      </c>
      <c r="D83" s="37" t="s">
        <v>3</v>
      </c>
      <c r="E83" s="38" t="s">
        <v>4390</v>
      </c>
      <c r="F83" s="30"/>
      <c r="G83" s="30"/>
      <c r="H83" s="30"/>
      <c r="I83" s="30"/>
      <c r="J83" s="30"/>
      <c r="K83" s="30"/>
      <c r="L83" s="30"/>
      <c r="M83" s="30"/>
      <c r="N83" s="30"/>
    </row>
    <row r="84">
      <c r="A84" s="30"/>
      <c r="B84" s="14" t="s">
        <v>4637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32"/>
    </row>
    <row r="85">
      <c r="A85" s="30"/>
      <c r="B85" s="4" t="s">
        <v>4639</v>
      </c>
      <c r="D85" s="37" t="s">
        <v>3</v>
      </c>
      <c r="E85" s="38" t="s">
        <v>4390</v>
      </c>
      <c r="F85" s="30"/>
      <c r="G85" s="30"/>
      <c r="H85" s="30"/>
      <c r="I85" s="30"/>
      <c r="J85" s="30"/>
      <c r="K85" s="30"/>
      <c r="L85" s="30"/>
      <c r="M85" s="30"/>
      <c r="N85" s="30"/>
    </row>
    <row r="86">
      <c r="A86" s="1"/>
      <c r="B86" s="14" t="s">
        <v>4641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4643</v>
      </c>
      <c r="D87" s="37" t="s">
        <v>3</v>
      </c>
      <c r="E87" s="38" t="s">
        <v>4390</v>
      </c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4" t="s">
        <v>4645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4648</v>
      </c>
      <c r="D89" s="37" t="s">
        <v>3</v>
      </c>
      <c r="E89" s="38" t="s">
        <v>4390</v>
      </c>
      <c r="F89" s="1"/>
      <c r="G89" s="1"/>
      <c r="H89" s="1"/>
      <c r="I89" s="1"/>
      <c r="J89" s="1"/>
      <c r="K89" s="1"/>
      <c r="L89" s="1"/>
      <c r="M89" s="1"/>
      <c r="N89" s="1"/>
    </row>
    <row r="90">
      <c r="A90" s="30"/>
      <c r="B90" s="14" t="s">
        <v>4649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32"/>
    </row>
    <row r="91">
      <c r="A91" s="30"/>
      <c r="B91" s="4" t="s">
        <v>4653</v>
      </c>
      <c r="D91" s="37" t="s">
        <v>3</v>
      </c>
      <c r="E91" s="38" t="s">
        <v>4390</v>
      </c>
      <c r="F91" s="30"/>
      <c r="G91" s="30"/>
      <c r="H91" s="30"/>
      <c r="I91" s="30"/>
      <c r="J91" s="30"/>
      <c r="K91" s="30"/>
      <c r="L91" s="30"/>
      <c r="M91" s="30"/>
      <c r="N91" s="30"/>
    </row>
    <row r="92">
      <c r="A92" s="30"/>
      <c r="B92" s="14" t="s">
        <v>4654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32"/>
    </row>
    <row r="93">
      <c r="A93" s="30"/>
      <c r="B93" s="4" t="s">
        <v>4657</v>
      </c>
      <c r="D93" s="37" t="s">
        <v>3</v>
      </c>
      <c r="E93" s="38" t="s">
        <v>4390</v>
      </c>
      <c r="F93" s="30"/>
      <c r="G93" s="30"/>
      <c r="H93" s="30"/>
      <c r="I93" s="30"/>
      <c r="J93" s="30"/>
      <c r="K93" s="30"/>
      <c r="L93" s="30"/>
      <c r="M93" s="30"/>
      <c r="N93" s="30"/>
    </row>
    <row r="94">
      <c r="A94" s="30"/>
      <c r="B94" s="14" t="s">
        <v>4659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32"/>
    </row>
    <row r="95">
      <c r="A95" s="30"/>
      <c r="B95" s="4" t="s">
        <v>4662</v>
      </c>
      <c r="D95" s="37" t="s">
        <v>3</v>
      </c>
      <c r="E95" s="38" t="s">
        <v>4390</v>
      </c>
      <c r="F95" s="30"/>
      <c r="G95" s="30"/>
      <c r="H95" s="30"/>
      <c r="I95" s="30"/>
      <c r="J95" s="30"/>
      <c r="K95" s="30"/>
      <c r="L95" s="30"/>
      <c r="M95" s="30"/>
      <c r="N95" s="30"/>
    </row>
    <row r="96">
      <c r="A96" s="1"/>
      <c r="B96" s="14" t="s">
        <v>4664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4665</v>
      </c>
      <c r="D97" s="37" t="s">
        <v>3</v>
      </c>
      <c r="E97" s="38" t="s">
        <v>4390</v>
      </c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4" t="s">
        <v>4667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4"/>
    </row>
    <row r="99">
      <c r="A99" s="1"/>
      <c r="B99" s="4" t="s">
        <v>4670</v>
      </c>
      <c r="D99" s="37" t="s">
        <v>3</v>
      </c>
      <c r="E99" s="38" t="s">
        <v>4390</v>
      </c>
      <c r="F99" s="1"/>
      <c r="G99" s="1"/>
      <c r="H99" s="1"/>
      <c r="I99" s="1"/>
      <c r="J99" s="1"/>
      <c r="K99" s="1"/>
      <c r="L99" s="1"/>
      <c r="M99" s="1"/>
      <c r="N99" s="1"/>
    </row>
    <row r="100">
      <c r="A100" s="30"/>
      <c r="B100" s="14" t="s">
        <v>4673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32"/>
    </row>
    <row r="101">
      <c r="A101" s="30"/>
      <c r="B101" s="4" t="s">
        <v>4677</v>
      </c>
      <c r="D101" s="37" t="s">
        <v>3</v>
      </c>
      <c r="E101" s="38" t="s">
        <v>4390</v>
      </c>
      <c r="F101" s="30"/>
      <c r="G101" s="30"/>
      <c r="H101" s="30"/>
      <c r="I101" s="30"/>
      <c r="J101" s="30"/>
      <c r="K101" s="30"/>
      <c r="L101" s="30"/>
      <c r="M101" s="30"/>
      <c r="N101" s="30"/>
    </row>
    <row r="102">
      <c r="A102" s="30"/>
      <c r="B102" s="14" t="s">
        <v>4678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32"/>
    </row>
    <row r="103">
      <c r="A103" s="30"/>
      <c r="B103" s="4" t="s">
        <v>4681</v>
      </c>
      <c r="D103" s="37" t="s">
        <v>3</v>
      </c>
      <c r="E103" s="38" t="s">
        <v>4390</v>
      </c>
      <c r="F103" s="30"/>
      <c r="G103" s="30"/>
      <c r="H103" s="30"/>
      <c r="I103" s="30"/>
      <c r="J103" s="30"/>
      <c r="K103" s="30"/>
      <c r="L103" s="30"/>
      <c r="M103" s="30"/>
      <c r="N103" s="30"/>
    </row>
    <row r="104">
      <c r="A104" s="30"/>
      <c r="B104" s="14" t="s">
        <v>4682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32"/>
    </row>
    <row r="105">
      <c r="A105" s="30"/>
      <c r="B105" s="4" t="s">
        <v>4686</v>
      </c>
      <c r="D105" s="37" t="s">
        <v>3</v>
      </c>
      <c r="E105" s="38" t="s">
        <v>4390</v>
      </c>
      <c r="F105" s="30"/>
      <c r="G105" s="30"/>
      <c r="H105" s="30"/>
      <c r="I105" s="30"/>
      <c r="J105" s="30"/>
      <c r="K105" s="30"/>
      <c r="L105" s="30"/>
      <c r="M105" s="30"/>
      <c r="N105" s="30"/>
    </row>
    <row r="106">
      <c r="A106" s="1"/>
      <c r="B106" s="14" t="s">
        <v>4687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4"/>
    </row>
    <row r="107">
      <c r="A107" s="1"/>
      <c r="B107" s="4" t="s">
        <v>4691</v>
      </c>
      <c r="D107" s="37" t="s">
        <v>3</v>
      </c>
      <c r="E107" s="38" t="s">
        <v>4390</v>
      </c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4" t="s">
        <v>4693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4"/>
    </row>
    <row r="109">
      <c r="A109" s="1"/>
      <c r="B109" s="4" t="s">
        <v>4695</v>
      </c>
      <c r="D109" s="37" t="s">
        <v>3</v>
      </c>
      <c r="E109" s="38" t="s">
        <v>4390</v>
      </c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30"/>
      <c r="B110" s="14" t="s">
        <v>4697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32"/>
    </row>
    <row r="111">
      <c r="A111" s="30"/>
      <c r="B111" s="4" t="s">
        <v>4701</v>
      </c>
      <c r="D111" s="37" t="s">
        <v>3</v>
      </c>
      <c r="E111" s="38" t="s">
        <v>4390</v>
      </c>
      <c r="F111" s="30"/>
      <c r="G111" s="30"/>
      <c r="H111" s="30"/>
      <c r="I111" s="30"/>
      <c r="J111" s="30"/>
      <c r="K111" s="30"/>
      <c r="L111" s="30"/>
      <c r="M111" s="30"/>
      <c r="N111" s="30"/>
    </row>
    <row r="112">
      <c r="A112" s="30"/>
      <c r="B112" s="14" t="s">
        <v>4702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32"/>
    </row>
    <row r="113">
      <c r="A113" s="30"/>
      <c r="B113" s="4" t="s">
        <v>4705</v>
      </c>
      <c r="D113" s="37" t="s">
        <v>3</v>
      </c>
      <c r="E113" s="38" t="s">
        <v>4390</v>
      </c>
      <c r="F113" s="30"/>
      <c r="G113" s="30"/>
      <c r="H113" s="30"/>
      <c r="I113" s="30"/>
      <c r="J113" s="30"/>
      <c r="K113" s="30"/>
      <c r="L113" s="30"/>
      <c r="M113" s="30"/>
      <c r="N113" s="30"/>
    </row>
    <row r="114">
      <c r="A114" s="30"/>
      <c r="B114" s="14" t="s">
        <v>4706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2"/>
    </row>
    <row r="115">
      <c r="A115" s="30"/>
      <c r="B115" s="4" t="s">
        <v>4710</v>
      </c>
      <c r="D115" s="37" t="s">
        <v>3</v>
      </c>
      <c r="E115" s="38" t="s">
        <v>4390</v>
      </c>
      <c r="F115" s="30"/>
      <c r="G115" s="30"/>
      <c r="H115" s="30"/>
      <c r="I115" s="30"/>
      <c r="J115" s="30"/>
      <c r="K115" s="30"/>
      <c r="L115" s="30"/>
      <c r="M115" s="30"/>
      <c r="N115" s="30"/>
    </row>
    <row r="116">
      <c r="A116" s="1"/>
      <c r="B116" s="14" t="s">
        <v>4711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4"/>
    </row>
    <row r="117">
      <c r="A117" s="1"/>
      <c r="B117" s="4" t="s">
        <v>4714</v>
      </c>
      <c r="D117" s="37" t="s">
        <v>3</v>
      </c>
      <c r="E117" s="38" t="s">
        <v>4390</v>
      </c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4716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4"/>
    </row>
    <row r="119">
      <c r="A119" s="1"/>
      <c r="B119" s="4" t="s">
        <v>4717</v>
      </c>
      <c r="D119" s="37" t="s">
        <v>3</v>
      </c>
      <c r="E119" s="38" t="s">
        <v>4390</v>
      </c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30"/>
      <c r="B120" s="14" t="s">
        <v>4720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32"/>
    </row>
    <row r="121">
      <c r="A121" s="30"/>
      <c r="B121" s="4" t="s">
        <v>4721</v>
      </c>
      <c r="D121" s="37" t="s">
        <v>3</v>
      </c>
      <c r="E121" s="38" t="s">
        <v>4390</v>
      </c>
      <c r="F121" s="30"/>
      <c r="G121" s="30"/>
      <c r="H121" s="30"/>
      <c r="I121" s="30"/>
      <c r="J121" s="30"/>
      <c r="K121" s="30"/>
      <c r="L121" s="30"/>
      <c r="M121" s="30"/>
      <c r="N121" s="30"/>
    </row>
    <row r="122">
      <c r="A122" s="30"/>
      <c r="B122" s="14" t="s">
        <v>4722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32"/>
    </row>
    <row r="123">
      <c r="A123" s="30"/>
      <c r="B123" s="4" t="s">
        <v>4724</v>
      </c>
      <c r="D123" s="37" t="s">
        <v>3</v>
      </c>
      <c r="E123" s="38" t="s">
        <v>4390</v>
      </c>
      <c r="F123" s="30"/>
      <c r="G123" s="30"/>
      <c r="H123" s="30"/>
      <c r="I123" s="30"/>
      <c r="J123" s="30"/>
      <c r="K123" s="30"/>
      <c r="L123" s="30"/>
      <c r="M123" s="30"/>
      <c r="N123" s="30"/>
    </row>
    <row r="124">
      <c r="A124" s="30"/>
      <c r="B124" s="14" t="s">
        <v>4726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2"/>
    </row>
    <row r="125">
      <c r="A125" s="30"/>
      <c r="B125" s="4" t="s">
        <v>4728</v>
      </c>
      <c r="D125" s="37" t="s">
        <v>3</v>
      </c>
      <c r="E125" s="38" t="s">
        <v>4390</v>
      </c>
      <c r="F125" s="30"/>
      <c r="G125" s="30"/>
      <c r="H125" s="30"/>
      <c r="I125" s="30"/>
      <c r="J125" s="30"/>
      <c r="K125" s="30"/>
      <c r="L125" s="30"/>
      <c r="M125" s="30"/>
      <c r="N125" s="30"/>
    </row>
    <row r="126">
      <c r="A126" s="1"/>
      <c r="B126" s="14" t="s">
        <v>4730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4"/>
    </row>
    <row r="127">
      <c r="A127" s="1"/>
      <c r="B127" s="4" t="s">
        <v>4733</v>
      </c>
      <c r="D127" s="37" t="s">
        <v>3</v>
      </c>
      <c r="E127" s="38" t="s">
        <v>4390</v>
      </c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4" t="s">
        <v>4735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4"/>
    </row>
    <row r="129">
      <c r="A129" s="1"/>
      <c r="B129" s="4" t="s">
        <v>4739</v>
      </c>
      <c r="D129" s="37" t="s">
        <v>3</v>
      </c>
      <c r="E129" s="38" t="s">
        <v>4390</v>
      </c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30"/>
      <c r="B130" s="14" t="s">
        <v>4741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32"/>
    </row>
    <row r="131">
      <c r="A131" s="30"/>
      <c r="B131" s="4" t="s">
        <v>4743</v>
      </c>
      <c r="D131" s="37" t="s">
        <v>3</v>
      </c>
      <c r="E131" s="38" t="s">
        <v>4390</v>
      </c>
      <c r="F131" s="30"/>
      <c r="G131" s="30"/>
      <c r="H131" s="30"/>
      <c r="I131" s="30"/>
      <c r="J131" s="30"/>
      <c r="K131" s="30"/>
      <c r="L131" s="30"/>
      <c r="M131" s="30"/>
      <c r="N131" s="30"/>
    </row>
    <row r="132">
      <c r="A132" s="30"/>
      <c r="B132" s="14" t="s">
        <v>4745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32"/>
    </row>
    <row r="133">
      <c r="A133" s="30"/>
      <c r="B133" s="4" t="s">
        <v>4749</v>
      </c>
      <c r="D133" s="37" t="s">
        <v>3</v>
      </c>
      <c r="E133" s="38" t="s">
        <v>4390</v>
      </c>
      <c r="F133" s="30"/>
      <c r="G133" s="30"/>
      <c r="H133" s="30"/>
      <c r="I133" s="30"/>
      <c r="J133" s="30"/>
      <c r="K133" s="30"/>
      <c r="L133" s="30"/>
      <c r="M133" s="30"/>
      <c r="N133" s="30"/>
    </row>
    <row r="134">
      <c r="A134" s="30"/>
      <c r="B134" s="14" t="s">
        <v>4752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32"/>
    </row>
    <row r="135">
      <c r="A135" s="30"/>
      <c r="B135" s="4" t="s">
        <v>4754</v>
      </c>
      <c r="D135" s="37" t="s">
        <v>3</v>
      </c>
      <c r="E135" s="38" t="s">
        <v>4390</v>
      </c>
      <c r="F135" s="30"/>
      <c r="G135" s="30"/>
      <c r="H135" s="30"/>
      <c r="I135" s="30"/>
      <c r="J135" s="30"/>
      <c r="K135" s="30"/>
      <c r="L135" s="30"/>
      <c r="M135" s="30"/>
      <c r="N135" s="30"/>
    </row>
    <row r="136">
      <c r="A136" s="1"/>
      <c r="B136" s="14" t="s">
        <v>4756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4"/>
    </row>
    <row r="137">
      <c r="A137" s="1"/>
      <c r="B137" s="4" t="s">
        <v>4758</v>
      </c>
      <c r="D137" s="37" t="s">
        <v>3</v>
      </c>
      <c r="E137" s="38" t="s">
        <v>4390</v>
      </c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4" t="s">
        <v>4760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4"/>
    </row>
    <row r="139">
      <c r="A139" s="1"/>
      <c r="B139" s="4" t="s">
        <v>4763</v>
      </c>
      <c r="D139" s="37" t="s">
        <v>3</v>
      </c>
      <c r="E139" s="38" t="s">
        <v>4390</v>
      </c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30"/>
      <c r="B140" s="14" t="s">
        <v>4765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32"/>
    </row>
    <row r="141">
      <c r="A141" s="30"/>
      <c r="B141" s="4" t="s">
        <v>4766</v>
      </c>
      <c r="D141" s="37" t="s">
        <v>3</v>
      </c>
      <c r="E141" s="38" t="s">
        <v>4390</v>
      </c>
      <c r="F141" s="30"/>
      <c r="G141" s="30"/>
      <c r="H141" s="30"/>
      <c r="I141" s="30"/>
      <c r="J141" s="30"/>
      <c r="K141" s="30"/>
      <c r="L141" s="30"/>
      <c r="M141" s="30"/>
      <c r="N141" s="30"/>
    </row>
    <row r="142">
      <c r="A142" s="30"/>
      <c r="B142" s="14" t="s">
        <v>4767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32"/>
    </row>
    <row r="143">
      <c r="A143" s="30"/>
      <c r="B143" s="4" t="s">
        <v>4769</v>
      </c>
      <c r="D143" s="37" t="s">
        <v>3</v>
      </c>
      <c r="E143" s="38" t="s">
        <v>4390</v>
      </c>
      <c r="F143" s="30"/>
      <c r="G143" s="30"/>
      <c r="H143" s="30"/>
      <c r="I143" s="30"/>
      <c r="J143" s="30"/>
      <c r="K143" s="30"/>
      <c r="L143" s="30"/>
      <c r="M143" s="30"/>
      <c r="N143" s="30"/>
    </row>
    <row r="144">
      <c r="A144" s="30"/>
      <c r="B144" s="14" t="s">
        <v>4771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32"/>
    </row>
    <row r="145">
      <c r="A145" s="30"/>
      <c r="B145" s="4" t="s">
        <v>4774</v>
      </c>
      <c r="D145" s="37" t="s">
        <v>3</v>
      </c>
      <c r="E145" s="38" t="s">
        <v>4390</v>
      </c>
      <c r="F145" s="30"/>
      <c r="G145" s="30"/>
      <c r="H145" s="30"/>
      <c r="I145" s="30"/>
      <c r="J145" s="30"/>
      <c r="K145" s="30"/>
      <c r="L145" s="30"/>
      <c r="M145" s="30"/>
      <c r="N145" s="30"/>
    </row>
    <row r="146">
      <c r="A146" s="1"/>
      <c r="B146" s="14" t="s">
        <v>4775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4"/>
    </row>
    <row r="147">
      <c r="A147" s="1"/>
      <c r="B147" s="4" t="s">
        <v>4778</v>
      </c>
      <c r="D147" s="37" t="s">
        <v>3</v>
      </c>
      <c r="E147" s="38" t="s">
        <v>4390</v>
      </c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4" t="s">
        <v>4780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4"/>
    </row>
    <row r="149">
      <c r="A149" s="1"/>
      <c r="B149" s="4" t="s">
        <v>4783</v>
      </c>
      <c r="D149" s="37" t="s">
        <v>3</v>
      </c>
      <c r="E149" s="38" t="s">
        <v>4390</v>
      </c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30"/>
      <c r="B150" s="14" t="s">
        <v>4785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32"/>
    </row>
    <row r="151">
      <c r="A151" s="30"/>
      <c r="B151" s="4" t="s">
        <v>4789</v>
      </c>
      <c r="D151" s="37" t="s">
        <v>3</v>
      </c>
      <c r="E151" s="38" t="s">
        <v>4390</v>
      </c>
      <c r="F151" s="30"/>
      <c r="G151" s="30"/>
      <c r="H151" s="30"/>
      <c r="I151" s="30"/>
      <c r="J151" s="30"/>
      <c r="K151" s="30"/>
      <c r="L151" s="30"/>
      <c r="M151" s="30"/>
      <c r="N151" s="30"/>
    </row>
    <row r="152">
      <c r="A152" s="30"/>
      <c r="B152" s="14" t="s">
        <v>4791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32"/>
    </row>
    <row r="153">
      <c r="A153" s="30"/>
      <c r="B153" s="4" t="s">
        <v>4797</v>
      </c>
      <c r="D153" s="37" t="s">
        <v>3</v>
      </c>
      <c r="E153" s="38" t="s">
        <v>4390</v>
      </c>
      <c r="F153" s="30"/>
      <c r="G153" s="30"/>
      <c r="H153" s="30"/>
      <c r="I153" s="30"/>
      <c r="J153" s="30"/>
      <c r="K153" s="30"/>
      <c r="L153" s="30"/>
      <c r="M153" s="30"/>
      <c r="N153" s="30"/>
    </row>
    <row r="154">
      <c r="A154" s="30"/>
      <c r="B154" s="14" t="s">
        <v>4800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32"/>
    </row>
    <row r="155">
      <c r="A155" s="30"/>
      <c r="B155" s="4" t="s">
        <v>4804</v>
      </c>
      <c r="D155" s="37" t="s">
        <v>3</v>
      </c>
      <c r="E155" s="38" t="s">
        <v>4390</v>
      </c>
      <c r="F155" s="30"/>
      <c r="G155" s="30"/>
      <c r="H155" s="30"/>
      <c r="I155" s="30"/>
      <c r="J155" s="30"/>
      <c r="K155" s="30"/>
      <c r="L155" s="30"/>
      <c r="M155" s="30"/>
      <c r="N155" s="30"/>
    </row>
    <row r="156">
      <c r="A156" s="30"/>
      <c r="B156" s="14" t="s">
        <v>4805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32"/>
    </row>
    <row r="157">
      <c r="A157" s="30"/>
      <c r="B157" s="4" t="s">
        <v>4809</v>
      </c>
      <c r="D157" s="37" t="s">
        <v>3</v>
      </c>
      <c r="E157" s="38" t="s">
        <v>4390</v>
      </c>
      <c r="F157" s="30"/>
      <c r="G157" s="30"/>
      <c r="H157" s="30"/>
      <c r="I157" s="30"/>
      <c r="J157" s="30"/>
      <c r="K157" s="30"/>
      <c r="L157" s="30"/>
      <c r="M157" s="30"/>
      <c r="N157" s="30"/>
    </row>
    <row r="158">
      <c r="A158" s="30"/>
      <c r="B158" s="14" t="s">
        <v>4811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32"/>
    </row>
    <row r="159">
      <c r="A159" s="30"/>
      <c r="B159" s="4" t="s">
        <v>4813</v>
      </c>
      <c r="D159" s="37" t="s">
        <v>3</v>
      </c>
      <c r="E159" s="38" t="s">
        <v>4390</v>
      </c>
      <c r="F159" s="30"/>
      <c r="G159" s="30"/>
      <c r="H159" s="30"/>
      <c r="I159" s="30"/>
      <c r="J159" s="30"/>
      <c r="K159" s="30"/>
      <c r="L159" s="30"/>
      <c r="M159" s="30"/>
      <c r="N159" s="30"/>
    </row>
    <row r="160">
      <c r="A160" s="1"/>
      <c r="B160" s="14" t="s">
        <v>4815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4"/>
    </row>
    <row r="161">
      <c r="A161" s="1"/>
      <c r="B161" s="4" t="s">
        <v>4817</v>
      </c>
      <c r="D161" s="37" t="s">
        <v>3</v>
      </c>
      <c r="E161" s="38" t="s">
        <v>4390</v>
      </c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4" t="s">
        <v>4819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4"/>
    </row>
    <row r="163">
      <c r="A163" s="1"/>
      <c r="B163" s="4" t="s">
        <v>4822</v>
      </c>
      <c r="D163" s="37" t="s">
        <v>3</v>
      </c>
      <c r="E163" s="38" t="s">
        <v>4390</v>
      </c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30"/>
      <c r="B164" s="14" t="s">
        <v>4825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32"/>
    </row>
    <row r="165">
      <c r="A165" s="30"/>
      <c r="B165" s="4" t="s">
        <v>4827</v>
      </c>
      <c r="D165" s="37" t="s">
        <v>3</v>
      </c>
      <c r="E165" s="38" t="s">
        <v>4390</v>
      </c>
      <c r="F165" s="30"/>
      <c r="G165" s="30"/>
      <c r="H165" s="30"/>
      <c r="I165" s="30"/>
      <c r="J165" s="30"/>
      <c r="K165" s="30"/>
      <c r="L165" s="30"/>
      <c r="M165" s="30"/>
      <c r="N165" s="30"/>
    </row>
    <row r="166">
      <c r="A166" s="30"/>
      <c r="B166" s="14" t="s">
        <v>4829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32"/>
    </row>
    <row r="167">
      <c r="A167" s="30"/>
      <c r="B167" s="4" t="s">
        <v>4834</v>
      </c>
      <c r="D167" s="37" t="s">
        <v>3</v>
      </c>
      <c r="E167" s="38" t="s">
        <v>4390</v>
      </c>
      <c r="F167" s="30"/>
      <c r="G167" s="30"/>
      <c r="H167" s="30"/>
      <c r="I167" s="30"/>
      <c r="J167" s="30"/>
      <c r="K167" s="30"/>
      <c r="L167" s="30"/>
      <c r="M167" s="30"/>
      <c r="N167" s="30"/>
    </row>
    <row r="168">
      <c r="A168" s="30"/>
      <c r="B168" s="14" t="s">
        <v>4836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32"/>
    </row>
    <row r="169">
      <c r="A169" s="30"/>
      <c r="B169" s="4" t="s">
        <v>4839</v>
      </c>
      <c r="D169" s="37" t="s">
        <v>3</v>
      </c>
      <c r="E169" s="38" t="s">
        <v>4390</v>
      </c>
      <c r="F169" s="30"/>
      <c r="G169" s="30"/>
      <c r="H169" s="30"/>
      <c r="I169" s="30"/>
      <c r="J169" s="30"/>
      <c r="K169" s="30"/>
      <c r="L169" s="30"/>
      <c r="M169" s="30"/>
      <c r="N169" s="30"/>
    </row>
    <row r="170">
      <c r="A170" s="1"/>
      <c r="B170" s="14" t="s">
        <v>4840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4"/>
    </row>
    <row r="171">
      <c r="A171" s="1"/>
      <c r="B171" s="4" t="s">
        <v>4842</v>
      </c>
      <c r="D171" s="37" t="s">
        <v>3</v>
      </c>
      <c r="E171" s="38" t="s">
        <v>4390</v>
      </c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4" t="s">
        <v>4844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4"/>
    </row>
    <row r="173">
      <c r="A173" s="1"/>
      <c r="B173" s="4" t="s">
        <v>4846</v>
      </c>
      <c r="D173" s="37" t="s">
        <v>3</v>
      </c>
      <c r="E173" s="38" t="s">
        <v>4390</v>
      </c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30"/>
      <c r="B174" s="14" t="s">
        <v>4849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32"/>
    </row>
    <row r="175">
      <c r="A175" s="30"/>
      <c r="B175" s="4" t="s">
        <v>4851</v>
      </c>
      <c r="D175" s="37" t="s">
        <v>3</v>
      </c>
      <c r="E175" s="38" t="s">
        <v>4390</v>
      </c>
      <c r="F175" s="30"/>
      <c r="G175" s="30"/>
      <c r="H175" s="30"/>
      <c r="I175" s="30"/>
      <c r="J175" s="30"/>
      <c r="K175" s="30"/>
      <c r="L175" s="30"/>
      <c r="M175" s="30"/>
      <c r="N175" s="30"/>
    </row>
    <row r="176">
      <c r="A176" s="30"/>
      <c r="B176" s="14" t="s">
        <v>4852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32"/>
    </row>
    <row r="177">
      <c r="A177" s="30"/>
      <c r="B177" s="4" t="s">
        <v>4855</v>
      </c>
      <c r="D177" s="37" t="s">
        <v>3</v>
      </c>
      <c r="E177" s="38" t="s">
        <v>4390</v>
      </c>
      <c r="F177" s="30"/>
      <c r="G177" s="30"/>
      <c r="H177" s="30"/>
      <c r="I177" s="30"/>
      <c r="J177" s="30"/>
      <c r="K177" s="30"/>
      <c r="L177" s="30"/>
      <c r="M177" s="30"/>
      <c r="N177" s="30"/>
    </row>
    <row r="178">
      <c r="A178" s="30"/>
      <c r="B178" s="14" t="s">
        <v>4856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32"/>
    </row>
    <row r="179">
      <c r="A179" s="30"/>
      <c r="B179" s="4" t="s">
        <v>4858</v>
      </c>
      <c r="D179" s="37" t="s">
        <v>3</v>
      </c>
      <c r="E179" s="38" t="s">
        <v>4390</v>
      </c>
      <c r="F179" s="30"/>
      <c r="G179" s="30"/>
      <c r="H179" s="30"/>
      <c r="I179" s="30"/>
      <c r="J179" s="30"/>
      <c r="K179" s="30"/>
      <c r="L179" s="30"/>
      <c r="M179" s="30"/>
      <c r="N179" s="30"/>
    </row>
    <row r="180">
      <c r="A180" s="1"/>
      <c r="B180" s="14" t="s">
        <v>4859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4"/>
    </row>
    <row r="181">
      <c r="A181" s="1"/>
      <c r="B181" s="4" t="s">
        <v>4862</v>
      </c>
      <c r="D181" s="37" t="s">
        <v>3</v>
      </c>
      <c r="E181" s="38" t="s">
        <v>4390</v>
      </c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4" t="s">
        <v>4864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4"/>
    </row>
    <row r="183">
      <c r="A183" s="1"/>
      <c r="B183" s="4" t="s">
        <v>4866</v>
      </c>
      <c r="D183" s="37" t="s">
        <v>3</v>
      </c>
      <c r="E183" s="38" t="s">
        <v>4390</v>
      </c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30"/>
      <c r="B184" s="14" t="s">
        <v>4867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32"/>
    </row>
    <row r="185">
      <c r="A185" s="30"/>
      <c r="B185" s="4" t="s">
        <v>4869</v>
      </c>
      <c r="D185" s="37" t="s">
        <v>3</v>
      </c>
      <c r="E185" s="38" t="s">
        <v>4390</v>
      </c>
      <c r="F185" s="30"/>
      <c r="G185" s="30"/>
      <c r="H185" s="30"/>
      <c r="I185" s="30"/>
      <c r="J185" s="30"/>
      <c r="K185" s="30"/>
      <c r="L185" s="30"/>
      <c r="M185" s="30"/>
      <c r="N185" s="30"/>
    </row>
    <row r="186">
      <c r="A186" s="30"/>
      <c r="B186" s="14" t="s">
        <v>4871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32"/>
    </row>
    <row r="187">
      <c r="A187" s="30"/>
      <c r="B187" s="4" t="s">
        <v>4874</v>
      </c>
      <c r="D187" s="37" t="s">
        <v>3</v>
      </c>
      <c r="E187" s="38" t="s">
        <v>4390</v>
      </c>
      <c r="F187" s="30"/>
      <c r="G187" s="30"/>
      <c r="H187" s="30"/>
      <c r="I187" s="30"/>
      <c r="J187" s="30"/>
      <c r="K187" s="30"/>
      <c r="L187" s="30"/>
      <c r="M187" s="30"/>
      <c r="N187" s="30"/>
    </row>
    <row r="188">
      <c r="A188" s="30"/>
      <c r="B188" s="14" t="s">
        <v>4876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32"/>
    </row>
    <row r="189">
      <c r="A189" s="30"/>
      <c r="B189" s="4" t="s">
        <v>4879</v>
      </c>
      <c r="D189" s="37" t="s">
        <v>3</v>
      </c>
      <c r="E189" s="38" t="s">
        <v>4390</v>
      </c>
      <c r="F189" s="30"/>
      <c r="G189" s="30"/>
      <c r="H189" s="30"/>
      <c r="I189" s="30"/>
      <c r="J189" s="30"/>
      <c r="K189" s="30"/>
      <c r="L189" s="30"/>
      <c r="M189" s="30"/>
      <c r="N189" s="30"/>
    </row>
    <row r="190">
      <c r="A190" s="1"/>
      <c r="B190" s="14" t="s">
        <v>4881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4"/>
    </row>
    <row r="191">
      <c r="A191" s="1"/>
      <c r="B191" s="4" t="s">
        <v>4882</v>
      </c>
      <c r="D191" s="37" t="s">
        <v>3</v>
      </c>
      <c r="E191" s="38" t="s">
        <v>4390</v>
      </c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4" t="s">
        <v>4884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4"/>
    </row>
    <row r="193">
      <c r="A193" s="1"/>
      <c r="B193" s="4" t="s">
        <v>4887</v>
      </c>
      <c r="D193" s="37" t="s">
        <v>3</v>
      </c>
      <c r="E193" s="38" t="s">
        <v>4390</v>
      </c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30"/>
      <c r="B194" s="14" t="s">
        <v>4889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32"/>
    </row>
    <row r="195">
      <c r="A195" s="30"/>
      <c r="B195" s="4" t="s">
        <v>4893</v>
      </c>
      <c r="D195" s="37" t="s">
        <v>3</v>
      </c>
      <c r="E195" s="38" t="s">
        <v>4390</v>
      </c>
      <c r="F195" s="30"/>
      <c r="G195" s="30"/>
      <c r="H195" s="30"/>
      <c r="I195" s="30"/>
      <c r="J195" s="30"/>
      <c r="K195" s="30"/>
      <c r="L195" s="30"/>
      <c r="M195" s="30"/>
      <c r="N195" s="30"/>
    </row>
    <row r="196">
      <c r="A196" s="30"/>
      <c r="B196" s="14" t="s">
        <v>4895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32"/>
    </row>
    <row r="197">
      <c r="A197" s="30"/>
      <c r="B197" s="4" t="s">
        <v>4897</v>
      </c>
      <c r="D197" s="37" t="s">
        <v>3</v>
      </c>
      <c r="E197" s="38" t="s">
        <v>4390</v>
      </c>
      <c r="F197" s="30"/>
      <c r="G197" s="30"/>
      <c r="H197" s="30"/>
      <c r="I197" s="30"/>
      <c r="J197" s="30"/>
      <c r="K197" s="30"/>
      <c r="L197" s="30"/>
      <c r="M197" s="30"/>
      <c r="N197" s="30"/>
    </row>
    <row r="198">
      <c r="A198" s="30"/>
      <c r="B198" s="14" t="s">
        <v>4901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32"/>
    </row>
    <row r="199">
      <c r="A199" s="30"/>
      <c r="B199" s="4" t="s">
        <v>4903</v>
      </c>
      <c r="D199" s="37" t="s">
        <v>3</v>
      </c>
      <c r="E199" s="38" t="s">
        <v>4390</v>
      </c>
      <c r="F199" s="30"/>
      <c r="G199" s="30"/>
      <c r="H199" s="30"/>
      <c r="I199" s="30"/>
      <c r="J199" s="30"/>
      <c r="K199" s="30"/>
      <c r="L199" s="30"/>
      <c r="M199" s="30"/>
      <c r="N199" s="30"/>
    </row>
    <row r="200">
      <c r="A200" s="30"/>
      <c r="B200" s="14" t="s">
        <v>4905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32"/>
    </row>
    <row r="201">
      <c r="A201" s="30"/>
      <c r="B201" s="4" t="s">
        <v>4906</v>
      </c>
      <c r="D201" s="37" t="s">
        <v>3</v>
      </c>
      <c r="E201" s="38" t="s">
        <v>4390</v>
      </c>
      <c r="F201" s="30"/>
      <c r="G201" s="30"/>
      <c r="H201" s="30"/>
      <c r="I201" s="30"/>
      <c r="J201" s="30"/>
      <c r="K201" s="30"/>
      <c r="L201" s="30"/>
      <c r="M201" s="30"/>
      <c r="N201" s="30"/>
    </row>
    <row r="202">
      <c r="A202" s="30"/>
      <c r="B202" s="14" t="s">
        <v>4908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32"/>
    </row>
    <row r="203">
      <c r="A203" s="30"/>
      <c r="B203" s="4" t="s">
        <v>4909</v>
      </c>
      <c r="D203" s="37" t="s">
        <v>3</v>
      </c>
      <c r="E203" s="38" t="s">
        <v>4390</v>
      </c>
      <c r="F203" s="30"/>
      <c r="G203" s="30"/>
      <c r="H203" s="30"/>
      <c r="I203" s="30"/>
      <c r="J203" s="30"/>
      <c r="K203" s="30"/>
      <c r="L203" s="30"/>
      <c r="M203" s="30"/>
      <c r="N203" s="30"/>
    </row>
    <row r="204">
      <c r="A204" s="1"/>
      <c r="B204" s="14" t="s">
        <v>4912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4"/>
    </row>
    <row r="205">
      <c r="A205" s="1"/>
      <c r="B205" s="4" t="s">
        <v>4914</v>
      </c>
      <c r="D205" s="37" t="s">
        <v>3</v>
      </c>
      <c r="E205" s="38" t="s">
        <v>4390</v>
      </c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4" t="s">
        <v>4915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4"/>
    </row>
    <row r="207">
      <c r="A207" s="1"/>
      <c r="B207" s="4" t="s">
        <v>4916</v>
      </c>
      <c r="D207" s="37" t="s">
        <v>3</v>
      </c>
      <c r="E207" s="38" t="s">
        <v>4390</v>
      </c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30"/>
      <c r="B208" s="14" t="s">
        <v>4918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32"/>
    </row>
    <row r="209">
      <c r="A209" s="30"/>
      <c r="B209" s="4" t="s">
        <v>4919</v>
      </c>
      <c r="D209" s="37" t="s">
        <v>3</v>
      </c>
      <c r="E209" s="38" t="s">
        <v>4390</v>
      </c>
      <c r="F209" s="30"/>
      <c r="G209" s="30"/>
      <c r="H209" s="30"/>
      <c r="I209" s="30"/>
      <c r="J209" s="30"/>
      <c r="K209" s="30"/>
      <c r="L209" s="30"/>
      <c r="M209" s="30"/>
      <c r="N209" s="30"/>
    </row>
    <row r="210">
      <c r="A210" s="30"/>
      <c r="B210" s="14" t="s">
        <v>4921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32"/>
    </row>
    <row r="211">
      <c r="A211" s="30"/>
      <c r="B211" s="4" t="s">
        <v>4922</v>
      </c>
      <c r="D211" s="37" t="s">
        <v>3</v>
      </c>
      <c r="E211" s="38" t="s">
        <v>4390</v>
      </c>
      <c r="F211" s="30"/>
      <c r="G211" s="30"/>
      <c r="H211" s="30"/>
      <c r="I211" s="30"/>
      <c r="J211" s="30"/>
      <c r="K211" s="30"/>
      <c r="L211" s="30"/>
      <c r="M211" s="30"/>
      <c r="N211" s="30"/>
    </row>
    <row r="212">
      <c r="A212" s="30"/>
      <c r="B212" s="14" t="s">
        <v>4923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32"/>
    </row>
    <row r="213">
      <c r="A213" s="30"/>
      <c r="B213" s="4" t="s">
        <v>4925</v>
      </c>
      <c r="D213" s="37" t="s">
        <v>3</v>
      </c>
      <c r="E213" s="38" t="s">
        <v>4390</v>
      </c>
      <c r="F213" s="30"/>
      <c r="G213" s="30"/>
      <c r="H213" s="30"/>
      <c r="I213" s="30"/>
      <c r="J213" s="30"/>
      <c r="K213" s="30"/>
      <c r="L213" s="30"/>
      <c r="M213" s="30"/>
      <c r="N213" s="30"/>
    </row>
    <row r="214">
      <c r="A214" s="1"/>
      <c r="B214" s="14" t="s">
        <v>4927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4"/>
    </row>
    <row r="215">
      <c r="A215" s="1"/>
      <c r="B215" s="4" t="s">
        <v>4928</v>
      </c>
      <c r="D215" s="37" t="s">
        <v>3</v>
      </c>
      <c r="E215" s="38" t="s">
        <v>4390</v>
      </c>
      <c r="F215" s="30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4" t="s">
        <v>4929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4"/>
    </row>
    <row r="217">
      <c r="A217" s="1"/>
      <c r="B217" s="4" t="s">
        <v>4931</v>
      </c>
      <c r="D217" s="37" t="s">
        <v>3</v>
      </c>
      <c r="E217" s="38" t="s">
        <v>4390</v>
      </c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30"/>
      <c r="B218" s="14" t="s">
        <v>4932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32"/>
    </row>
    <row r="219">
      <c r="A219" s="30"/>
      <c r="B219" s="4" t="s">
        <v>4934</v>
      </c>
      <c r="D219" s="37" t="s">
        <v>3</v>
      </c>
      <c r="E219" s="38" t="s">
        <v>4390</v>
      </c>
      <c r="F219" s="18" t="str">
        <f>HYPERLINK("https://www.youtube.com/watch?v=ShhtiHNJiWY&amp;index=213&amp;t=0s&amp;list=PLbU6uWaIKemqNvTeRxK-Ay6PRg9iwCKVi",'Players&gt;List'!$B19)</f>
        <v>[HIT]</v>
      </c>
      <c r="G219" s="30"/>
      <c r="H219" s="30"/>
      <c r="I219" s="30"/>
      <c r="J219" s="30"/>
      <c r="K219" s="30"/>
      <c r="L219" s="30"/>
      <c r="M219" s="30"/>
      <c r="N219" s="30"/>
    </row>
    <row r="220">
      <c r="A220" s="30"/>
      <c r="B220" s="14" t="s">
        <v>4935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32"/>
    </row>
    <row r="221">
      <c r="A221" s="30"/>
      <c r="B221" s="4" t="s">
        <v>4937</v>
      </c>
      <c r="D221" s="37" t="s">
        <v>3</v>
      </c>
      <c r="E221" s="38" t="s">
        <v>4390</v>
      </c>
      <c r="F221" s="30"/>
      <c r="G221" s="30"/>
      <c r="H221" s="30"/>
      <c r="I221" s="30"/>
      <c r="J221" s="30"/>
      <c r="K221" s="30"/>
      <c r="L221" s="30"/>
      <c r="M221" s="30"/>
      <c r="N221" s="30"/>
    </row>
    <row r="222">
      <c r="A222" s="30"/>
      <c r="B222" s="14" t="s">
        <v>4938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32"/>
    </row>
    <row r="223">
      <c r="A223" s="30"/>
      <c r="B223" s="4" t="s">
        <v>4940</v>
      </c>
      <c r="D223" s="37" t="s">
        <v>3</v>
      </c>
      <c r="E223" s="38" t="s">
        <v>4390</v>
      </c>
      <c r="F223" s="30"/>
      <c r="G223" s="30"/>
      <c r="H223" s="30"/>
      <c r="I223" s="30"/>
      <c r="J223" s="30"/>
      <c r="K223" s="30"/>
      <c r="L223" s="30"/>
      <c r="M223" s="30"/>
      <c r="N223" s="30"/>
    </row>
    <row r="224">
      <c r="A224" s="30"/>
      <c r="B224" s="14" t="s">
        <v>4941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32"/>
    </row>
    <row r="225">
      <c r="A225" s="30"/>
      <c r="B225" s="4" t="s">
        <v>4942</v>
      </c>
      <c r="D225" s="37" t="s">
        <v>3</v>
      </c>
      <c r="E225" s="38" t="s">
        <v>4390</v>
      </c>
      <c r="F225" s="30"/>
      <c r="G225" s="30"/>
      <c r="H225" s="30"/>
      <c r="I225" s="30"/>
      <c r="J225" s="30"/>
      <c r="K225" s="30"/>
      <c r="L225" s="30"/>
      <c r="M225" s="30"/>
      <c r="N225" s="30"/>
    </row>
    <row r="226">
      <c r="A226" s="1"/>
      <c r="B226" s="14" t="s">
        <v>4943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4"/>
    </row>
    <row r="227">
      <c r="A227" s="1"/>
      <c r="B227" s="4" t="s">
        <v>4944</v>
      </c>
      <c r="D227" s="37" t="s">
        <v>3</v>
      </c>
      <c r="E227" s="38" t="s">
        <v>4390</v>
      </c>
      <c r="F227" s="30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4" t="s">
        <v>4946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4"/>
    </row>
    <row r="229">
      <c r="A229" s="1"/>
      <c r="B229" s="4" t="s">
        <v>4947</v>
      </c>
      <c r="D229" s="37" t="s">
        <v>3</v>
      </c>
      <c r="E229" s="38" t="s">
        <v>4390</v>
      </c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30"/>
      <c r="B230" s="14" t="s">
        <v>4949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32"/>
    </row>
    <row r="231">
      <c r="A231" s="30"/>
      <c r="B231" s="4" t="s">
        <v>4950</v>
      </c>
      <c r="D231" s="37" t="s">
        <v>3</v>
      </c>
      <c r="E231" s="38" t="s">
        <v>4390</v>
      </c>
      <c r="F231" s="30"/>
      <c r="G231" s="30"/>
      <c r="H231" s="30"/>
      <c r="I231" s="30"/>
      <c r="J231" s="30"/>
      <c r="K231" s="30"/>
      <c r="L231" s="30"/>
      <c r="M231" s="30"/>
      <c r="N231" s="30"/>
    </row>
    <row r="232">
      <c r="A232" s="30"/>
      <c r="B232" s="14" t="s">
        <v>4952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32"/>
    </row>
    <row r="233">
      <c r="A233" s="30"/>
      <c r="B233" s="4" t="s">
        <v>4954</v>
      </c>
      <c r="D233" s="37" t="s">
        <v>3</v>
      </c>
      <c r="E233" s="38" t="s">
        <v>4390</v>
      </c>
      <c r="F233" s="30"/>
      <c r="G233" s="30"/>
      <c r="H233" s="30"/>
      <c r="I233" s="30"/>
      <c r="J233" s="30"/>
      <c r="K233" s="30"/>
      <c r="L233" s="30"/>
      <c r="M233" s="30"/>
      <c r="N233" s="30"/>
    </row>
    <row r="234">
      <c r="A234" s="30"/>
      <c r="B234" s="14" t="s">
        <v>4955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32"/>
    </row>
    <row r="235">
      <c r="A235" s="30"/>
      <c r="B235" s="4" t="s">
        <v>4956</v>
      </c>
      <c r="D235" s="37" t="s">
        <v>3</v>
      </c>
      <c r="E235" s="38" t="s">
        <v>4390</v>
      </c>
      <c r="F235" s="30"/>
      <c r="G235" s="30"/>
      <c r="H235" s="30"/>
      <c r="I235" s="30"/>
      <c r="J235" s="30"/>
      <c r="K235" s="30"/>
      <c r="L235" s="30"/>
      <c r="M235" s="30"/>
      <c r="N235" s="30"/>
    </row>
    <row r="236">
      <c r="A236" s="30"/>
      <c r="B236" s="14" t="s">
        <v>4957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32"/>
    </row>
    <row r="237">
      <c r="A237" s="30"/>
      <c r="B237" s="4" t="s">
        <v>4960</v>
      </c>
      <c r="D237" s="37" t="s">
        <v>3</v>
      </c>
      <c r="E237" s="38" t="s">
        <v>4390</v>
      </c>
      <c r="F237" s="30"/>
      <c r="G237" s="30"/>
      <c r="H237" s="30"/>
      <c r="I237" s="30"/>
      <c r="J237" s="30"/>
      <c r="K237" s="30"/>
      <c r="L237" s="30"/>
      <c r="M237" s="30"/>
      <c r="N237" s="30"/>
    </row>
    <row r="238">
      <c r="A238" s="1"/>
      <c r="B238" s="14" t="s">
        <v>4962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4"/>
    </row>
    <row r="239">
      <c r="A239" s="1"/>
      <c r="B239" s="4" t="s">
        <v>4963</v>
      </c>
      <c r="D239" s="37" t="s">
        <v>3</v>
      </c>
      <c r="E239" s="38" t="s">
        <v>4390</v>
      </c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4" t="s">
        <v>4964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4"/>
    </row>
    <row r="241">
      <c r="A241" s="1"/>
      <c r="B241" s="4" t="s">
        <v>4965</v>
      </c>
      <c r="D241" s="37" t="s">
        <v>3</v>
      </c>
      <c r="E241" s="38" t="s">
        <v>4390</v>
      </c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30"/>
      <c r="B242" s="14" t="s">
        <v>4966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32"/>
    </row>
    <row r="243">
      <c r="A243" s="30"/>
      <c r="B243" s="4" t="s">
        <v>4967</v>
      </c>
      <c r="D243" s="37" t="s">
        <v>3</v>
      </c>
      <c r="E243" s="38" t="s">
        <v>4390</v>
      </c>
      <c r="F243" s="30"/>
      <c r="G243" s="30"/>
      <c r="H243" s="30"/>
      <c r="I243" s="30"/>
      <c r="J243" s="30"/>
      <c r="K243" s="30"/>
      <c r="L243" s="30"/>
      <c r="M243" s="30"/>
      <c r="N243" s="30"/>
    </row>
    <row r="244">
      <c r="A244" s="30"/>
      <c r="B244" s="14" t="s">
        <v>4968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32"/>
    </row>
    <row r="245">
      <c r="A245" s="30"/>
      <c r="B245" s="4" t="s">
        <v>4969</v>
      </c>
      <c r="D245" s="37" t="s">
        <v>3</v>
      </c>
      <c r="E245" s="38" t="s">
        <v>4390</v>
      </c>
      <c r="F245" s="18" t="str">
        <f>HYPERLINK("https://www.youtube.com/watch?v=SK0zy37QbAY&amp;index=334&amp;list=PLbU6uWaIKemqNvTeRxK-Ay6PRg9iwCKVi&amp;t=0s",'Players&gt;List'!$B19)</f>
        <v>[HIT]</v>
      </c>
      <c r="G245" s="30"/>
      <c r="H245" s="30"/>
      <c r="I245" s="30"/>
      <c r="J245" s="30"/>
      <c r="K245" s="30"/>
      <c r="L245" s="30"/>
      <c r="M245" s="30"/>
      <c r="N245" s="30"/>
    </row>
    <row r="246">
      <c r="A246" s="30"/>
      <c r="B246" s="9"/>
      <c r="C246" s="9"/>
      <c r="D246" s="32"/>
      <c r="E246" s="32"/>
      <c r="F246" s="30"/>
      <c r="G246" s="30"/>
      <c r="H246" s="30"/>
      <c r="I246" s="30"/>
      <c r="J246" s="30"/>
      <c r="K246" s="30"/>
      <c r="L246" s="30"/>
      <c r="M246" s="30"/>
      <c r="N246" s="30"/>
    </row>
  </sheetData>
  <mergeCells count="243">
    <mergeCell ref="B151:C151"/>
    <mergeCell ref="B150:M150"/>
    <mergeCell ref="B152:M152"/>
    <mergeCell ref="B146:M146"/>
    <mergeCell ref="B149:C149"/>
    <mergeCell ref="B148:M148"/>
    <mergeCell ref="B147:C147"/>
    <mergeCell ref="B141:C141"/>
    <mergeCell ref="B144:M144"/>
    <mergeCell ref="B142:M142"/>
    <mergeCell ref="B143:C143"/>
    <mergeCell ref="B136:M136"/>
    <mergeCell ref="B137:C137"/>
    <mergeCell ref="B138:M138"/>
    <mergeCell ref="B140:M140"/>
    <mergeCell ref="B153:C153"/>
    <mergeCell ref="B158:M158"/>
    <mergeCell ref="B156:M156"/>
    <mergeCell ref="B154:M154"/>
    <mergeCell ref="B145:C145"/>
    <mergeCell ref="B182:M182"/>
    <mergeCell ref="B190:M190"/>
    <mergeCell ref="B188:M188"/>
    <mergeCell ref="B186:M186"/>
    <mergeCell ref="B184:M184"/>
    <mergeCell ref="B185:C185"/>
    <mergeCell ref="B183:C183"/>
    <mergeCell ref="B162:M162"/>
    <mergeCell ref="B172:M172"/>
    <mergeCell ref="B160:M160"/>
    <mergeCell ref="B170:M170"/>
    <mergeCell ref="B171:C171"/>
    <mergeCell ref="B169:C169"/>
    <mergeCell ref="B173:C173"/>
    <mergeCell ref="B122:M122"/>
    <mergeCell ref="B126:M126"/>
    <mergeCell ref="B124:M124"/>
    <mergeCell ref="B118:M118"/>
    <mergeCell ref="B117:C117"/>
    <mergeCell ref="B120:M120"/>
    <mergeCell ref="B106:M106"/>
    <mergeCell ref="B108:M108"/>
    <mergeCell ref="B104:M104"/>
    <mergeCell ref="B134:M134"/>
    <mergeCell ref="B128:M128"/>
    <mergeCell ref="B220:M220"/>
    <mergeCell ref="B222:M222"/>
    <mergeCell ref="B225:C225"/>
    <mergeCell ref="B223:C223"/>
    <mergeCell ref="B226:M226"/>
    <mergeCell ref="B224:M224"/>
    <mergeCell ref="B228:M228"/>
    <mergeCell ref="B230:M230"/>
    <mergeCell ref="B232:M232"/>
    <mergeCell ref="B233:C233"/>
    <mergeCell ref="B219:C219"/>
    <mergeCell ref="B229:C229"/>
    <mergeCell ref="B116:M116"/>
    <mergeCell ref="B114:M114"/>
    <mergeCell ref="B235:C235"/>
    <mergeCell ref="B234:M234"/>
    <mergeCell ref="B236:M236"/>
    <mergeCell ref="B240:M240"/>
    <mergeCell ref="B242:M242"/>
    <mergeCell ref="B238:M238"/>
    <mergeCell ref="B218:M218"/>
    <mergeCell ref="B216:M216"/>
    <mergeCell ref="B192:M192"/>
    <mergeCell ref="B195:C195"/>
    <mergeCell ref="B197:C197"/>
    <mergeCell ref="B196:M196"/>
    <mergeCell ref="B198:M198"/>
    <mergeCell ref="B200:M200"/>
    <mergeCell ref="B119:C119"/>
    <mergeCell ref="B135:C135"/>
    <mergeCell ref="B133:C133"/>
    <mergeCell ref="B191:C191"/>
    <mergeCell ref="B127:C127"/>
    <mergeCell ref="B125:C125"/>
    <mergeCell ref="B131:C131"/>
    <mergeCell ref="B129:C129"/>
    <mergeCell ref="B132:M132"/>
    <mergeCell ref="B130:M130"/>
    <mergeCell ref="B231:C231"/>
    <mergeCell ref="B227:C227"/>
    <mergeCell ref="B237:C237"/>
    <mergeCell ref="B52:M52"/>
    <mergeCell ref="B58:M58"/>
    <mergeCell ref="B56:M56"/>
    <mergeCell ref="B54:M54"/>
    <mergeCell ref="B45:C45"/>
    <mergeCell ref="B43:C43"/>
    <mergeCell ref="B41:C41"/>
    <mergeCell ref="B50:M50"/>
    <mergeCell ref="B44:M44"/>
    <mergeCell ref="B46:M46"/>
    <mergeCell ref="B48:M48"/>
    <mergeCell ref="B42:M42"/>
    <mergeCell ref="B96:M96"/>
    <mergeCell ref="B98:M98"/>
    <mergeCell ref="B99:C99"/>
    <mergeCell ref="B100:M100"/>
    <mergeCell ref="B95:C95"/>
    <mergeCell ref="B97:C97"/>
    <mergeCell ref="B94:M94"/>
    <mergeCell ref="B86:M86"/>
    <mergeCell ref="B84:M84"/>
    <mergeCell ref="B70:M70"/>
    <mergeCell ref="B76:M76"/>
    <mergeCell ref="B88:M88"/>
    <mergeCell ref="B87:C87"/>
    <mergeCell ref="B91:C91"/>
    <mergeCell ref="B89:C89"/>
    <mergeCell ref="B93:C93"/>
    <mergeCell ref="B92:M92"/>
    <mergeCell ref="B90:M90"/>
    <mergeCell ref="B179:C179"/>
    <mergeCell ref="B181:C181"/>
    <mergeCell ref="B243:C243"/>
    <mergeCell ref="B245:C245"/>
    <mergeCell ref="B239:C239"/>
    <mergeCell ref="B217:C217"/>
    <mergeCell ref="B221:C221"/>
    <mergeCell ref="B215:C215"/>
    <mergeCell ref="B207:C207"/>
    <mergeCell ref="B213:C213"/>
    <mergeCell ref="B167:C167"/>
    <mergeCell ref="B155:C155"/>
    <mergeCell ref="B161:C161"/>
    <mergeCell ref="B157:C157"/>
    <mergeCell ref="B159:C159"/>
    <mergeCell ref="B163:C163"/>
    <mergeCell ref="B165:C165"/>
    <mergeCell ref="B193:C193"/>
    <mergeCell ref="B139:C139"/>
    <mergeCell ref="B123:C123"/>
    <mergeCell ref="B121:C121"/>
    <mergeCell ref="B189:C189"/>
    <mergeCell ref="B187:C187"/>
    <mergeCell ref="B241:C241"/>
    <mergeCell ref="B49:C49"/>
    <mergeCell ref="B51:C51"/>
    <mergeCell ref="B57:C57"/>
    <mergeCell ref="B59:C59"/>
    <mergeCell ref="B17:C17"/>
    <mergeCell ref="B4:C4"/>
    <mergeCell ref="B15:C15"/>
    <mergeCell ref="B13:C13"/>
    <mergeCell ref="B11:C11"/>
    <mergeCell ref="B7:C7"/>
    <mergeCell ref="B9:C9"/>
    <mergeCell ref="B21:C21"/>
    <mergeCell ref="B19:C19"/>
    <mergeCell ref="B29:C29"/>
    <mergeCell ref="B27:C27"/>
    <mergeCell ref="B23:C23"/>
    <mergeCell ref="B33:C33"/>
    <mergeCell ref="B35:C35"/>
    <mergeCell ref="B31:C31"/>
    <mergeCell ref="B63:C63"/>
    <mergeCell ref="B65:C65"/>
    <mergeCell ref="B75:C75"/>
    <mergeCell ref="B73:C73"/>
    <mergeCell ref="B77:C77"/>
    <mergeCell ref="B81:C81"/>
    <mergeCell ref="B61:C61"/>
    <mergeCell ref="B53:C53"/>
    <mergeCell ref="B55:C55"/>
    <mergeCell ref="B47:C47"/>
    <mergeCell ref="B71:C71"/>
    <mergeCell ref="B211:C211"/>
    <mergeCell ref="B214:M214"/>
    <mergeCell ref="B212:M212"/>
    <mergeCell ref="B244:M244"/>
    <mergeCell ref="B205:C205"/>
    <mergeCell ref="B206:M206"/>
    <mergeCell ref="B203:C203"/>
    <mergeCell ref="B204:M204"/>
    <mergeCell ref="B194:M194"/>
    <mergeCell ref="B210:M210"/>
    <mergeCell ref="B199:C199"/>
    <mergeCell ref="B201:C201"/>
    <mergeCell ref="B209:C209"/>
    <mergeCell ref="B208:M208"/>
    <mergeCell ref="B202:M202"/>
    <mergeCell ref="B166:M166"/>
    <mergeCell ref="B164:M164"/>
    <mergeCell ref="B180:M180"/>
    <mergeCell ref="B178:M178"/>
    <mergeCell ref="B175:C175"/>
    <mergeCell ref="B177:C177"/>
    <mergeCell ref="B168:M168"/>
    <mergeCell ref="B176:M176"/>
    <mergeCell ref="B174:M174"/>
    <mergeCell ref="B26:M26"/>
    <mergeCell ref="B22:M22"/>
    <mergeCell ref="B24:M24"/>
    <mergeCell ref="B28:M28"/>
    <mergeCell ref="B30:M30"/>
    <mergeCell ref="B8:M8"/>
    <mergeCell ref="B6:M6"/>
    <mergeCell ref="D4:E4"/>
    <mergeCell ref="B1:M3"/>
    <mergeCell ref="B12:M12"/>
    <mergeCell ref="B10:M10"/>
    <mergeCell ref="B34:M34"/>
    <mergeCell ref="B32:M32"/>
    <mergeCell ref="B39:C39"/>
    <mergeCell ref="B36:M36"/>
    <mergeCell ref="B38:M38"/>
    <mergeCell ref="B16:M16"/>
    <mergeCell ref="B14:M14"/>
    <mergeCell ref="B20:M20"/>
    <mergeCell ref="B18:M18"/>
    <mergeCell ref="B68:M68"/>
    <mergeCell ref="B69:C69"/>
    <mergeCell ref="B66:M66"/>
    <mergeCell ref="B67:C67"/>
    <mergeCell ref="B60:M60"/>
    <mergeCell ref="B64:M64"/>
    <mergeCell ref="B62:M62"/>
    <mergeCell ref="B80:M80"/>
    <mergeCell ref="B78:M78"/>
    <mergeCell ref="B79:C79"/>
    <mergeCell ref="B74:M74"/>
    <mergeCell ref="B72:M72"/>
    <mergeCell ref="B85:C85"/>
    <mergeCell ref="B82:M82"/>
    <mergeCell ref="B83:C83"/>
    <mergeCell ref="B101:C101"/>
    <mergeCell ref="B105:C105"/>
    <mergeCell ref="B111:C111"/>
    <mergeCell ref="B107:C107"/>
    <mergeCell ref="B109:C109"/>
    <mergeCell ref="B103:C103"/>
    <mergeCell ref="B113:C113"/>
    <mergeCell ref="B115:C115"/>
    <mergeCell ref="B110:M110"/>
    <mergeCell ref="B112:M112"/>
    <mergeCell ref="B102:M102"/>
    <mergeCell ref="B37:C37"/>
    <mergeCell ref="B25:C25"/>
    <mergeCell ref="B40:M40"/>
  </mergeCells>
  <conditionalFormatting sqref="F4:M4">
    <cfRule type="cellIs" dxfId="1" priority="1" operator="equal">
      <formula>"In Progress"</formula>
    </cfRule>
  </conditionalFormatting>
  <hyperlinks>
    <hyperlink display="N++&gt;Solo&gt;Episodes" location="Main Menu!A1" ref="B1"/>
    <hyperlink display="N++" location="Solo&gt;Episodes&gt;N++!A1" ref="B4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4959</v>
      </c>
      <c r="N1" s="4"/>
    </row>
    <row r="2">
      <c r="A2" s="1"/>
      <c r="N2" s="4"/>
    </row>
    <row r="3">
      <c r="A3" s="1"/>
      <c r="N3" s="4"/>
    </row>
    <row r="4">
      <c r="A4" s="1"/>
      <c r="B4" s="31" t="s">
        <v>2</v>
      </c>
      <c r="D4" s="7" t="s">
        <v>3</v>
      </c>
      <c r="E4" s="6"/>
      <c r="F4" s="8" t="s">
        <v>4</v>
      </c>
      <c r="G4" s="6"/>
      <c r="H4" s="7" t="s">
        <v>5</v>
      </c>
      <c r="I4" s="6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4970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4971</v>
      </c>
      <c r="D7" s="37" t="s">
        <v>3</v>
      </c>
      <c r="E7" s="38" t="s">
        <v>4390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4972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4973</v>
      </c>
      <c r="D9" s="37" t="s">
        <v>3</v>
      </c>
      <c r="E9" s="38" t="s">
        <v>4390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30"/>
      <c r="B10" s="14" t="s">
        <v>4975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/>
    </row>
    <row r="11">
      <c r="A11" s="30"/>
      <c r="B11" s="4" t="s">
        <v>4976</v>
      </c>
      <c r="D11" s="37" t="s">
        <v>3</v>
      </c>
      <c r="E11" s="38" t="s">
        <v>4390</v>
      </c>
      <c r="F11" s="30"/>
      <c r="G11" s="30"/>
      <c r="H11" s="30"/>
      <c r="I11" s="30"/>
      <c r="J11" s="30"/>
      <c r="K11" s="30"/>
      <c r="L11" s="30"/>
      <c r="M11" s="30"/>
      <c r="N11" s="30"/>
    </row>
    <row r="12">
      <c r="A12" s="30"/>
      <c r="B12" s="14" t="s">
        <v>4978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</row>
    <row r="13">
      <c r="A13" s="30"/>
      <c r="B13" s="4" t="s">
        <v>4979</v>
      </c>
      <c r="D13" s="37" t="s">
        <v>3</v>
      </c>
      <c r="E13" s="38" t="s">
        <v>4390</v>
      </c>
      <c r="F13" s="30"/>
      <c r="G13" s="30"/>
      <c r="H13" s="30"/>
      <c r="I13" s="30"/>
      <c r="J13" s="30"/>
      <c r="K13" s="30"/>
      <c r="L13" s="30"/>
      <c r="M13" s="30"/>
      <c r="N13" s="30"/>
    </row>
    <row r="14">
      <c r="A14" s="30"/>
      <c r="B14" s="14" t="s">
        <v>4980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</row>
    <row r="15">
      <c r="A15" s="30"/>
      <c r="B15" s="4" t="s">
        <v>4982</v>
      </c>
      <c r="D15" s="37" t="s">
        <v>3</v>
      </c>
      <c r="E15" s="38" t="s">
        <v>4390</v>
      </c>
      <c r="F15" s="30"/>
      <c r="G15" s="30"/>
      <c r="H15" s="30"/>
      <c r="I15" s="30"/>
      <c r="J15" s="30"/>
      <c r="K15" s="30"/>
      <c r="L15" s="30"/>
      <c r="M15" s="30"/>
      <c r="N15" s="30"/>
    </row>
    <row r="16">
      <c r="A16" s="1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15">
    <mergeCell ref="B7:C7"/>
    <mergeCell ref="B4:C4"/>
    <mergeCell ref="B1:M3"/>
    <mergeCell ref="D4:E4"/>
    <mergeCell ref="H4:I4"/>
    <mergeCell ref="F4:G4"/>
    <mergeCell ref="B6:M6"/>
    <mergeCell ref="B9:C9"/>
    <mergeCell ref="B11:C11"/>
    <mergeCell ref="B10:M10"/>
    <mergeCell ref="B13:C13"/>
    <mergeCell ref="B12:M12"/>
    <mergeCell ref="B15:C15"/>
    <mergeCell ref="B14:M14"/>
    <mergeCell ref="B8:M8"/>
  </mergeCells>
  <conditionalFormatting sqref="J4:M4">
    <cfRule type="cellIs" dxfId="1" priority="1" operator="equal">
      <formula>"In Progress"</formula>
    </cfRule>
  </conditionalFormatting>
  <hyperlinks>
    <hyperlink display="N++&gt;Hardcore" location="Main Menu!A1" ref="B1"/>
    <hyperlink display="N++" location="Hardcore&gt;N++!A1" ref="D4"/>
    <hyperlink display="Ultimate" location="Hardcore&gt;Ultimate!A1" ref="F4"/>
    <hyperlink display="Legacy" location="Hardcore&gt;Legacy!A1" ref="H4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4959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31" t="s">
        <v>3</v>
      </c>
      <c r="E4" s="6"/>
      <c r="F4" s="8" t="s">
        <v>4</v>
      </c>
      <c r="G4" s="6"/>
      <c r="H4" s="7" t="s">
        <v>5</v>
      </c>
      <c r="I4" s="6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4991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4994</v>
      </c>
      <c r="D7" s="37" t="s">
        <v>3</v>
      </c>
      <c r="E7" s="38" t="s">
        <v>4390</v>
      </c>
      <c r="F7" s="18" t="str">
        <f>HYPERLINK("https://youtu.be/-DzmXwfG_O0",'Players&gt;List'!$B29)</f>
        <v>[SYS]</v>
      </c>
      <c r="G7" s="1"/>
      <c r="H7" s="1"/>
      <c r="I7" s="1"/>
      <c r="J7" s="1"/>
      <c r="K7" s="1"/>
      <c r="L7" s="1"/>
      <c r="M7" s="1"/>
      <c r="N7" s="30"/>
    </row>
    <row r="8">
      <c r="A8" s="1"/>
      <c r="B8" s="14" t="s">
        <v>4997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5000</v>
      </c>
      <c r="D9" s="37" t="s">
        <v>3</v>
      </c>
      <c r="E9" s="38" t="s">
        <v>4390</v>
      </c>
      <c r="F9" s="18" t="str">
        <f>HYPERLINK("https://www.twitch.tv/videos/395744862",'Players&gt;List'!$B30)</f>
        <v>[TST]</v>
      </c>
      <c r="G9" s="18" t="str">
        <f>HYPERLINK("https://youtu.be/2HAXpmkcjNE",'Players&gt;List'!$B29)</f>
        <v>[SYS]</v>
      </c>
      <c r="H9" s="1"/>
      <c r="I9" s="1"/>
      <c r="J9" s="1"/>
      <c r="K9" s="1"/>
      <c r="L9" s="1"/>
      <c r="M9" s="1"/>
      <c r="N9" s="1"/>
    </row>
    <row r="10">
      <c r="A10" s="30"/>
      <c r="B10" s="14" t="s">
        <v>5005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/>
    </row>
    <row r="11">
      <c r="A11" s="30"/>
      <c r="B11" s="4" t="s">
        <v>5008</v>
      </c>
      <c r="D11" s="37" t="s">
        <v>3</v>
      </c>
      <c r="E11" s="38" t="s">
        <v>4390</v>
      </c>
      <c r="F11" s="18" t="str">
        <f>HYPERLINK("https://www.twitch.tv/videos/396720094",'Players&gt;List'!$B30)</f>
        <v>[TST]</v>
      </c>
      <c r="G11" s="1"/>
      <c r="H11" s="30"/>
      <c r="I11" s="30"/>
      <c r="J11" s="30"/>
      <c r="K11" s="30"/>
      <c r="L11" s="30"/>
      <c r="M11" s="30"/>
      <c r="N11" s="30"/>
    </row>
    <row r="12">
      <c r="A12" s="30"/>
      <c r="B12" s="14" t="s">
        <v>5011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</row>
    <row r="13">
      <c r="A13" s="30"/>
      <c r="B13" s="4" t="s">
        <v>5014</v>
      </c>
      <c r="D13" s="37" t="s">
        <v>3</v>
      </c>
      <c r="E13" s="38" t="s">
        <v>4390</v>
      </c>
      <c r="F13" s="18" t="str">
        <f>HYPERLINK("https://www.twitch.tv/videos/396721322",'Players&gt;List'!$B30)</f>
        <v>[TST]</v>
      </c>
      <c r="G13" s="1"/>
      <c r="H13" s="30"/>
      <c r="I13" s="30"/>
      <c r="J13" s="30"/>
      <c r="K13" s="30"/>
      <c r="L13" s="30"/>
      <c r="M13" s="30"/>
      <c r="N13" s="30"/>
    </row>
    <row r="14">
      <c r="A14" s="30"/>
      <c r="B14" s="14" t="s">
        <v>5016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</row>
    <row r="15">
      <c r="A15" s="30"/>
      <c r="B15" s="4" t="s">
        <v>5017</v>
      </c>
      <c r="D15" s="37" t="s">
        <v>3</v>
      </c>
      <c r="E15" s="38" t="s">
        <v>4390</v>
      </c>
      <c r="F15" s="30"/>
      <c r="G15" s="30"/>
      <c r="H15" s="30"/>
      <c r="I15" s="30"/>
      <c r="J15" s="30"/>
      <c r="K15" s="30"/>
      <c r="L15" s="30"/>
      <c r="M15" s="30"/>
      <c r="N15" s="30"/>
    </row>
    <row r="16">
      <c r="A16" s="1"/>
      <c r="B16" s="14" t="s">
        <v>5018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5020</v>
      </c>
      <c r="D17" s="37" t="s">
        <v>3</v>
      </c>
      <c r="E17" s="38" t="s">
        <v>4390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5022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5024</v>
      </c>
      <c r="D19" s="37" t="s">
        <v>3</v>
      </c>
      <c r="E19" s="38" t="s">
        <v>4390</v>
      </c>
      <c r="F19" s="18" t="str">
        <f>HYPERLINK("https://www.twitch.tv/videos/396722616",'Players&gt;List'!$B30)</f>
        <v>[TST]</v>
      </c>
      <c r="G19" s="1"/>
      <c r="H19" s="1"/>
      <c r="I19" s="1"/>
      <c r="J19" s="1"/>
      <c r="K19" s="1"/>
      <c r="L19" s="1"/>
      <c r="M19" s="1"/>
      <c r="N19" s="1"/>
    </row>
    <row r="20">
      <c r="A20" s="30"/>
      <c r="B20" s="14" t="s">
        <v>5027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/>
    </row>
    <row r="21">
      <c r="A21" s="30"/>
      <c r="B21" s="4" t="s">
        <v>5030</v>
      </c>
      <c r="D21" s="37" t="s">
        <v>3</v>
      </c>
      <c r="E21" s="38" t="s">
        <v>4390</v>
      </c>
      <c r="F21" s="30"/>
      <c r="G21" s="30"/>
      <c r="H21" s="30"/>
      <c r="I21" s="30"/>
      <c r="J21" s="30"/>
      <c r="K21" s="30"/>
      <c r="L21" s="30"/>
      <c r="M21" s="30"/>
      <c r="N21" s="30"/>
    </row>
    <row r="22">
      <c r="A22" s="30"/>
      <c r="B22" s="14" t="s">
        <v>5032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/>
    </row>
    <row r="23">
      <c r="A23" s="30"/>
      <c r="B23" s="4" t="s">
        <v>5034</v>
      </c>
      <c r="D23" s="37" t="s">
        <v>3</v>
      </c>
      <c r="E23" s="38" t="s">
        <v>4390</v>
      </c>
      <c r="F23" s="30"/>
      <c r="G23" s="30"/>
      <c r="H23" s="30"/>
      <c r="I23" s="30"/>
      <c r="J23" s="30"/>
      <c r="K23" s="30"/>
      <c r="L23" s="30"/>
      <c r="M23" s="30"/>
      <c r="N23" s="30"/>
    </row>
    <row r="24">
      <c r="A24" s="30"/>
      <c r="B24" s="14" t="s">
        <v>5035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2"/>
    </row>
    <row r="25">
      <c r="A25" s="30"/>
      <c r="B25" s="4" t="s">
        <v>5038</v>
      </c>
      <c r="D25" s="37" t="s">
        <v>3</v>
      </c>
      <c r="E25" s="38" t="s">
        <v>4390</v>
      </c>
      <c r="F25" s="18" t="str">
        <f>HYPERLINK("https://www.twitch.tv/videos/396724376",'Players&gt;List'!$B30)</f>
        <v>[TST]</v>
      </c>
      <c r="G25" s="30"/>
      <c r="H25" s="30"/>
      <c r="I25" s="30"/>
      <c r="J25" s="30"/>
      <c r="K25" s="30"/>
      <c r="L25" s="30"/>
      <c r="M25" s="30"/>
      <c r="N25" s="30"/>
    </row>
    <row r="26">
      <c r="A26" s="1"/>
      <c r="B26" s="14" t="s">
        <v>5040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5042</v>
      </c>
      <c r="D27" s="37" t="s">
        <v>3</v>
      </c>
      <c r="E27" s="38" t="s">
        <v>4390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5044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5046</v>
      </c>
      <c r="D29" s="37" t="s">
        <v>3</v>
      </c>
      <c r="E29" s="38" t="s">
        <v>4390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30"/>
      <c r="B30" s="14" t="s">
        <v>5048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2"/>
    </row>
    <row r="31">
      <c r="A31" s="30"/>
      <c r="B31" s="4" t="s">
        <v>5049</v>
      </c>
      <c r="D31" s="37" t="s">
        <v>3</v>
      </c>
      <c r="E31" s="38" t="s">
        <v>4390</v>
      </c>
      <c r="F31" s="30"/>
      <c r="G31" s="30"/>
      <c r="H31" s="30"/>
      <c r="I31" s="30"/>
      <c r="J31" s="30"/>
      <c r="K31" s="30"/>
      <c r="L31" s="30"/>
      <c r="M31" s="30"/>
      <c r="N31" s="30"/>
    </row>
    <row r="32">
      <c r="A32" s="30"/>
      <c r="B32" s="14" t="s">
        <v>5050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/>
    </row>
    <row r="33">
      <c r="A33" s="30"/>
      <c r="B33" s="4" t="s">
        <v>5052</v>
      </c>
      <c r="D33" s="37" t="s">
        <v>3</v>
      </c>
      <c r="E33" s="38" t="s">
        <v>4390</v>
      </c>
      <c r="F33" s="30"/>
      <c r="G33" s="30"/>
      <c r="H33" s="30"/>
      <c r="I33" s="30"/>
      <c r="J33" s="30"/>
      <c r="K33" s="30"/>
      <c r="L33" s="30"/>
      <c r="M33" s="30"/>
      <c r="N33" s="30"/>
    </row>
    <row r="34">
      <c r="A34" s="30"/>
      <c r="B34" s="14" t="s">
        <v>5053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/>
    </row>
    <row r="35">
      <c r="A35" s="30"/>
      <c r="B35" s="4" t="s">
        <v>5056</v>
      </c>
      <c r="D35" s="37" t="s">
        <v>3</v>
      </c>
      <c r="E35" s="38" t="s">
        <v>4390</v>
      </c>
      <c r="F35" s="30"/>
      <c r="G35" s="30"/>
      <c r="H35" s="30"/>
      <c r="I35" s="30"/>
      <c r="J35" s="30"/>
      <c r="K35" s="30"/>
      <c r="L35" s="30"/>
      <c r="M35" s="30"/>
      <c r="N35" s="30"/>
    </row>
    <row r="36">
      <c r="A36" s="1"/>
      <c r="B36" s="14" t="s">
        <v>5058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5061</v>
      </c>
      <c r="D37" s="37" t="s">
        <v>3</v>
      </c>
      <c r="E37" s="38" t="s">
        <v>4390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5064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5066</v>
      </c>
      <c r="D39" s="37" t="s">
        <v>3</v>
      </c>
      <c r="E39" s="38" t="s">
        <v>4390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30"/>
      <c r="B40" s="14" t="s">
        <v>5067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2"/>
    </row>
    <row r="41">
      <c r="A41" s="30"/>
      <c r="B41" s="4" t="s">
        <v>5069</v>
      </c>
      <c r="D41" s="37" t="s">
        <v>3</v>
      </c>
      <c r="E41" s="38" t="s">
        <v>4390</v>
      </c>
      <c r="F41" s="18" t="str">
        <f>HYPERLINK("https://www.youtube.com/watch?v=aIYmYjXPF_0&amp;index=274&amp;list=PLbU6uWaIKemqNvTeRxK-Ay6PRg9iwCKVi&amp;t=0s",'Players&gt;List'!$B19)</f>
        <v>[HIT]</v>
      </c>
      <c r="G41" s="30"/>
      <c r="H41" s="30"/>
      <c r="I41" s="30"/>
      <c r="J41" s="30"/>
      <c r="K41" s="30"/>
      <c r="L41" s="30"/>
      <c r="M41" s="30"/>
      <c r="N41" s="30"/>
    </row>
    <row r="42">
      <c r="A42" s="30"/>
      <c r="B42" s="14" t="s">
        <v>5073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2"/>
    </row>
    <row r="43">
      <c r="A43" s="30"/>
      <c r="B43" s="4" t="s">
        <v>5076</v>
      </c>
      <c r="D43" s="37" t="s">
        <v>3</v>
      </c>
      <c r="E43" s="38" t="s">
        <v>4390</v>
      </c>
      <c r="F43" s="30"/>
      <c r="G43" s="30"/>
      <c r="H43" s="30"/>
      <c r="I43" s="30"/>
      <c r="J43" s="30"/>
      <c r="K43" s="30"/>
      <c r="L43" s="30"/>
      <c r="M43" s="30"/>
      <c r="N43" s="30"/>
    </row>
    <row r="44">
      <c r="A44" s="30"/>
      <c r="B44" s="14" t="s">
        <v>5077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2"/>
    </row>
    <row r="45">
      <c r="A45" s="30"/>
      <c r="B45" s="4" t="s">
        <v>5079</v>
      </c>
      <c r="D45" s="37" t="s">
        <v>3</v>
      </c>
      <c r="E45" s="38" t="s">
        <v>4390</v>
      </c>
      <c r="F45" s="18" t="str">
        <f>HYPERLINK("https://www.youtube.com/watch?v=jTMHtU4Hi-g&amp;index=336&amp;list=PLbU6uWaIKemqNvTeRxK-Ay6PRg9iwCKVi&amp;t=0s",'Players&gt;List'!$B19)</f>
        <v>[HIT]</v>
      </c>
      <c r="G45" s="30"/>
      <c r="H45" s="30"/>
      <c r="I45" s="30"/>
      <c r="J45" s="30"/>
      <c r="K45" s="30"/>
      <c r="L45" s="30"/>
      <c r="M45" s="30"/>
      <c r="N45" s="30"/>
    </row>
    <row r="46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</sheetData>
  <mergeCells count="45">
    <mergeCell ref="B33:C33"/>
    <mergeCell ref="B35:C35"/>
    <mergeCell ref="B28:M28"/>
    <mergeCell ref="B32:M32"/>
    <mergeCell ref="B30:M30"/>
    <mergeCell ref="B36:M36"/>
    <mergeCell ref="B34:M34"/>
    <mergeCell ref="B37:C37"/>
    <mergeCell ref="B38:M38"/>
    <mergeCell ref="B26:M26"/>
    <mergeCell ref="B41:C41"/>
    <mergeCell ref="B42:M42"/>
    <mergeCell ref="B44:M44"/>
    <mergeCell ref="B45:C45"/>
    <mergeCell ref="B43:C43"/>
    <mergeCell ref="B40:M40"/>
    <mergeCell ref="B39:C39"/>
    <mergeCell ref="B14:M14"/>
    <mergeCell ref="B12:M12"/>
    <mergeCell ref="B13:C13"/>
    <mergeCell ref="B9:C9"/>
    <mergeCell ref="B8:M8"/>
    <mergeCell ref="B23:C23"/>
    <mergeCell ref="B22:M22"/>
    <mergeCell ref="B24:M24"/>
    <mergeCell ref="B25:C25"/>
    <mergeCell ref="B31:C31"/>
    <mergeCell ref="B27:C27"/>
    <mergeCell ref="B29:C29"/>
    <mergeCell ref="B11:C11"/>
    <mergeCell ref="B15:C15"/>
    <mergeCell ref="B6:M6"/>
    <mergeCell ref="B7:C7"/>
    <mergeCell ref="D4:E4"/>
    <mergeCell ref="F4:G4"/>
    <mergeCell ref="H4:I4"/>
    <mergeCell ref="B4:C4"/>
    <mergeCell ref="B1:M3"/>
    <mergeCell ref="B10:M10"/>
    <mergeCell ref="B21:C21"/>
    <mergeCell ref="B20:M20"/>
    <mergeCell ref="B19:C19"/>
    <mergeCell ref="B18:M18"/>
    <mergeCell ref="B16:M16"/>
    <mergeCell ref="B17:C17"/>
  </mergeCells>
  <conditionalFormatting sqref="J4:M4">
    <cfRule type="cellIs" dxfId="1" priority="1" operator="equal">
      <formula>"In Progress"</formula>
    </cfRule>
  </conditionalFormatting>
  <hyperlinks>
    <hyperlink display="N++&gt;Hardcore" location="Main Menu!A1" ref="B1"/>
    <hyperlink display="Intro" location="Hardcore&gt;Intro!A1" ref="B4"/>
    <hyperlink display="Ultimate" location="Hardcore&gt;Ultimate!A1" ref="F4"/>
    <hyperlink display="Legacy" location="Hardcore&gt;Legacy!A1" ref="H4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4959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7" t="s">
        <v>3</v>
      </c>
      <c r="E4" s="6"/>
      <c r="F4" s="31" t="s">
        <v>4</v>
      </c>
      <c r="G4" s="6"/>
      <c r="H4" s="7" t="s">
        <v>5</v>
      </c>
      <c r="I4" s="6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4988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4989</v>
      </c>
      <c r="D7" s="37" t="s">
        <v>3</v>
      </c>
      <c r="E7" s="38" t="s">
        <v>4390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4990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4992</v>
      </c>
      <c r="D9" s="37" t="s">
        <v>3</v>
      </c>
      <c r="E9" s="38" t="s">
        <v>4390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30"/>
      <c r="B10" s="14" t="s">
        <v>4993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/>
    </row>
    <row r="11">
      <c r="A11" s="30"/>
      <c r="B11" s="4" t="s">
        <v>4995</v>
      </c>
      <c r="D11" s="37" t="s">
        <v>3</v>
      </c>
      <c r="E11" s="38" t="s">
        <v>4390</v>
      </c>
      <c r="F11" s="30"/>
      <c r="G11" s="30"/>
      <c r="H11" s="30"/>
      <c r="I11" s="30"/>
      <c r="J11" s="30"/>
      <c r="K11" s="30"/>
      <c r="L11" s="30"/>
      <c r="M11" s="30"/>
      <c r="N11" s="30"/>
    </row>
    <row r="12">
      <c r="A12" s="30"/>
      <c r="B12" s="14" t="s">
        <v>4996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</row>
    <row r="13">
      <c r="A13" s="30"/>
      <c r="B13" s="4" t="s">
        <v>4998</v>
      </c>
      <c r="D13" s="37" t="s">
        <v>3</v>
      </c>
      <c r="E13" s="38" t="s">
        <v>4390</v>
      </c>
      <c r="F13" s="30"/>
      <c r="G13" s="30"/>
      <c r="H13" s="30"/>
      <c r="I13" s="30"/>
      <c r="J13" s="30"/>
      <c r="K13" s="30"/>
      <c r="L13" s="30"/>
      <c r="M13" s="30"/>
      <c r="N13" s="30"/>
    </row>
    <row r="14">
      <c r="A14" s="30"/>
      <c r="B14" s="14" t="s">
        <v>4999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</row>
    <row r="15">
      <c r="A15" s="30"/>
      <c r="B15" s="4" t="s">
        <v>5001</v>
      </c>
      <c r="D15" s="37" t="s">
        <v>3</v>
      </c>
      <c r="E15" s="38" t="s">
        <v>4390</v>
      </c>
      <c r="F15" s="30"/>
      <c r="G15" s="30"/>
      <c r="H15" s="30"/>
      <c r="I15" s="30"/>
      <c r="J15" s="30"/>
      <c r="K15" s="30"/>
      <c r="L15" s="30"/>
      <c r="M15" s="30"/>
      <c r="N15" s="30"/>
    </row>
    <row r="16">
      <c r="A16" s="1"/>
      <c r="B16" s="14" t="s">
        <v>5002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5003</v>
      </c>
      <c r="D17" s="37" t="s">
        <v>3</v>
      </c>
      <c r="E17" s="38" t="s">
        <v>4390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5004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5006</v>
      </c>
      <c r="D19" s="37" t="s">
        <v>3</v>
      </c>
      <c r="E19" s="38" t="s">
        <v>4390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30"/>
      <c r="B20" s="14" t="s">
        <v>5007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/>
    </row>
    <row r="21">
      <c r="A21" s="30"/>
      <c r="B21" s="4" t="s">
        <v>5009</v>
      </c>
      <c r="D21" s="37" t="s">
        <v>3</v>
      </c>
      <c r="E21" s="38" t="s">
        <v>4390</v>
      </c>
      <c r="F21" s="30"/>
      <c r="G21" s="30"/>
      <c r="H21" s="30"/>
      <c r="I21" s="30"/>
      <c r="J21" s="30"/>
      <c r="K21" s="30"/>
      <c r="L21" s="30"/>
      <c r="M21" s="30"/>
      <c r="N21" s="30"/>
    </row>
    <row r="22">
      <c r="A22" s="30"/>
      <c r="B22" s="14" t="s">
        <v>5010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/>
    </row>
    <row r="23">
      <c r="A23" s="30"/>
      <c r="B23" s="4" t="s">
        <v>5012</v>
      </c>
      <c r="D23" s="37" t="s">
        <v>3</v>
      </c>
      <c r="E23" s="38" t="s">
        <v>4390</v>
      </c>
      <c r="F23" s="30"/>
      <c r="G23" s="30"/>
      <c r="H23" s="30"/>
      <c r="I23" s="30"/>
      <c r="J23" s="30"/>
      <c r="K23" s="30"/>
      <c r="L23" s="30"/>
      <c r="M23" s="30"/>
      <c r="N23" s="30"/>
    </row>
    <row r="24">
      <c r="A24" s="30"/>
      <c r="B24" s="14" t="s">
        <v>5013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2"/>
    </row>
    <row r="25">
      <c r="A25" s="30"/>
      <c r="B25" s="4" t="s">
        <v>5015</v>
      </c>
      <c r="D25" s="37" t="s">
        <v>3</v>
      </c>
      <c r="E25" s="38" t="s">
        <v>4390</v>
      </c>
      <c r="F25" s="18" t="str">
        <f>HYPERLINK("https://www.youtube.com/watch?v=7UhMKNjs7DU&amp;index=324&amp;list=PLbU6uWaIKemqNvTeRxK-Ay6PRg9iwCKVi&amp;t=0s",'Players&gt;List'!$B19)</f>
        <v>[HIT]</v>
      </c>
      <c r="G25" s="30"/>
      <c r="H25" s="30"/>
      <c r="I25" s="30"/>
      <c r="J25" s="30"/>
      <c r="K25" s="30"/>
      <c r="L25" s="30"/>
      <c r="M25" s="30"/>
      <c r="N25" s="30"/>
    </row>
    <row r="26">
      <c r="A26" s="1"/>
      <c r="B26" s="14" t="s">
        <v>5019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5021</v>
      </c>
      <c r="D27" s="37" t="s">
        <v>3</v>
      </c>
      <c r="E27" s="38" t="s">
        <v>4390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5023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5025</v>
      </c>
      <c r="D29" s="37" t="s">
        <v>3</v>
      </c>
      <c r="E29" s="38" t="s">
        <v>4390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30"/>
      <c r="B30" s="14" t="s">
        <v>5026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2"/>
    </row>
    <row r="31">
      <c r="A31" s="30"/>
      <c r="B31" s="4" t="s">
        <v>5028</v>
      </c>
      <c r="D31" s="37" t="s">
        <v>3</v>
      </c>
      <c r="E31" s="38" t="s">
        <v>4390</v>
      </c>
      <c r="F31" s="30"/>
      <c r="G31" s="30"/>
      <c r="H31" s="30"/>
      <c r="I31" s="30"/>
      <c r="J31" s="30"/>
      <c r="K31" s="30"/>
      <c r="L31" s="30"/>
      <c r="M31" s="30"/>
      <c r="N31" s="30"/>
    </row>
    <row r="32">
      <c r="A32" s="30"/>
      <c r="B32" s="14" t="s">
        <v>5029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/>
    </row>
    <row r="33">
      <c r="A33" s="30"/>
      <c r="B33" s="4" t="s">
        <v>5031</v>
      </c>
      <c r="D33" s="37" t="s">
        <v>3</v>
      </c>
      <c r="E33" s="38" t="s">
        <v>4390</v>
      </c>
      <c r="F33" s="30"/>
      <c r="G33" s="30"/>
      <c r="H33" s="30"/>
      <c r="I33" s="30"/>
      <c r="J33" s="30"/>
      <c r="K33" s="30"/>
      <c r="L33" s="30"/>
      <c r="M33" s="30"/>
      <c r="N33" s="30"/>
    </row>
    <row r="34">
      <c r="A34" s="30"/>
      <c r="B34" s="14" t="s">
        <v>5033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/>
    </row>
    <row r="35">
      <c r="A35" s="30"/>
      <c r="B35" s="4" t="s">
        <v>5036</v>
      </c>
      <c r="D35" s="37" t="s">
        <v>3</v>
      </c>
      <c r="E35" s="38" t="s">
        <v>4390</v>
      </c>
      <c r="F35" s="30"/>
      <c r="G35" s="30"/>
      <c r="H35" s="30"/>
      <c r="I35" s="30"/>
      <c r="J35" s="30"/>
      <c r="K35" s="30"/>
      <c r="L35" s="30"/>
      <c r="M35" s="30"/>
      <c r="N35" s="30"/>
    </row>
    <row r="36">
      <c r="A36" s="1"/>
      <c r="B36" s="14" t="s">
        <v>5037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5039</v>
      </c>
      <c r="D37" s="37" t="s">
        <v>3</v>
      </c>
      <c r="E37" s="38" t="s">
        <v>4390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5041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5043</v>
      </c>
      <c r="D39" s="37" t="s">
        <v>3</v>
      </c>
      <c r="E39" s="38" t="s">
        <v>4390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30"/>
      <c r="B40" s="14" t="s">
        <v>5045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2"/>
    </row>
    <row r="41">
      <c r="A41" s="30"/>
      <c r="B41" s="4" t="s">
        <v>5047</v>
      </c>
      <c r="D41" s="37" t="s">
        <v>3</v>
      </c>
      <c r="E41" s="38" t="s">
        <v>4390</v>
      </c>
      <c r="F41" s="18" t="str">
        <f>HYPERLINK("https://www.youtube.com/watch?v=-xe2ErfeyZs&amp;index=338&amp;list=PLbU6uWaIKemqNvTeRxK-Ay6PRg9iwCKVi&amp;t=0s",'Players&gt;List'!$B19)</f>
        <v>[HIT]</v>
      </c>
      <c r="G41" s="30"/>
      <c r="H41" s="30"/>
      <c r="I41" s="30"/>
      <c r="J41" s="30"/>
      <c r="K41" s="30"/>
      <c r="L41" s="30"/>
      <c r="M41" s="30"/>
      <c r="N41" s="30"/>
    </row>
    <row r="42">
      <c r="A42" s="30"/>
      <c r="B42" s="14" t="s">
        <v>5051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2"/>
    </row>
    <row r="43">
      <c r="A43" s="30"/>
      <c r="B43" s="4" t="s">
        <v>5055</v>
      </c>
      <c r="D43" s="37" t="s">
        <v>3</v>
      </c>
      <c r="E43" s="38" t="s">
        <v>4390</v>
      </c>
      <c r="F43" s="18" t="str">
        <f>HYPERLINK("https://www.youtube.com/watch?v=5D5i0t_KUcc&amp;index=337&amp;list=PLbU6uWaIKemqNvTeRxK-Ay6PRg9iwCKVi&amp;t=0s",'Players&gt;List'!$B19)</f>
        <v>[HIT]</v>
      </c>
      <c r="G43" s="30"/>
      <c r="H43" s="30"/>
      <c r="I43" s="30"/>
      <c r="J43" s="30"/>
      <c r="K43" s="30"/>
      <c r="L43" s="30"/>
      <c r="M43" s="30"/>
      <c r="N43" s="30"/>
    </row>
    <row r="44">
      <c r="A44" s="30"/>
      <c r="B44" s="14" t="s">
        <v>5060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2"/>
    </row>
    <row r="45">
      <c r="A45" s="30"/>
      <c r="B45" s="4" t="s">
        <v>5062</v>
      </c>
      <c r="D45" s="37" t="s">
        <v>3</v>
      </c>
      <c r="E45" s="38" t="s">
        <v>4390</v>
      </c>
      <c r="F45" s="18" t="str">
        <f>HYPERLINK("https://www.youtube.com/watch?v=pEIneZAAnAM&amp;index=307&amp;list=PLbU6uWaIKemqNvTeRxK-Ay6PRg9iwCKVi&amp;t=0s",'Players&gt;List'!$B19)</f>
        <v>[HIT]</v>
      </c>
      <c r="G45" s="18" t="str">
        <f>HYPERLINK("https://www.youtube.com/watch?v=zpihrjbINcA",'Players&gt;List'!$B14)</f>
        <v>[ESP]</v>
      </c>
      <c r="H45" s="30"/>
      <c r="I45" s="30"/>
      <c r="J45" s="30"/>
      <c r="K45" s="30"/>
      <c r="L45" s="30"/>
      <c r="M45" s="30"/>
      <c r="N45" s="30"/>
    </row>
    <row r="46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</sheetData>
  <mergeCells count="45">
    <mergeCell ref="B8:M8"/>
    <mergeCell ref="B6:M6"/>
    <mergeCell ref="B7:C7"/>
    <mergeCell ref="B10:M10"/>
    <mergeCell ref="B9:C9"/>
    <mergeCell ref="D4:E4"/>
    <mergeCell ref="B4:C4"/>
    <mergeCell ref="B1:M3"/>
    <mergeCell ref="H4:I4"/>
    <mergeCell ref="F4:G4"/>
    <mergeCell ref="B25:C25"/>
    <mergeCell ref="B24:M24"/>
    <mergeCell ref="B31:C31"/>
    <mergeCell ref="B29:C29"/>
    <mergeCell ref="B39:C39"/>
    <mergeCell ref="B41:C41"/>
    <mergeCell ref="B37:C37"/>
    <mergeCell ref="B45:C45"/>
    <mergeCell ref="B35:C35"/>
    <mergeCell ref="B36:M36"/>
    <mergeCell ref="B40:M40"/>
    <mergeCell ref="B44:M44"/>
    <mergeCell ref="B42:M42"/>
    <mergeCell ref="B43:C43"/>
    <mergeCell ref="B38:M38"/>
    <mergeCell ref="B27:C27"/>
    <mergeCell ref="B26:M26"/>
    <mergeCell ref="B34:M34"/>
    <mergeCell ref="B30:M30"/>
    <mergeCell ref="B28:M28"/>
    <mergeCell ref="B32:M32"/>
    <mergeCell ref="B33:C33"/>
    <mergeCell ref="B17:C17"/>
    <mergeCell ref="B15:C15"/>
    <mergeCell ref="B13:C13"/>
    <mergeCell ref="B11:C11"/>
    <mergeCell ref="B14:M14"/>
    <mergeCell ref="B12:M12"/>
    <mergeCell ref="B21:C21"/>
    <mergeCell ref="B23:C23"/>
    <mergeCell ref="B16:M16"/>
    <mergeCell ref="B20:M20"/>
    <mergeCell ref="B22:M22"/>
    <mergeCell ref="B19:C19"/>
    <mergeCell ref="B18:M18"/>
  </mergeCells>
  <conditionalFormatting sqref="J4:M4">
    <cfRule type="cellIs" dxfId="1" priority="1" operator="equal">
      <formula>"In Progress"</formula>
    </cfRule>
  </conditionalFormatting>
  <hyperlinks>
    <hyperlink display="N++&gt;Hardcore" location="Main Menu!A1" ref="B1"/>
    <hyperlink display="Intro" location="Hardcore&gt;Intro!A1" ref="B4"/>
    <hyperlink display="N++" location="Hardcore&gt;N++!A1" ref="D4"/>
    <hyperlink display="Legacy" location="Hardcore&gt;Legacy!A1" ref="H4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4959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7" t="s">
        <v>3</v>
      </c>
      <c r="E4" s="6"/>
      <c r="F4" s="8" t="s">
        <v>4</v>
      </c>
      <c r="G4" s="6"/>
      <c r="H4" s="31" t="s">
        <v>5</v>
      </c>
      <c r="I4" s="6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5054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5057</v>
      </c>
      <c r="D7" s="37" t="s">
        <v>3</v>
      </c>
      <c r="E7" s="38" t="s">
        <v>4390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5059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5063</v>
      </c>
      <c r="D9" s="37" t="s">
        <v>3</v>
      </c>
      <c r="E9" s="38" t="s">
        <v>4390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30"/>
      <c r="B10" s="14" t="s">
        <v>5065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/>
    </row>
    <row r="11">
      <c r="A11" s="30"/>
      <c r="B11" s="4" t="s">
        <v>5068</v>
      </c>
      <c r="D11" s="37" t="s">
        <v>3</v>
      </c>
      <c r="E11" s="38" t="s">
        <v>4390</v>
      </c>
      <c r="F11" s="30"/>
      <c r="G11" s="30"/>
      <c r="H11" s="30"/>
      <c r="I11" s="30"/>
      <c r="J11" s="30"/>
      <c r="K11" s="30"/>
      <c r="L11" s="30"/>
      <c r="M11" s="30"/>
      <c r="N11" s="30"/>
    </row>
    <row r="12">
      <c r="A12" s="30"/>
      <c r="B12" s="14" t="s">
        <v>5070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</row>
    <row r="13">
      <c r="A13" s="30"/>
      <c r="B13" s="4" t="s">
        <v>5071</v>
      </c>
      <c r="D13" s="37" t="s">
        <v>3</v>
      </c>
      <c r="E13" s="38" t="s">
        <v>4390</v>
      </c>
      <c r="F13" s="30"/>
      <c r="G13" s="30"/>
      <c r="H13" s="30"/>
      <c r="I13" s="30"/>
      <c r="J13" s="30"/>
      <c r="K13" s="30"/>
      <c r="L13" s="30"/>
      <c r="M13" s="30"/>
      <c r="N13" s="30"/>
    </row>
    <row r="14">
      <c r="A14" s="30"/>
      <c r="B14" s="14" t="s">
        <v>5072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</row>
    <row r="15">
      <c r="A15" s="30"/>
      <c r="B15" s="4" t="s">
        <v>5074</v>
      </c>
      <c r="D15" s="37" t="s">
        <v>3</v>
      </c>
      <c r="E15" s="38" t="s">
        <v>4390</v>
      </c>
      <c r="F15" s="30"/>
      <c r="G15" s="30"/>
      <c r="H15" s="30"/>
      <c r="I15" s="30"/>
      <c r="J15" s="30"/>
      <c r="K15" s="30"/>
      <c r="L15" s="30"/>
      <c r="M15" s="30"/>
      <c r="N15" s="30"/>
    </row>
    <row r="16">
      <c r="A16" s="1"/>
      <c r="B16" s="14" t="s">
        <v>5075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5078</v>
      </c>
      <c r="D17" s="37" t="s">
        <v>3</v>
      </c>
      <c r="E17" s="38" t="s">
        <v>4390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5080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5081</v>
      </c>
      <c r="D19" s="37" t="s">
        <v>3</v>
      </c>
      <c r="E19" s="38" t="s">
        <v>4390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30"/>
      <c r="B20" s="14" t="s">
        <v>5082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/>
    </row>
    <row r="21">
      <c r="A21" s="30"/>
      <c r="B21" s="4" t="s">
        <v>5083</v>
      </c>
      <c r="D21" s="37" t="s">
        <v>3</v>
      </c>
      <c r="E21" s="38" t="s">
        <v>4390</v>
      </c>
      <c r="F21" s="30"/>
      <c r="G21" s="30"/>
      <c r="H21" s="30"/>
      <c r="I21" s="30"/>
      <c r="J21" s="30"/>
      <c r="K21" s="30"/>
      <c r="L21" s="30"/>
      <c r="M21" s="30"/>
      <c r="N21" s="30"/>
    </row>
    <row r="22">
      <c r="A22" s="30"/>
      <c r="B22" s="14" t="s">
        <v>5084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/>
    </row>
    <row r="23">
      <c r="A23" s="30"/>
      <c r="B23" s="4" t="s">
        <v>5085</v>
      </c>
      <c r="D23" s="37" t="s">
        <v>3</v>
      </c>
      <c r="E23" s="38" t="s">
        <v>4390</v>
      </c>
      <c r="F23" s="30"/>
      <c r="G23" s="30"/>
      <c r="H23" s="30"/>
      <c r="I23" s="30"/>
      <c r="J23" s="30"/>
      <c r="K23" s="30"/>
      <c r="L23" s="30"/>
      <c r="M23" s="30"/>
      <c r="N23" s="30"/>
    </row>
    <row r="24">
      <c r="A24" s="30"/>
      <c r="B24" s="14" t="s">
        <v>5086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32"/>
    </row>
    <row r="25">
      <c r="A25" s="30"/>
      <c r="B25" s="4" t="s">
        <v>5087</v>
      </c>
      <c r="D25" s="37" t="s">
        <v>3</v>
      </c>
      <c r="E25" s="38" t="s">
        <v>4390</v>
      </c>
      <c r="F25" s="30"/>
      <c r="G25" s="30"/>
      <c r="H25" s="30"/>
      <c r="I25" s="30"/>
      <c r="J25" s="30"/>
      <c r="K25" s="30"/>
      <c r="L25" s="30"/>
      <c r="M25" s="30"/>
      <c r="N25" s="30"/>
    </row>
    <row r="26">
      <c r="A26" s="1"/>
      <c r="B26" s="14" t="s">
        <v>5088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5089</v>
      </c>
      <c r="D27" s="37" t="s">
        <v>3</v>
      </c>
      <c r="E27" s="38" t="s">
        <v>4390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5090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5091</v>
      </c>
      <c r="D29" s="37" t="s">
        <v>3</v>
      </c>
      <c r="E29" s="38" t="s">
        <v>4390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30"/>
      <c r="B30" s="14" t="s">
        <v>5092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32"/>
    </row>
    <row r="31">
      <c r="A31" s="30"/>
      <c r="B31" s="4" t="s">
        <v>5093</v>
      </c>
      <c r="D31" s="37" t="s">
        <v>3</v>
      </c>
      <c r="E31" s="38" t="s">
        <v>4390</v>
      </c>
      <c r="F31" s="30"/>
      <c r="G31" s="30"/>
      <c r="H31" s="30"/>
      <c r="I31" s="30"/>
      <c r="J31" s="30"/>
      <c r="K31" s="30"/>
      <c r="L31" s="30"/>
      <c r="M31" s="30"/>
      <c r="N31" s="30"/>
    </row>
    <row r="32">
      <c r="A32" s="30"/>
      <c r="B32" s="14" t="s">
        <v>5094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/>
    </row>
    <row r="33">
      <c r="A33" s="30"/>
      <c r="B33" s="4" t="s">
        <v>5095</v>
      </c>
      <c r="D33" s="37" t="s">
        <v>3</v>
      </c>
      <c r="E33" s="38" t="s">
        <v>4390</v>
      </c>
      <c r="F33" s="30"/>
      <c r="G33" s="30"/>
      <c r="H33" s="30"/>
      <c r="I33" s="30"/>
      <c r="J33" s="30"/>
      <c r="K33" s="30"/>
      <c r="L33" s="30"/>
      <c r="M33" s="30"/>
      <c r="N33" s="30"/>
    </row>
    <row r="34">
      <c r="A34" s="30"/>
      <c r="B34" s="14" t="s">
        <v>5096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/>
    </row>
    <row r="35">
      <c r="A35" s="30"/>
      <c r="B35" s="4" t="s">
        <v>5097</v>
      </c>
      <c r="D35" s="37" t="s">
        <v>3</v>
      </c>
      <c r="E35" s="38" t="s">
        <v>4390</v>
      </c>
      <c r="F35" s="30"/>
      <c r="G35" s="30"/>
      <c r="H35" s="30"/>
      <c r="I35" s="30"/>
      <c r="J35" s="30"/>
      <c r="K35" s="30"/>
      <c r="L35" s="30"/>
      <c r="M35" s="30"/>
      <c r="N35" s="30"/>
    </row>
    <row r="36">
      <c r="A36" s="1"/>
      <c r="B36" s="14" t="s">
        <v>5098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5099</v>
      </c>
      <c r="D37" s="37" t="s">
        <v>3</v>
      </c>
      <c r="E37" s="38" t="s">
        <v>4390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5101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5102</v>
      </c>
      <c r="D39" s="37" t="s">
        <v>3</v>
      </c>
      <c r="E39" s="38" t="s">
        <v>4390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30"/>
      <c r="B40" s="14" t="s">
        <v>5103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32"/>
    </row>
    <row r="41">
      <c r="A41" s="30"/>
      <c r="B41" s="4" t="s">
        <v>5104</v>
      </c>
      <c r="D41" s="37" t="s">
        <v>3</v>
      </c>
      <c r="E41" s="38" t="s">
        <v>4390</v>
      </c>
      <c r="F41" s="30"/>
      <c r="G41" s="30"/>
      <c r="H41" s="30"/>
      <c r="I41" s="30"/>
      <c r="J41" s="30"/>
      <c r="K41" s="30"/>
      <c r="L41" s="30"/>
      <c r="M41" s="30"/>
      <c r="N41" s="30"/>
    </row>
    <row r="42">
      <c r="A42" s="30"/>
      <c r="B42" s="14" t="s">
        <v>5105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32"/>
    </row>
    <row r="43">
      <c r="A43" s="30"/>
      <c r="B43" s="4" t="s">
        <v>5106</v>
      </c>
      <c r="D43" s="25" t="s">
        <v>3</v>
      </c>
      <c r="E43" s="17" t="s">
        <v>4390</v>
      </c>
      <c r="F43" s="30"/>
      <c r="G43" s="30"/>
      <c r="H43" s="30"/>
      <c r="I43" s="30"/>
      <c r="J43" s="30"/>
      <c r="K43" s="30"/>
      <c r="L43" s="30"/>
      <c r="M43" s="30"/>
      <c r="N43" s="30"/>
    </row>
    <row r="44">
      <c r="A44" s="30"/>
      <c r="B44" s="14" t="s">
        <v>5107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2"/>
    </row>
    <row r="45">
      <c r="A45" s="30"/>
      <c r="B45" s="4" t="s">
        <v>5108</v>
      </c>
      <c r="D45" s="25" t="s">
        <v>3</v>
      </c>
      <c r="E45" s="17" t="s">
        <v>4390</v>
      </c>
      <c r="F45" s="18" t="str">
        <f>HYPERLINK("https://www.youtube.com/watch?v=QV1ehUbOsiQ&amp;index=335&amp;list=PLbU6uWaIKemqNvTeRxK-Ay6PRg9iwCKVi&amp;t=0s",'Players&gt;List'!$B19)</f>
        <v>[HIT]</v>
      </c>
      <c r="G45" s="30"/>
      <c r="H45" s="30"/>
      <c r="I45" s="30"/>
      <c r="J45" s="30"/>
      <c r="K45" s="30"/>
      <c r="L45" s="30"/>
      <c r="M45" s="30"/>
      <c r="N45" s="30"/>
    </row>
    <row r="46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</sheetData>
  <mergeCells count="45">
    <mergeCell ref="B27:C27"/>
    <mergeCell ref="B25:C25"/>
    <mergeCell ref="B28:M28"/>
    <mergeCell ref="B26:M26"/>
    <mergeCell ref="B17:C17"/>
    <mergeCell ref="B19:C19"/>
    <mergeCell ref="B18:M18"/>
    <mergeCell ref="B22:M22"/>
    <mergeCell ref="B20:M20"/>
    <mergeCell ref="B24:M24"/>
    <mergeCell ref="B16:M16"/>
    <mergeCell ref="B43:C43"/>
    <mergeCell ref="B45:C45"/>
    <mergeCell ref="B37:C37"/>
    <mergeCell ref="B39:C39"/>
    <mergeCell ref="B36:M36"/>
    <mergeCell ref="B38:M38"/>
    <mergeCell ref="B32:M32"/>
    <mergeCell ref="B30:M30"/>
    <mergeCell ref="B33:C33"/>
    <mergeCell ref="B35:C35"/>
    <mergeCell ref="B34:M34"/>
    <mergeCell ref="B42:M42"/>
    <mergeCell ref="B44:M44"/>
    <mergeCell ref="B41:C41"/>
    <mergeCell ref="B40:M40"/>
    <mergeCell ref="B8:M8"/>
    <mergeCell ref="B1:M3"/>
    <mergeCell ref="F4:G4"/>
    <mergeCell ref="B4:C4"/>
    <mergeCell ref="D4:E4"/>
    <mergeCell ref="H4:I4"/>
    <mergeCell ref="B6:M6"/>
    <mergeCell ref="B13:C13"/>
    <mergeCell ref="B15:C15"/>
    <mergeCell ref="B14:M14"/>
    <mergeCell ref="B12:M12"/>
    <mergeCell ref="B10:M10"/>
    <mergeCell ref="B23:C23"/>
    <mergeCell ref="B11:C11"/>
    <mergeCell ref="B29:C29"/>
    <mergeCell ref="B31:C31"/>
    <mergeCell ref="B9:C9"/>
    <mergeCell ref="B7:C7"/>
    <mergeCell ref="B21:C21"/>
  </mergeCells>
  <conditionalFormatting sqref="J4:M4">
    <cfRule type="cellIs" dxfId="1" priority="1" operator="equal">
      <formula>"In Progress"</formula>
    </cfRule>
  </conditionalFormatting>
  <hyperlinks>
    <hyperlink display="N++&gt;Hardcore" location="Main Menu!A1" ref="B1"/>
    <hyperlink display="Intro" location="Hardcore&gt;Intro!A1" ref="B4"/>
    <hyperlink display="N++" location="Hardcore&gt;N++!A1" ref="D4"/>
    <hyperlink display="Ultimate" location="Hardcore&gt;Ultimate!A1" ref="F4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5100</v>
      </c>
      <c r="N1" s="4"/>
    </row>
    <row r="2">
      <c r="A2" s="1"/>
      <c r="N2" s="4"/>
    </row>
    <row r="3">
      <c r="A3" s="1"/>
      <c r="N3" s="4"/>
    </row>
    <row r="4">
      <c r="A4" s="1"/>
      <c r="B4" s="39" t="s">
        <v>2</v>
      </c>
      <c r="C4" s="6"/>
      <c r="D4" s="40" t="s">
        <v>3</v>
      </c>
      <c r="E4" s="6"/>
      <c r="F4" s="40" t="s">
        <v>5</v>
      </c>
      <c r="G4" s="6"/>
      <c r="H4" s="41"/>
      <c r="I4" s="41"/>
      <c r="J4" s="41"/>
      <c r="K4" s="41"/>
      <c r="L4" s="41"/>
      <c r="M4" s="41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5109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5110</v>
      </c>
      <c r="D7" s="9"/>
      <c r="E7" s="17" t="s">
        <v>14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5111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5112</v>
      </c>
      <c r="D9" s="9"/>
      <c r="E9" s="17" t="s">
        <v>14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4" t="s">
        <v>5113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"/>
    </row>
    <row r="11">
      <c r="A11" s="1"/>
      <c r="B11" s="4" t="s">
        <v>5114</v>
      </c>
      <c r="D11" s="9"/>
      <c r="E11" s="17" t="s">
        <v>14</v>
      </c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4" t="s">
        <v>5115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5116</v>
      </c>
      <c r="D13" s="9"/>
      <c r="E13" s="17" t="s">
        <v>14</v>
      </c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4" t="s">
        <v>5117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4"/>
    </row>
    <row r="15">
      <c r="A15" s="1"/>
      <c r="B15" s="4" t="s">
        <v>5118</v>
      </c>
      <c r="D15" s="9"/>
      <c r="E15" s="17" t="s">
        <v>14</v>
      </c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4" t="s">
        <v>5119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5120</v>
      </c>
      <c r="D17" s="9"/>
      <c r="E17" s="17" t="s">
        <v>14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5121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5122</v>
      </c>
      <c r="D19" s="9"/>
      <c r="E19" s="17" t="s">
        <v>14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4" t="s">
        <v>5123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"/>
    </row>
    <row r="21">
      <c r="A21" s="1"/>
      <c r="B21" s="4" t="s">
        <v>5124</v>
      </c>
      <c r="D21" s="9"/>
      <c r="E21" s="17" t="s">
        <v>14</v>
      </c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4" t="s">
        <v>5125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4"/>
    </row>
    <row r="23">
      <c r="A23" s="1"/>
      <c r="B23" s="4" t="s">
        <v>5126</v>
      </c>
      <c r="D23" s="9"/>
      <c r="E23" s="17" t="s">
        <v>14</v>
      </c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4" t="s">
        <v>5127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4"/>
    </row>
    <row r="25">
      <c r="A25" s="1"/>
      <c r="B25" s="4" t="s">
        <v>5128</v>
      </c>
      <c r="D25" s="9"/>
      <c r="E25" s="17" t="s">
        <v>14</v>
      </c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4" t="s">
        <v>5129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5130</v>
      </c>
      <c r="D27" s="9"/>
      <c r="E27" s="17" t="s">
        <v>14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5131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5132</v>
      </c>
      <c r="D29" s="9"/>
      <c r="E29" s="17" t="s">
        <v>14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4" t="s">
        <v>5133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4"/>
    </row>
    <row r="31">
      <c r="A31" s="1"/>
      <c r="B31" s="4" t="s">
        <v>5134</v>
      </c>
      <c r="D31" s="9"/>
      <c r="E31" s="17" t="s">
        <v>14</v>
      </c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4" t="s">
        <v>5135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4"/>
    </row>
    <row r="33">
      <c r="A33" s="1"/>
      <c r="B33" s="4" t="s">
        <v>5136</v>
      </c>
      <c r="D33" s="9"/>
      <c r="E33" s="17" t="s">
        <v>14</v>
      </c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4" t="s">
        <v>5137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4"/>
    </row>
    <row r="35">
      <c r="A35" s="1"/>
      <c r="B35" s="4" t="s">
        <v>5138</v>
      </c>
      <c r="D35" s="9"/>
      <c r="E35" s="17" t="s">
        <v>14</v>
      </c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4" t="s">
        <v>5139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5140</v>
      </c>
      <c r="D37" s="9"/>
      <c r="E37" s="17" t="s">
        <v>14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5141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5142</v>
      </c>
      <c r="D39" s="9"/>
      <c r="E39" s="17" t="s">
        <v>14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4" t="s">
        <v>5143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4"/>
    </row>
    <row r="41">
      <c r="A41" s="1"/>
      <c r="B41" s="4" t="s">
        <v>5144</v>
      </c>
      <c r="D41" s="9"/>
      <c r="E41" s="17" t="s">
        <v>14</v>
      </c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4" t="s">
        <v>5145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4"/>
    </row>
    <row r="43">
      <c r="A43" s="1"/>
      <c r="B43" s="4" t="s">
        <v>5146</v>
      </c>
      <c r="D43" s="9"/>
      <c r="E43" s="17" t="s">
        <v>14</v>
      </c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4" t="s">
        <v>5147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4"/>
    </row>
    <row r="45">
      <c r="A45" s="1"/>
      <c r="B45" s="4" t="s">
        <v>5148</v>
      </c>
      <c r="D45" s="9"/>
      <c r="E45" s="17" t="s">
        <v>14</v>
      </c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4" t="s">
        <v>3896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5149</v>
      </c>
      <c r="D47" s="9"/>
      <c r="E47" s="17" t="s">
        <v>14</v>
      </c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4" t="s">
        <v>5150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4"/>
    </row>
    <row r="49">
      <c r="A49" s="1"/>
      <c r="B49" s="4" t="s">
        <v>5151</v>
      </c>
      <c r="D49" s="9"/>
      <c r="E49" s="17" t="s">
        <v>14</v>
      </c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4" t="s">
        <v>5152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4"/>
    </row>
    <row r="51">
      <c r="A51" s="1"/>
      <c r="B51" s="4" t="s">
        <v>5153</v>
      </c>
      <c r="D51" s="9"/>
      <c r="E51" s="17" t="s">
        <v>14</v>
      </c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4" t="s">
        <v>5154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4"/>
    </row>
    <row r="53">
      <c r="A53" s="1"/>
      <c r="B53" s="4" t="s">
        <v>5155</v>
      </c>
      <c r="D53" s="9"/>
      <c r="E53" s="17" t="s">
        <v>14</v>
      </c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4" t="s">
        <v>5156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4"/>
    </row>
    <row r="55">
      <c r="A55" s="1"/>
      <c r="B55" s="4" t="s">
        <v>5157</v>
      </c>
      <c r="D55" s="9"/>
      <c r="E55" s="17" t="s">
        <v>14</v>
      </c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4" t="s">
        <v>5158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4"/>
    </row>
    <row r="57">
      <c r="A57" s="1"/>
      <c r="B57" s="4" t="s">
        <v>5159</v>
      </c>
      <c r="D57" s="9"/>
      <c r="E57" s="17" t="s">
        <v>14</v>
      </c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4" t="s">
        <v>5160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5161</v>
      </c>
      <c r="D59" s="9"/>
      <c r="E59" s="17" t="s">
        <v>14</v>
      </c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4" t="s">
        <v>5162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4"/>
    </row>
    <row r="61">
      <c r="A61" s="1"/>
      <c r="B61" s="4" t="s">
        <v>5163</v>
      </c>
      <c r="D61" s="9"/>
      <c r="E61" s="17" t="s">
        <v>14</v>
      </c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4" t="s">
        <v>5164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4"/>
    </row>
    <row r="63">
      <c r="A63" s="1"/>
      <c r="B63" s="4" t="s">
        <v>5165</v>
      </c>
      <c r="D63" s="9"/>
      <c r="E63" s="17" t="s">
        <v>14</v>
      </c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4" t="s">
        <v>5166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4"/>
    </row>
    <row r="65">
      <c r="A65" s="1"/>
      <c r="B65" s="4" t="s">
        <v>5167</v>
      </c>
      <c r="D65" s="9"/>
      <c r="E65" s="17" t="s">
        <v>14</v>
      </c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4" t="s">
        <v>5168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5169</v>
      </c>
      <c r="D67" s="9"/>
      <c r="E67" s="17" t="s">
        <v>14</v>
      </c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4" t="s">
        <v>5170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4"/>
    </row>
    <row r="69">
      <c r="A69" s="1"/>
      <c r="B69" s="4" t="s">
        <v>5171</v>
      </c>
      <c r="D69" s="9"/>
      <c r="E69" s="17" t="s">
        <v>14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4" t="s">
        <v>5172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4"/>
    </row>
    <row r="71">
      <c r="A71" s="1"/>
      <c r="B71" s="4" t="s">
        <v>5173</v>
      </c>
      <c r="D71" s="9"/>
      <c r="E71" s="17" t="s">
        <v>14</v>
      </c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4" t="s">
        <v>5174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4"/>
    </row>
    <row r="73">
      <c r="A73" s="1"/>
      <c r="B73" s="4" t="s">
        <v>5175</v>
      </c>
      <c r="D73" s="9"/>
      <c r="E73" s="17" t="s">
        <v>14</v>
      </c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4" t="s">
        <v>5176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4"/>
    </row>
    <row r="75">
      <c r="A75" s="1"/>
      <c r="B75" s="4" t="s">
        <v>5177</v>
      </c>
      <c r="D75" s="9"/>
      <c r="E75" s="17" t="s">
        <v>14</v>
      </c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4" t="s">
        <v>5178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5179</v>
      </c>
      <c r="D77" s="9"/>
      <c r="E77" s="17" t="s">
        <v>14</v>
      </c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4" t="s">
        <v>5181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5182</v>
      </c>
      <c r="D79" s="9"/>
      <c r="E79" s="17" t="s">
        <v>14</v>
      </c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4" t="s">
        <v>5184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4"/>
    </row>
    <row r="81">
      <c r="A81" s="1"/>
      <c r="B81" s="4" t="s">
        <v>5186</v>
      </c>
      <c r="D81" s="9"/>
      <c r="E81" s="17" t="s">
        <v>14</v>
      </c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4" t="s">
        <v>5188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4"/>
    </row>
    <row r="83">
      <c r="A83" s="1"/>
      <c r="B83" s="4" t="s">
        <v>5190</v>
      </c>
      <c r="D83" s="9"/>
      <c r="E83" s="17" t="s">
        <v>14</v>
      </c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4" t="s">
        <v>5191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4"/>
    </row>
    <row r="85">
      <c r="A85" s="1"/>
      <c r="B85" s="4" t="s">
        <v>5192</v>
      </c>
      <c r="D85" s="9"/>
      <c r="E85" s="17" t="s">
        <v>14</v>
      </c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4" t="s">
        <v>5193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5195</v>
      </c>
      <c r="D87" s="9"/>
      <c r="E87" s="17" t="s">
        <v>14</v>
      </c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4" t="s">
        <v>5197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5198</v>
      </c>
      <c r="D89" s="9"/>
      <c r="E89" s="17" t="s">
        <v>14</v>
      </c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4" t="s">
        <v>5200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4"/>
    </row>
    <row r="91">
      <c r="A91" s="1"/>
      <c r="B91" s="4" t="s">
        <v>5202</v>
      </c>
      <c r="D91" s="9"/>
      <c r="E91" s="17" t="s">
        <v>14</v>
      </c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4" t="s">
        <v>5203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4"/>
    </row>
    <row r="93">
      <c r="A93" s="1"/>
      <c r="B93" s="4" t="s">
        <v>5205</v>
      </c>
      <c r="D93" s="9"/>
      <c r="E93" s="17" t="s">
        <v>14</v>
      </c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4" t="s">
        <v>5207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4"/>
    </row>
    <row r="95">
      <c r="A95" s="1"/>
      <c r="B95" s="4" t="s">
        <v>5209</v>
      </c>
      <c r="D95" s="9"/>
      <c r="E95" s="17" t="s">
        <v>14</v>
      </c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4" t="s">
        <v>5210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5212</v>
      </c>
      <c r="D97" s="9"/>
      <c r="E97" s="17" t="s">
        <v>14</v>
      </c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4" t="s">
        <v>5213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4"/>
    </row>
    <row r="99">
      <c r="A99" s="1"/>
      <c r="B99" s="4" t="s">
        <v>5216</v>
      </c>
      <c r="D99" s="9"/>
      <c r="E99" s="17" t="s">
        <v>14</v>
      </c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4" t="s">
        <v>5218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4"/>
    </row>
    <row r="101">
      <c r="A101" s="1"/>
      <c r="B101" s="4" t="s">
        <v>5220</v>
      </c>
      <c r="D101" s="9"/>
      <c r="E101" s="17" t="s">
        <v>14</v>
      </c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4" t="s">
        <v>5222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4"/>
    </row>
    <row r="103">
      <c r="A103" s="1"/>
      <c r="B103" s="4" t="s">
        <v>5226</v>
      </c>
      <c r="D103" s="9"/>
      <c r="E103" s="17" t="s">
        <v>14</v>
      </c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4" t="s">
        <v>5227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"/>
    </row>
    <row r="105">
      <c r="A105" s="1"/>
      <c r="B105" s="4" t="s">
        <v>5230</v>
      </c>
      <c r="D105" s="9"/>
      <c r="E105" s="17" t="s">
        <v>14</v>
      </c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</sheetData>
  <mergeCells count="104">
    <mergeCell ref="B84:M84"/>
    <mergeCell ref="B82:M82"/>
    <mergeCell ref="B78:M78"/>
    <mergeCell ref="B80:M80"/>
    <mergeCell ref="B76:M76"/>
    <mergeCell ref="B74:M74"/>
    <mergeCell ref="B62:M62"/>
    <mergeCell ref="B64:M64"/>
    <mergeCell ref="B100:M100"/>
    <mergeCell ref="B98:M98"/>
    <mergeCell ref="B102:M102"/>
    <mergeCell ref="B104:M104"/>
    <mergeCell ref="B103:C103"/>
    <mergeCell ref="B90:M90"/>
    <mergeCell ref="B88:M88"/>
    <mergeCell ref="B96:M96"/>
    <mergeCell ref="B92:M92"/>
    <mergeCell ref="B94:M94"/>
    <mergeCell ref="B70:M70"/>
    <mergeCell ref="B72:M72"/>
    <mergeCell ref="B66:M66"/>
    <mergeCell ref="B68:M68"/>
    <mergeCell ref="B86:M86"/>
    <mergeCell ref="D4:E4"/>
    <mergeCell ref="B4:C4"/>
    <mergeCell ref="B19:C19"/>
    <mergeCell ref="B23:C23"/>
    <mergeCell ref="B15:C15"/>
    <mergeCell ref="B17:C17"/>
    <mergeCell ref="B27:C27"/>
    <mergeCell ref="B7:C7"/>
    <mergeCell ref="B13:C13"/>
    <mergeCell ref="B9:C9"/>
    <mergeCell ref="B11:C11"/>
    <mergeCell ref="F4:G4"/>
    <mergeCell ref="B25:C25"/>
    <mergeCell ref="B16:M16"/>
    <mergeCell ref="B21:C21"/>
    <mergeCell ref="B20:M20"/>
    <mergeCell ref="B18:M18"/>
    <mergeCell ref="B24:M24"/>
    <mergeCell ref="B22:M22"/>
    <mergeCell ref="B32:M32"/>
    <mergeCell ref="B30:M30"/>
    <mergeCell ref="B26:M26"/>
    <mergeCell ref="B28:M28"/>
    <mergeCell ref="B12:M12"/>
    <mergeCell ref="B10:M10"/>
    <mergeCell ref="B14:M14"/>
    <mergeCell ref="B37:C37"/>
    <mergeCell ref="B38:M38"/>
    <mergeCell ref="B42:M42"/>
    <mergeCell ref="B40:M40"/>
    <mergeCell ref="B49:C49"/>
    <mergeCell ref="B48:M48"/>
    <mergeCell ref="B47:C47"/>
    <mergeCell ref="B46:M46"/>
    <mergeCell ref="B35:C35"/>
    <mergeCell ref="B34:M34"/>
    <mergeCell ref="B6:M6"/>
    <mergeCell ref="B8:M8"/>
    <mergeCell ref="B1:M3"/>
    <mergeCell ref="B54:M54"/>
    <mergeCell ref="B58:M58"/>
    <mergeCell ref="B56:M56"/>
    <mergeCell ref="B60:M60"/>
    <mergeCell ref="B44:M44"/>
    <mergeCell ref="B43:C43"/>
    <mergeCell ref="B51:C51"/>
    <mergeCell ref="B36:M36"/>
    <mergeCell ref="B50:M50"/>
    <mergeCell ref="B45:C45"/>
    <mergeCell ref="B52:M52"/>
    <mergeCell ref="B83:C83"/>
    <mergeCell ref="B75:C75"/>
    <mergeCell ref="B29:C29"/>
    <mergeCell ref="B33:C33"/>
    <mergeCell ref="B31:C31"/>
    <mergeCell ref="B91:C91"/>
    <mergeCell ref="B85:C85"/>
    <mergeCell ref="B39:C39"/>
    <mergeCell ref="B41:C41"/>
    <mergeCell ref="B81:C81"/>
    <mergeCell ref="B77:C77"/>
    <mergeCell ref="B79:C79"/>
    <mergeCell ref="B73:C73"/>
    <mergeCell ref="B67:C67"/>
    <mergeCell ref="B69:C69"/>
    <mergeCell ref="B71:C71"/>
    <mergeCell ref="B93:C93"/>
    <mergeCell ref="B97:C97"/>
    <mergeCell ref="B101:C101"/>
    <mergeCell ref="B99:C99"/>
    <mergeCell ref="B105:C105"/>
    <mergeCell ref="B95:C95"/>
    <mergeCell ref="B87:C87"/>
    <mergeCell ref="B89:C89"/>
    <mergeCell ref="B65:C65"/>
    <mergeCell ref="B61:C61"/>
    <mergeCell ref="B63:C63"/>
    <mergeCell ref="B53:C53"/>
    <mergeCell ref="B55:C55"/>
    <mergeCell ref="B57:C57"/>
    <mergeCell ref="B59:C59"/>
  </mergeCells>
  <hyperlinks>
    <hyperlink display="N++&gt;Co-op&gt;Levels" location="Main Menu!A1" ref="B1"/>
    <hyperlink display="N++" location="Co-op&gt;Levels&gt;N++!A1" ref="D4"/>
    <hyperlink display="Legacy" location="Co-op&gt;Levels&gt;Legacy!A1" ref="F4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5100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31" t="s">
        <v>3</v>
      </c>
      <c r="E4" s="6"/>
      <c r="F4" s="7" t="s">
        <v>5</v>
      </c>
      <c r="G4" s="6"/>
      <c r="H4" s="9"/>
      <c r="I4" s="9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2781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5214</v>
      </c>
      <c r="D7" s="9"/>
      <c r="E7" s="17" t="s">
        <v>14</v>
      </c>
      <c r="F7" s="18" t="str">
        <f>HYPERLINK("https://www.youtube.com/watch?v=VBfcr54-U6M",'Players&gt;List'!$B11 &amp; "++" &amp; 'Players&gt;List'!$B29)</f>
        <v>[CHB]++[SYS]</v>
      </c>
      <c r="H7" s="1"/>
      <c r="I7" s="1"/>
      <c r="J7" s="1"/>
      <c r="K7" s="1"/>
      <c r="L7" s="1"/>
      <c r="M7" s="1"/>
      <c r="N7" s="1"/>
    </row>
    <row r="8">
      <c r="A8" s="1"/>
      <c r="B8" s="14" t="s">
        <v>5224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5228</v>
      </c>
      <c r="D9" s="9"/>
      <c r="E9" s="17" t="s">
        <v>14</v>
      </c>
      <c r="F9" s="18" t="str">
        <f>HYPERLINK("https://youtu.be/VBfcr54-U6M?t=12",'Players&gt;List'!$B11 &amp; "++" &amp; 'Players&gt;List'!$B29)</f>
        <v>[CHB]++[SYS]</v>
      </c>
      <c r="H9" s="1"/>
      <c r="I9" s="1"/>
      <c r="J9" s="1"/>
      <c r="K9" s="1"/>
      <c r="L9" s="1"/>
      <c r="M9" s="1"/>
      <c r="N9" s="1"/>
    </row>
    <row r="10">
      <c r="A10" s="1"/>
      <c r="B10" s="14" t="s">
        <v>5233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"/>
    </row>
    <row r="11">
      <c r="A11" s="1"/>
      <c r="B11" s="4" t="s">
        <v>5235</v>
      </c>
      <c r="D11" s="9"/>
      <c r="E11" s="17" t="s">
        <v>14</v>
      </c>
      <c r="F11" s="18" t="str">
        <f>HYPERLINK("https://youtu.be/VBfcr54-U6M?t=43",'Players&gt;List'!$B11 &amp; "++" &amp; 'Players&gt;List'!$B29)</f>
        <v>[CHB]++[SYS]</v>
      </c>
      <c r="H11" s="1"/>
      <c r="I11" s="1"/>
      <c r="J11" s="1"/>
      <c r="K11" s="1"/>
      <c r="L11" s="1"/>
      <c r="M11" s="1"/>
      <c r="N11" s="1"/>
    </row>
    <row r="12">
      <c r="A12" s="1"/>
      <c r="B12" s="14" t="s">
        <v>5240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5243</v>
      </c>
      <c r="D13" s="9"/>
      <c r="E13" s="17" t="s">
        <v>14</v>
      </c>
      <c r="F13" s="18" t="str">
        <f>HYPERLINK("https://youtu.be/VBfcr54-U6M?t=60",'Players&gt;List'!$B11 &amp; "++" &amp; 'Players&gt;List'!$B29)</f>
        <v>[CHB]++[SYS]</v>
      </c>
      <c r="H13" s="1"/>
      <c r="I13" s="1"/>
      <c r="J13" s="1"/>
      <c r="K13" s="1"/>
      <c r="L13" s="1"/>
      <c r="M13" s="1"/>
      <c r="N13" s="1"/>
    </row>
    <row r="14">
      <c r="A14" s="1"/>
      <c r="B14" s="14" t="s">
        <v>5246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4"/>
    </row>
    <row r="15">
      <c r="A15" s="1"/>
      <c r="B15" s="4" t="s">
        <v>5249</v>
      </c>
      <c r="D15" s="9"/>
      <c r="E15" s="17" t="s">
        <v>14</v>
      </c>
      <c r="F15" s="18" t="str">
        <f>HYPERLINK("https://youtu.be/VBfcr54-U6M?t=88",'Players&gt;List'!$B11 &amp; "++" &amp; 'Players&gt;List'!$B29)</f>
        <v>[CHB]++[SYS]</v>
      </c>
      <c r="H15" s="1"/>
      <c r="I15" s="1"/>
      <c r="J15" s="1"/>
      <c r="K15" s="1"/>
      <c r="L15" s="1"/>
      <c r="M15" s="1"/>
      <c r="N15" s="1"/>
    </row>
    <row r="16">
      <c r="A16" s="1"/>
      <c r="B16" s="14" t="s">
        <v>5253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5255</v>
      </c>
      <c r="D17" s="9"/>
      <c r="E17" s="17" t="s">
        <v>14</v>
      </c>
      <c r="F17" s="18" t="str">
        <f>HYPERLINK("https://www.youtube.com/watch?v=Nf-LB3EQO8k",'Players&gt;List'!$B11 &amp; "++" &amp; 'Players&gt;List'!$B29)</f>
        <v>[CHB]++[SYS]</v>
      </c>
      <c r="H17" s="1"/>
      <c r="I17" s="1"/>
      <c r="J17" s="1"/>
      <c r="K17" s="1"/>
      <c r="L17" s="1"/>
      <c r="M17" s="1"/>
      <c r="N17" s="1"/>
    </row>
    <row r="18">
      <c r="A18" s="1"/>
      <c r="B18" s="14" t="s">
        <v>5258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5261</v>
      </c>
      <c r="D19" s="9"/>
      <c r="E19" s="17" t="s">
        <v>14</v>
      </c>
      <c r="F19" s="18" t="str">
        <f>HYPERLINK("https://youtu.be/Nf-LB3EQO8k?t=13",'Players&gt;List'!$B11 &amp; "++" &amp; 'Players&gt;List'!$B29)</f>
        <v>[CHB]++[SYS]</v>
      </c>
      <c r="H19" s="1"/>
      <c r="I19" s="1"/>
      <c r="J19" s="1"/>
      <c r="K19" s="1"/>
      <c r="L19" s="1"/>
      <c r="M19" s="1"/>
      <c r="N19" s="1"/>
    </row>
    <row r="20">
      <c r="A20" s="1"/>
      <c r="B20" s="14" t="s">
        <v>5266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"/>
    </row>
    <row r="21">
      <c r="A21" s="1"/>
      <c r="B21" s="4" t="s">
        <v>5269</v>
      </c>
      <c r="D21" s="9"/>
      <c r="E21" s="17" t="s">
        <v>14</v>
      </c>
      <c r="F21" s="18" t="str">
        <f>HYPERLINK("https://youtu.be/Nf-LB3EQO8k?t=43",'Players&gt;List'!$B11 &amp; "++" &amp; 'Players&gt;List'!$B29)</f>
        <v>[CHB]++[SYS]</v>
      </c>
      <c r="H21" s="1"/>
      <c r="I21" s="1"/>
      <c r="J21" s="1"/>
      <c r="K21" s="1"/>
      <c r="L21" s="1"/>
      <c r="M21" s="1"/>
      <c r="N21" s="1"/>
    </row>
    <row r="22">
      <c r="A22" s="1"/>
      <c r="B22" s="14" t="s">
        <v>5274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4"/>
    </row>
    <row r="23">
      <c r="A23" s="1"/>
      <c r="B23" s="4" t="s">
        <v>5279</v>
      </c>
      <c r="D23" s="9"/>
      <c r="E23" s="17" t="s">
        <v>14</v>
      </c>
      <c r="F23" s="18" t="str">
        <f>HYPERLINK("https://youtu.be/Nf-LB3EQO8k?t=69",'Players&gt;List'!$B11 &amp; "++" &amp; 'Players&gt;List'!$B29)</f>
        <v>[CHB]++[SYS]</v>
      </c>
      <c r="H23" s="1"/>
      <c r="I23" s="1"/>
      <c r="J23" s="1"/>
      <c r="K23" s="1"/>
      <c r="L23" s="1"/>
      <c r="M23" s="1"/>
      <c r="N23" s="1"/>
    </row>
    <row r="24">
      <c r="A24" s="1"/>
      <c r="B24" s="14" t="s">
        <v>5282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4"/>
    </row>
    <row r="25">
      <c r="A25" s="1"/>
      <c r="B25" s="4" t="s">
        <v>5285</v>
      </c>
      <c r="D25" s="9"/>
      <c r="E25" s="17" t="s">
        <v>14</v>
      </c>
      <c r="F25" s="18" t="str">
        <f>HYPERLINK("https://youtu.be/Nf-LB3EQO8k?t=88",'Players&gt;List'!$B11 &amp; "++" &amp; 'Players&gt;List'!$B29)</f>
        <v>[CHB]++[SYS]</v>
      </c>
      <c r="H25" s="1"/>
      <c r="I25" s="1"/>
      <c r="J25" s="1"/>
      <c r="K25" s="1"/>
      <c r="L25" s="1"/>
      <c r="M25" s="1"/>
      <c r="N25" s="1"/>
    </row>
    <row r="26">
      <c r="A26" s="1"/>
      <c r="B26" s="14" t="s">
        <v>5291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5293</v>
      </c>
      <c r="D27" s="9"/>
      <c r="E27" s="17" t="s">
        <v>14</v>
      </c>
      <c r="F27" s="18" t="str">
        <f>HYPERLINK("https://www.youtube.com/watch?v=_L0aCEWS8Ss",'Players&gt;List'!$B11 &amp; "++" &amp; 'Players&gt;List'!$B29)</f>
        <v>[CHB]++[SYS]</v>
      </c>
      <c r="H27" s="1"/>
      <c r="I27" s="1"/>
      <c r="J27" s="1"/>
      <c r="K27" s="1"/>
      <c r="L27" s="1"/>
      <c r="M27" s="1"/>
      <c r="N27" s="1"/>
    </row>
    <row r="28">
      <c r="A28" s="1"/>
      <c r="B28" s="14" t="s">
        <v>5299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5301</v>
      </c>
      <c r="D29" s="9"/>
      <c r="E29" s="17" t="s">
        <v>14</v>
      </c>
      <c r="F29" s="18" t="str">
        <f>HYPERLINK("https://youtu.be/_L0aCEWS8Ss?t=11",'Players&gt;List'!$B11 &amp; "++" &amp; 'Players&gt;List'!$B29)</f>
        <v>[CHB]++[SYS]</v>
      </c>
      <c r="H29" s="1"/>
      <c r="I29" s="1"/>
      <c r="J29" s="1"/>
      <c r="K29" s="1"/>
      <c r="L29" s="1"/>
      <c r="M29" s="1"/>
      <c r="N29" s="1"/>
    </row>
    <row r="30">
      <c r="A30" s="1"/>
      <c r="B30" s="14" t="s">
        <v>5305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4"/>
    </row>
    <row r="31">
      <c r="A31" s="1"/>
      <c r="B31" s="4" t="s">
        <v>5308</v>
      </c>
      <c r="D31" s="9"/>
      <c r="E31" s="17" t="s">
        <v>14</v>
      </c>
      <c r="F31" s="18" t="str">
        <f>HYPERLINK("https://youtu.be/_L0aCEWS8Ss?t=46",'Players&gt;List'!$B11 &amp; "++" &amp; 'Players&gt;List'!$B29)</f>
        <v>[CHB]++[SYS]</v>
      </c>
      <c r="H31" s="1"/>
      <c r="I31" s="1"/>
      <c r="J31" s="1"/>
      <c r="K31" s="1"/>
      <c r="L31" s="1"/>
      <c r="M31" s="1"/>
      <c r="N31" s="1"/>
    </row>
    <row r="32">
      <c r="A32" s="1"/>
      <c r="B32" s="14" t="s">
        <v>5313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4"/>
    </row>
    <row r="33">
      <c r="A33" s="1"/>
      <c r="B33" s="4" t="s">
        <v>5316</v>
      </c>
      <c r="D33" s="9"/>
      <c r="E33" s="17" t="s">
        <v>14</v>
      </c>
      <c r="F33" s="18" t="str">
        <f>HYPERLINK("https://youtu.be/_L0aCEWS8Ss?t=71",'Players&gt;List'!$B11 &amp; "++" &amp; 'Players&gt;List'!$B29)</f>
        <v>[CHB]++[SYS]</v>
      </c>
      <c r="H33" s="1"/>
      <c r="I33" s="1"/>
      <c r="J33" s="1"/>
      <c r="K33" s="1"/>
      <c r="L33" s="1"/>
      <c r="M33" s="1"/>
      <c r="N33" s="1"/>
    </row>
    <row r="34">
      <c r="A34" s="1"/>
      <c r="B34" s="14" t="s">
        <v>5321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4"/>
    </row>
    <row r="35">
      <c r="A35" s="1"/>
      <c r="B35" s="4" t="s">
        <v>5327</v>
      </c>
      <c r="D35" s="9"/>
      <c r="E35" s="17" t="s">
        <v>14</v>
      </c>
      <c r="F35" s="18" t="str">
        <f>HYPERLINK("https://youtu.be/_L0aCEWS8Ss?t=99",'Players&gt;List'!$B11 &amp; "++" &amp; 'Players&gt;List'!$B29)</f>
        <v>[CHB]++[SYS]</v>
      </c>
      <c r="H35" s="1"/>
      <c r="I35" s="1"/>
      <c r="J35" s="1"/>
      <c r="K35" s="1"/>
      <c r="L35" s="1"/>
      <c r="M35" s="1"/>
      <c r="N35" s="1"/>
    </row>
    <row r="36">
      <c r="A36" s="1"/>
      <c r="B36" s="14" t="s">
        <v>5331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5336</v>
      </c>
      <c r="D37" s="9"/>
      <c r="E37" s="17" t="s">
        <v>14</v>
      </c>
      <c r="F37" s="18" t="str">
        <f>HYPERLINK("https://www.youtube.com/watch?v=knMxtDbO9tY",'Players&gt;List'!$B11 &amp; "++" &amp; 'Players&gt;List'!$B29)</f>
        <v>[CHB]++[SYS]</v>
      </c>
      <c r="H37" s="1"/>
      <c r="I37" s="1"/>
      <c r="J37" s="1"/>
      <c r="K37" s="1"/>
      <c r="L37" s="1"/>
      <c r="M37" s="1"/>
      <c r="N37" s="1"/>
    </row>
    <row r="38">
      <c r="A38" s="1"/>
      <c r="B38" s="14" t="s">
        <v>5342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5344</v>
      </c>
      <c r="D39" s="9"/>
      <c r="E39" s="17" t="s">
        <v>14</v>
      </c>
      <c r="F39" s="18" t="str">
        <f>HYPERLINK("https://youtu.be/knMxtDbO9tY?t=22",'Players&gt;List'!$B11 &amp; "++" &amp; 'Players&gt;List'!$B29)</f>
        <v>[CHB]++[SYS]</v>
      </c>
      <c r="H39" s="1"/>
      <c r="I39" s="1"/>
      <c r="J39" s="1"/>
      <c r="K39" s="1"/>
      <c r="L39" s="1"/>
      <c r="M39" s="1"/>
      <c r="N39" s="1"/>
    </row>
    <row r="40">
      <c r="A40" s="1"/>
      <c r="B40" s="14" t="s">
        <v>5347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4"/>
    </row>
    <row r="41">
      <c r="A41" s="1"/>
      <c r="B41" s="4" t="s">
        <v>5351</v>
      </c>
      <c r="D41" s="9"/>
      <c r="E41" s="17" t="s">
        <v>14</v>
      </c>
      <c r="F41" s="18" t="str">
        <f>HYPERLINK("https://youtu.be/knMxtDbO9tY?t=57",'Players&gt;List'!$B11 &amp; "++" &amp; 'Players&gt;List'!$B29)</f>
        <v>[CHB]++[SYS]</v>
      </c>
      <c r="H41" s="1"/>
      <c r="I41" s="1"/>
      <c r="J41" s="1"/>
      <c r="K41" s="1"/>
      <c r="L41" s="1"/>
      <c r="M41" s="1"/>
      <c r="N41" s="1"/>
    </row>
    <row r="42">
      <c r="A42" s="1"/>
      <c r="B42" s="14" t="s">
        <v>5354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4"/>
    </row>
    <row r="43">
      <c r="A43" s="1"/>
      <c r="B43" s="4" t="s">
        <v>5356</v>
      </c>
      <c r="D43" s="9"/>
      <c r="E43" s="17" t="s">
        <v>14</v>
      </c>
      <c r="F43" s="18" t="str">
        <f>HYPERLINK("https://youtu.be/knMxtDbO9tY?t=68",'Players&gt;List'!$B11 &amp; "++" &amp; 'Players&gt;List'!$B29)</f>
        <v>[CHB]++[SYS]</v>
      </c>
      <c r="H43" s="1"/>
      <c r="I43" s="1"/>
      <c r="J43" s="1"/>
      <c r="K43" s="1"/>
      <c r="L43" s="1"/>
      <c r="M43" s="1"/>
      <c r="N43" s="1"/>
    </row>
    <row r="44">
      <c r="A44" s="1"/>
      <c r="B44" s="14" t="s">
        <v>5361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4"/>
    </row>
    <row r="45">
      <c r="A45" s="1"/>
      <c r="B45" s="4" t="s">
        <v>5363</v>
      </c>
      <c r="D45" s="9"/>
      <c r="E45" s="17" t="s">
        <v>14</v>
      </c>
      <c r="F45" s="18" t="str">
        <f>HYPERLINK("https://youtu.be/knMxtDbO9tY?t=84",'Players&gt;List'!$B11 &amp; "++" &amp; 'Players&gt;List'!$B29)</f>
        <v>[CHB]++[SYS]</v>
      </c>
      <c r="H45" s="1"/>
      <c r="I45" s="1"/>
      <c r="J45" s="1"/>
      <c r="K45" s="1"/>
      <c r="L45" s="1"/>
      <c r="M45" s="1"/>
      <c r="N45" s="1"/>
    </row>
    <row r="46">
      <c r="A46" s="1"/>
      <c r="B46" s="14" t="s">
        <v>5369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5371</v>
      </c>
      <c r="D47" s="9"/>
      <c r="E47" s="17" t="s">
        <v>14</v>
      </c>
      <c r="F47" s="18" t="str">
        <f>HYPERLINK("https://youtu.be/c25I0pFRiJU",'Players&gt;List'!$B11 &amp; "++" &amp; 'Players&gt;List'!$B29)</f>
        <v>[CHB]++[SYS]</v>
      </c>
      <c r="H47" s="1"/>
      <c r="I47" s="1"/>
      <c r="J47" s="1"/>
      <c r="K47" s="1"/>
      <c r="L47" s="1"/>
      <c r="M47" s="1"/>
      <c r="N47" s="1"/>
    </row>
    <row r="48">
      <c r="A48" s="1"/>
      <c r="B48" s="14" t="s">
        <v>5375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4"/>
    </row>
    <row r="49">
      <c r="A49" s="1"/>
      <c r="B49" s="4" t="s">
        <v>5378</v>
      </c>
      <c r="D49" s="9"/>
      <c r="E49" s="17" t="s">
        <v>14</v>
      </c>
      <c r="F49" s="18" t="str">
        <f>HYPERLINK("https://youtu.be/c25I0pFRiJU?t=41",'Players&gt;List'!$B11 &amp; "++" &amp; 'Players&gt;List'!$B29)</f>
        <v>[CHB]++[SYS]</v>
      </c>
      <c r="H49" s="1"/>
      <c r="I49" s="1"/>
      <c r="J49" s="1"/>
      <c r="K49" s="1"/>
      <c r="L49" s="1"/>
      <c r="M49" s="1"/>
      <c r="N49" s="1"/>
    </row>
    <row r="50">
      <c r="A50" s="1"/>
      <c r="B50" s="14" t="s">
        <v>5382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4"/>
    </row>
    <row r="51">
      <c r="A51" s="1"/>
      <c r="B51" s="4" t="s">
        <v>5384</v>
      </c>
      <c r="D51" s="9"/>
      <c r="E51" s="17" t="s">
        <v>14</v>
      </c>
      <c r="F51" s="18" t="str">
        <f>HYPERLINK("https://youtu.be/c25I0pFRiJU?t=67",'Players&gt;List'!$B11 &amp; "++" &amp; 'Players&gt;List'!$B29)</f>
        <v>[CHB]++[SYS]</v>
      </c>
      <c r="H51" s="1"/>
      <c r="I51" s="1"/>
      <c r="J51" s="1"/>
      <c r="K51" s="1"/>
      <c r="L51" s="1"/>
      <c r="M51" s="1"/>
      <c r="N51" s="1"/>
    </row>
    <row r="52">
      <c r="A52" s="1"/>
      <c r="B52" s="14" t="s">
        <v>5390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4"/>
    </row>
    <row r="53">
      <c r="A53" s="1"/>
      <c r="B53" s="4" t="s">
        <v>5391</v>
      </c>
      <c r="D53" s="9"/>
      <c r="E53" s="17" t="s">
        <v>14</v>
      </c>
      <c r="F53" s="18" t="str">
        <f>HYPERLINK("https://youtu.be/c25I0pFRiJU?t=94",'Players&gt;List'!$B11 &amp; "++" &amp; 'Players&gt;List'!$B29)</f>
        <v>[CHB]++[SYS]</v>
      </c>
      <c r="H53" s="1"/>
      <c r="I53" s="1"/>
      <c r="J53" s="1"/>
      <c r="K53" s="1"/>
      <c r="L53" s="1"/>
      <c r="M53" s="1"/>
      <c r="N53" s="1"/>
    </row>
    <row r="54">
      <c r="A54" s="1"/>
      <c r="B54" s="14" t="s">
        <v>5396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4"/>
    </row>
    <row r="55">
      <c r="A55" s="1"/>
      <c r="B55" s="4" t="s">
        <v>5398</v>
      </c>
      <c r="D55" s="9"/>
      <c r="E55" s="17" t="s">
        <v>14</v>
      </c>
      <c r="F55" s="18" t="str">
        <f>HYPERLINK("https://youtu.be/c25I0pFRiJU?t=116",'Players&gt;List'!$B11 &amp; "++" &amp; 'Players&gt;List'!$B29)</f>
        <v>[CHB]++[SYS]</v>
      </c>
      <c r="H55" s="1"/>
      <c r="I55" s="1"/>
      <c r="J55" s="1"/>
      <c r="K55" s="1"/>
      <c r="L55" s="1"/>
      <c r="M55" s="1"/>
      <c r="N55" s="1"/>
    </row>
    <row r="56">
      <c r="A56" s="1"/>
      <c r="B56" s="14" t="s">
        <v>5403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4"/>
    </row>
    <row r="57">
      <c r="A57" s="1"/>
      <c r="B57" s="4" t="s">
        <v>5405</v>
      </c>
      <c r="D57" s="9"/>
      <c r="E57" s="17" t="s">
        <v>14</v>
      </c>
      <c r="F57" s="18" t="str">
        <f>HYPERLINK("https://www.youtube.com/watch?v=wFdhkfsISzg",'Players&gt;List'!$B11 &amp; "++" &amp; 'Players&gt;List'!$B29)</f>
        <v>[CHB]++[SYS]</v>
      </c>
      <c r="H57" s="1"/>
      <c r="I57" s="1"/>
      <c r="J57" s="1"/>
      <c r="K57" s="1"/>
      <c r="L57" s="1"/>
      <c r="M57" s="1"/>
      <c r="N57" s="1"/>
    </row>
    <row r="58">
      <c r="A58" s="1"/>
      <c r="B58" s="14" t="s">
        <v>5411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5413</v>
      </c>
      <c r="D59" s="9"/>
      <c r="E59" s="17" t="s">
        <v>14</v>
      </c>
      <c r="F59" s="18" t="str">
        <f>HYPERLINK("https://youtu.be/wFdhkfsISzg?t=21",'Players&gt;List'!$B11 &amp; "++" &amp; 'Players&gt;List'!$B29)</f>
        <v>[CHB]++[SYS]</v>
      </c>
      <c r="H59" s="1"/>
      <c r="I59" s="1"/>
      <c r="J59" s="1"/>
      <c r="K59" s="1"/>
      <c r="L59" s="1"/>
      <c r="M59" s="1"/>
      <c r="N59" s="1"/>
    </row>
    <row r="60">
      <c r="A60" s="1"/>
      <c r="B60" s="14" t="s">
        <v>5419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4"/>
    </row>
    <row r="61">
      <c r="A61" s="1"/>
      <c r="B61" s="4" t="s">
        <v>5422</v>
      </c>
      <c r="D61" s="9"/>
      <c r="E61" s="17" t="s">
        <v>14</v>
      </c>
      <c r="F61" s="18" t="str">
        <f>HYPERLINK("https://youtu.be/wFdhkfsISzg?t=41",'Players&gt;List'!$B11 &amp; "++" &amp; 'Players&gt;List'!$B29)</f>
        <v>[CHB]++[SYS]</v>
      </c>
      <c r="H61" s="1"/>
      <c r="I61" s="1"/>
      <c r="J61" s="1"/>
      <c r="K61" s="1"/>
      <c r="L61" s="1"/>
      <c r="M61" s="1"/>
      <c r="N61" s="1"/>
    </row>
    <row r="62">
      <c r="A62" s="1"/>
      <c r="B62" s="14" t="s">
        <v>5426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4"/>
    </row>
    <row r="63">
      <c r="A63" s="1"/>
      <c r="B63" s="4" t="s">
        <v>5429</v>
      </c>
      <c r="D63" s="9"/>
      <c r="E63" s="17" t="s">
        <v>14</v>
      </c>
      <c r="F63" s="18" t="str">
        <f>HYPERLINK("https://youtu.be/wFdhkfsISzg?t=71",'Players&gt;List'!$B11 &amp; "++" &amp; 'Players&gt;List'!$B29)</f>
        <v>[CHB]++[SYS]</v>
      </c>
      <c r="H63" s="1"/>
      <c r="I63" s="1"/>
      <c r="J63" s="1"/>
      <c r="K63" s="1"/>
      <c r="L63" s="1"/>
      <c r="M63" s="1"/>
      <c r="N63" s="1"/>
    </row>
    <row r="64">
      <c r="A64" s="1"/>
      <c r="B64" s="14" t="s">
        <v>5433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4"/>
    </row>
    <row r="65">
      <c r="A65" s="1"/>
      <c r="B65" s="4" t="s">
        <v>5437</v>
      </c>
      <c r="D65" s="9"/>
      <c r="E65" s="17" t="s">
        <v>14</v>
      </c>
      <c r="F65" s="18" t="str">
        <f>HYPERLINK("https://youtu.be/wFdhkfsISzg?t=130",'Players&gt;List'!$B11 &amp; "++" &amp; 'Players&gt;List'!$B29)</f>
        <v>[CHB]++[SYS]</v>
      </c>
      <c r="H65" s="1"/>
      <c r="I65" s="1"/>
      <c r="J65" s="1"/>
      <c r="K65" s="1"/>
      <c r="L65" s="1"/>
      <c r="M65" s="1"/>
      <c r="N65" s="1"/>
    </row>
    <row r="66">
      <c r="A66" s="1"/>
      <c r="B66" s="14" t="s">
        <v>5443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5445</v>
      </c>
      <c r="D67" s="9"/>
      <c r="E67" s="17" t="s">
        <v>14</v>
      </c>
      <c r="F67" s="18" t="str">
        <f>HYPERLINK("https://www.youtube.com/watch?v=Q1pgmYkj_5U",'Players&gt;List'!$B11 &amp; "++" &amp; 'Players&gt;List'!$B29)</f>
        <v>[CHB]++[SYS]</v>
      </c>
      <c r="H67" s="1"/>
      <c r="I67" s="1"/>
      <c r="J67" s="1"/>
      <c r="K67" s="1"/>
      <c r="L67" s="1"/>
      <c r="M67" s="1"/>
      <c r="N67" s="1"/>
    </row>
    <row r="68">
      <c r="A68" s="1"/>
      <c r="B68" s="14" t="s">
        <v>5451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4"/>
    </row>
    <row r="69">
      <c r="A69" s="1"/>
      <c r="B69" s="4" t="s">
        <v>5454</v>
      </c>
      <c r="D69" s="9"/>
      <c r="E69" s="17" t="s">
        <v>14</v>
      </c>
      <c r="F69" s="18" t="str">
        <f>HYPERLINK("https://youtu.be/Q1pgmYkj_5U?t=15",'Players&gt;List'!$B11 &amp; "++" &amp; 'Players&gt;List'!$B29)</f>
        <v>[CHB]++[SYS]</v>
      </c>
      <c r="H69" s="1"/>
      <c r="I69" s="1"/>
      <c r="J69" s="1"/>
      <c r="K69" s="1"/>
      <c r="L69" s="1"/>
      <c r="M69" s="1"/>
      <c r="N69" s="1"/>
    </row>
    <row r="70">
      <c r="A70" s="1"/>
      <c r="B70" s="14" t="s">
        <v>5461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4"/>
    </row>
    <row r="71">
      <c r="A71" s="1"/>
      <c r="B71" s="4" t="s">
        <v>5463</v>
      </c>
      <c r="D71" s="9"/>
      <c r="E71" s="17" t="s">
        <v>14</v>
      </c>
      <c r="F71" s="18" t="str">
        <f>HYPERLINK("https://youtu.be/Q1pgmYkj_5U?t=42",'Players&gt;List'!$B11 &amp; "++" &amp; 'Players&gt;List'!$B29)</f>
        <v>[CHB]++[SYS]</v>
      </c>
      <c r="H71" s="1"/>
      <c r="I71" s="1"/>
      <c r="J71" s="1"/>
      <c r="K71" s="1"/>
      <c r="L71" s="1"/>
      <c r="M71" s="1"/>
      <c r="N71" s="1"/>
    </row>
    <row r="72">
      <c r="A72" s="1"/>
      <c r="B72" s="14" t="s">
        <v>5464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4"/>
    </row>
    <row r="73">
      <c r="A73" s="1"/>
      <c r="B73" s="4" t="s">
        <v>5470</v>
      </c>
      <c r="D73" s="9"/>
      <c r="E73" s="17" t="s">
        <v>14</v>
      </c>
      <c r="F73" s="18" t="str">
        <f>HYPERLINK("https://youtu.be/Q1pgmYkj_5U?t=91",'Players&gt;List'!$B11 &amp; "++" &amp; 'Players&gt;List'!$B29)</f>
        <v>[CHB]++[SYS]</v>
      </c>
      <c r="H73" s="1"/>
      <c r="I73" s="1"/>
      <c r="J73" s="1"/>
      <c r="K73" s="1"/>
      <c r="L73" s="1"/>
      <c r="M73" s="1"/>
      <c r="N73" s="1"/>
    </row>
    <row r="74">
      <c r="A74" s="1"/>
      <c r="B74" s="14" t="s">
        <v>5475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4"/>
    </row>
    <row r="75">
      <c r="A75" s="1"/>
      <c r="B75" s="4" t="s">
        <v>5478</v>
      </c>
      <c r="D75" s="9"/>
      <c r="E75" s="17" t="s">
        <v>14</v>
      </c>
      <c r="F75" s="18" t="str">
        <f>HYPERLINK("https://youtu.be/Q1pgmYkj_5U?t=137",'Players&gt;List'!$B11 &amp; "++" &amp; 'Players&gt;List'!$B29)</f>
        <v>[CHB]++[SYS]</v>
      </c>
      <c r="H75" s="1"/>
      <c r="I75" s="1"/>
      <c r="J75" s="1"/>
      <c r="K75" s="1"/>
      <c r="L75" s="1"/>
      <c r="M75" s="1"/>
      <c r="N75" s="1"/>
    </row>
    <row r="76">
      <c r="A76" s="1"/>
      <c r="B76" s="14" t="s">
        <v>5484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5487</v>
      </c>
      <c r="D77" s="9"/>
      <c r="E77" s="17" t="s">
        <v>14</v>
      </c>
      <c r="F77" s="18" t="str">
        <f>HYPERLINK("https://www.youtube.com/watch?v=zragz_oJpi4",'Players&gt;List'!$B11 &amp; "++" &amp; 'Players&gt;List'!$B29)</f>
        <v>[CHB]++[SYS]</v>
      </c>
      <c r="H77" s="1"/>
      <c r="I77" s="1"/>
      <c r="J77" s="1"/>
      <c r="K77" s="1"/>
      <c r="L77" s="1"/>
      <c r="M77" s="1"/>
      <c r="N77" s="1"/>
    </row>
    <row r="78">
      <c r="A78" s="1"/>
      <c r="B78" s="14" t="s">
        <v>5493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5499</v>
      </c>
      <c r="D79" s="9"/>
      <c r="E79" s="17" t="s">
        <v>14</v>
      </c>
      <c r="F79" s="18" t="str">
        <f>HYPERLINK("https://youtu.be/zragz_oJpi4?t=19",'Players&gt;List'!$B11 &amp; "++" &amp; 'Players&gt;List'!$B29)</f>
        <v>[CHB]++[SYS]</v>
      </c>
      <c r="H79" s="1"/>
      <c r="I79" s="1"/>
      <c r="J79" s="1"/>
      <c r="K79" s="1"/>
      <c r="L79" s="1"/>
      <c r="M79" s="1"/>
      <c r="N79" s="1"/>
    </row>
    <row r="80">
      <c r="A80" s="1"/>
      <c r="B80" s="14" t="s">
        <v>5505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4"/>
    </row>
    <row r="81">
      <c r="A81" s="1"/>
      <c r="B81" s="4" t="s">
        <v>5507</v>
      </c>
      <c r="D81" s="9"/>
      <c r="E81" s="17" t="s">
        <v>14</v>
      </c>
      <c r="F81" s="18" t="str">
        <f>HYPERLINK("https://youtu.be/zragz_oJpi4?t=69",'Players&gt;List'!$B11 &amp; "++" &amp; 'Players&gt;List'!$B29)</f>
        <v>[CHB]++[SYS]</v>
      </c>
      <c r="H81" s="1"/>
      <c r="I81" s="1"/>
      <c r="J81" s="1"/>
      <c r="K81" s="1"/>
      <c r="L81" s="1"/>
      <c r="M81" s="1"/>
      <c r="N81" s="1"/>
    </row>
    <row r="82">
      <c r="A82" s="1"/>
      <c r="B82" s="14" t="s">
        <v>5511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4"/>
    </row>
    <row r="83">
      <c r="A83" s="1"/>
      <c r="B83" s="4" t="s">
        <v>5514</v>
      </c>
      <c r="D83" s="9"/>
      <c r="E83" s="17" t="s">
        <v>14</v>
      </c>
      <c r="F83" s="18" t="str">
        <f>HYPERLINK("https://youtu.be/zragz_oJpi4?t=97",'Players&gt;List'!$B11 &amp; "++" &amp; 'Players&gt;List'!$B29)</f>
        <v>[CHB]++[SYS]</v>
      </c>
      <c r="H83" s="1"/>
      <c r="I83" s="1"/>
      <c r="J83" s="1"/>
      <c r="K83" s="1"/>
      <c r="L83" s="1"/>
      <c r="M83" s="1"/>
      <c r="N83" s="1"/>
    </row>
    <row r="84">
      <c r="A84" s="1"/>
      <c r="B84" s="14" t="s">
        <v>5517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4"/>
    </row>
    <row r="85">
      <c r="A85" s="1"/>
      <c r="B85" s="4" t="s">
        <v>5519</v>
      </c>
      <c r="D85" s="9"/>
      <c r="E85" s="17" t="s">
        <v>14</v>
      </c>
      <c r="F85" s="18" t="str">
        <f>HYPERLINK("https://youtu.be/zragz_oJpi4?t=127",'Players&gt;List'!$B11 &amp; "++" &amp; 'Players&gt;List'!$B29)</f>
        <v>[CHB]++[SYS]</v>
      </c>
      <c r="H85" s="1"/>
      <c r="I85" s="1"/>
      <c r="J85" s="1"/>
      <c r="K85" s="1"/>
      <c r="L85" s="1"/>
      <c r="M85" s="1"/>
      <c r="N85" s="1"/>
    </row>
    <row r="86">
      <c r="A86" s="1"/>
      <c r="B86" s="14" t="s">
        <v>5524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5527</v>
      </c>
      <c r="D87" s="9"/>
      <c r="E87" s="17" t="s">
        <v>14</v>
      </c>
      <c r="F87" s="18" t="str">
        <f>HYPERLINK("https://www.youtube.com/watch?v=DDSYwomTS14",'Players&gt;List'!$B11 &amp; "++" &amp; 'Players&gt;List'!$B29)</f>
        <v>[CHB]++[SYS]</v>
      </c>
      <c r="H87" s="1"/>
      <c r="I87" s="1"/>
      <c r="J87" s="1"/>
      <c r="K87" s="1"/>
      <c r="L87" s="1"/>
      <c r="M87" s="1"/>
      <c r="N87" s="1"/>
    </row>
    <row r="88">
      <c r="A88" s="1"/>
      <c r="B88" s="14" t="s">
        <v>5531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5534</v>
      </c>
      <c r="D89" s="9"/>
      <c r="E89" s="17" t="s">
        <v>14</v>
      </c>
      <c r="F89" s="18" t="str">
        <f>HYPERLINK("https://youtu.be/DDSYwomTS14?t=55",'Players&gt;List'!$B11 &amp; "++" &amp; 'Players&gt;List'!$B29)</f>
        <v>[CHB]++[SYS]</v>
      </c>
      <c r="H89" s="1"/>
      <c r="I89" s="1"/>
      <c r="J89" s="1"/>
      <c r="K89" s="1"/>
      <c r="L89" s="1"/>
      <c r="M89" s="1"/>
      <c r="N89" s="1"/>
    </row>
    <row r="90">
      <c r="A90" s="1"/>
      <c r="B90" s="14" t="s">
        <v>5537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4"/>
    </row>
    <row r="91">
      <c r="A91" s="1"/>
      <c r="B91" s="4" t="s">
        <v>5539</v>
      </c>
      <c r="D91" s="9"/>
      <c r="E91" s="17" t="s">
        <v>14</v>
      </c>
      <c r="F91" s="18" t="str">
        <f>HYPERLINK("https://youtu.be/DDSYwomTS14?t=77",'Players&gt;List'!$B11 &amp; "++" &amp; 'Players&gt;List'!$B29)</f>
        <v>[CHB]++[SYS]</v>
      </c>
      <c r="H91" s="1"/>
      <c r="I91" s="1"/>
      <c r="J91" s="1"/>
      <c r="K91" s="1"/>
      <c r="L91" s="1"/>
      <c r="M91" s="1"/>
      <c r="N91" s="1"/>
    </row>
    <row r="92">
      <c r="A92" s="1"/>
      <c r="B92" s="14" t="s">
        <v>5543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4"/>
    </row>
    <row r="93">
      <c r="A93" s="1"/>
      <c r="B93" s="4" t="s">
        <v>5545</v>
      </c>
      <c r="D93" s="9"/>
      <c r="E93" s="17" t="s">
        <v>14</v>
      </c>
      <c r="F93" s="18" t="str">
        <f>HYPERLINK("https://youtu.be/DDSYwomTS14?t=107",'Players&gt;List'!$B11 &amp; "++" &amp; 'Players&gt;List'!$B29)</f>
        <v>[CHB]++[SYS]</v>
      </c>
      <c r="H93" s="1"/>
      <c r="I93" s="1"/>
      <c r="J93" s="1"/>
      <c r="K93" s="1"/>
      <c r="L93" s="1"/>
      <c r="M93" s="1"/>
      <c r="N93" s="1"/>
    </row>
    <row r="94">
      <c r="A94" s="1"/>
      <c r="B94" s="14" t="s">
        <v>5548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4"/>
    </row>
    <row r="95">
      <c r="A95" s="1"/>
      <c r="B95" s="4" t="s">
        <v>5551</v>
      </c>
      <c r="D95" s="9"/>
      <c r="E95" s="17" t="s">
        <v>14</v>
      </c>
      <c r="F95" s="18" t="str">
        <f>HYPERLINK("https://youtu.be/DDSYwomTS14?t=118",'Players&gt;List'!$B11 &amp; "++" &amp; 'Players&gt;List'!$B29)</f>
        <v>[CHB]++[SYS]</v>
      </c>
      <c r="H95" s="1"/>
      <c r="I95" s="1"/>
      <c r="J95" s="1"/>
      <c r="K95" s="1"/>
      <c r="L95" s="1"/>
      <c r="M95" s="1"/>
      <c r="N95" s="1"/>
    </row>
    <row r="96">
      <c r="A96" s="1"/>
      <c r="B96" s="14" t="s">
        <v>5554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5557</v>
      </c>
      <c r="D97" s="9"/>
      <c r="E97" s="17" t="s">
        <v>14</v>
      </c>
      <c r="F97" s="18" t="str">
        <f>HYPERLINK("https://youtu.be/GvyRKgoC7PA?t=0",'Players&gt;List'!$B11 &amp; "++" &amp; 'Players&gt;List'!$B29)</f>
        <v>[CHB]++[SYS]</v>
      </c>
      <c r="H97" s="1"/>
      <c r="I97" s="1"/>
      <c r="J97" s="1"/>
      <c r="K97" s="1"/>
      <c r="L97" s="1"/>
      <c r="M97" s="1"/>
      <c r="N97" s="1"/>
    </row>
    <row r="98">
      <c r="A98" s="1"/>
      <c r="B98" s="14" t="s">
        <v>5560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4"/>
    </row>
    <row r="99">
      <c r="A99" s="1"/>
      <c r="B99" s="4" t="s">
        <v>5564</v>
      </c>
      <c r="D99" s="9"/>
      <c r="E99" s="17" t="s">
        <v>14</v>
      </c>
      <c r="F99" s="18" t="str">
        <f>HYPERLINK("https://youtu.be/GvyRKgoC7PA?t=23",'Players&gt;List'!$B11 &amp; "++" &amp; 'Players&gt;List'!$B29)</f>
        <v>[CHB]++[SYS]</v>
      </c>
      <c r="H99" s="1"/>
      <c r="I99" s="1"/>
      <c r="J99" s="1"/>
      <c r="K99" s="1"/>
      <c r="L99" s="1"/>
      <c r="M99" s="1"/>
      <c r="N99" s="1"/>
    </row>
    <row r="100">
      <c r="A100" s="1"/>
      <c r="B100" s="14" t="s">
        <v>5569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4"/>
    </row>
    <row r="101">
      <c r="A101" s="1"/>
      <c r="B101" s="4" t="s">
        <v>5571</v>
      </c>
      <c r="D101" s="9"/>
      <c r="E101" s="17" t="s">
        <v>14</v>
      </c>
      <c r="F101" s="18" t="str">
        <f>HYPERLINK("https://youtu.be/GvyRKgoC7PA?t=93",'Players&gt;List'!$B11 &amp; "++" &amp; 'Players&gt;List'!$B29)</f>
        <v>[CHB]++[SYS]</v>
      </c>
      <c r="H101" s="1"/>
      <c r="I101" s="1"/>
      <c r="J101" s="1"/>
      <c r="K101" s="1"/>
      <c r="L101" s="1"/>
      <c r="M101" s="1"/>
      <c r="N101" s="1"/>
    </row>
    <row r="102">
      <c r="A102" s="1"/>
      <c r="B102" s="14" t="s">
        <v>5573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4"/>
    </row>
    <row r="103">
      <c r="A103" s="1"/>
      <c r="B103" s="4" t="s">
        <v>5575</v>
      </c>
      <c r="D103" s="9"/>
      <c r="E103" s="17" t="s">
        <v>14</v>
      </c>
      <c r="F103" s="18" t="str">
        <f>HYPERLINK("https://youtu.be/GvyRKgoC7PA?t=122",'Players&gt;List'!$B11 &amp; "++" &amp; 'Players&gt;List'!$B29)</f>
        <v>[CHB]++[SYS]</v>
      </c>
      <c r="H103" s="1"/>
      <c r="I103" s="1"/>
      <c r="J103" s="1"/>
      <c r="K103" s="1"/>
      <c r="L103" s="1"/>
      <c r="M103" s="1"/>
      <c r="N103" s="1"/>
    </row>
    <row r="104">
      <c r="A104" s="1"/>
      <c r="B104" s="14" t="s">
        <v>5578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"/>
    </row>
    <row r="105">
      <c r="A105" s="1"/>
      <c r="B105" s="4" t="s">
        <v>5580</v>
      </c>
      <c r="D105" s="9"/>
      <c r="E105" s="17" t="s">
        <v>14</v>
      </c>
      <c r="F105" s="18" t="str">
        <f>HYPERLINK("https://youtu.be/GvyRKgoC7PA?t=162",'Players&gt;List'!$B11 &amp; "++" &amp; 'Players&gt;List'!$B29)</f>
        <v>[CHB]++[SYS]</v>
      </c>
      <c r="H105" s="1"/>
      <c r="I105" s="1"/>
      <c r="J105" s="1"/>
      <c r="K105" s="1"/>
      <c r="L105" s="1"/>
      <c r="M105" s="1"/>
      <c r="N105" s="1"/>
    </row>
    <row r="106">
      <c r="A106" s="1"/>
      <c r="B106" s="14" t="s">
        <v>5584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4"/>
    </row>
    <row r="107">
      <c r="A107" s="1"/>
      <c r="B107" s="4" t="s">
        <v>5586</v>
      </c>
      <c r="D107" s="9"/>
      <c r="E107" s="17" t="s">
        <v>14</v>
      </c>
      <c r="F107" s="18" t="str">
        <f>HYPERLINK("https://www.youtube.com/watch?v=drixXKFl4WA",'Players&gt;List'!$B11 &amp; "++" &amp; 'Players&gt;List'!$B29)</f>
        <v>[CHB]++[SYS]</v>
      </c>
      <c r="H107" s="1"/>
      <c r="I107" s="1"/>
      <c r="J107" s="1"/>
      <c r="K107" s="1"/>
      <c r="L107" s="1"/>
      <c r="M107" s="1"/>
      <c r="N107" s="1"/>
    </row>
    <row r="108">
      <c r="A108" s="1"/>
      <c r="B108" s="14" t="s">
        <v>5590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4"/>
    </row>
    <row r="109">
      <c r="A109" s="1"/>
      <c r="B109" s="4" t="s">
        <v>5591</v>
      </c>
      <c r="D109" s="9"/>
      <c r="E109" s="17" t="s">
        <v>14</v>
      </c>
      <c r="F109" s="18" t="str">
        <f>HYPERLINK("https://youtu.be/drixXKFl4WA?t=27",'Players&gt;List'!$B11 &amp; "++" &amp; 'Players&gt;List'!$B29)</f>
        <v>[CHB]++[SYS]</v>
      </c>
      <c r="H109" s="1"/>
      <c r="I109" s="1"/>
      <c r="J109" s="1"/>
      <c r="K109" s="1"/>
      <c r="L109" s="1"/>
      <c r="M109" s="1"/>
      <c r="N109" s="1"/>
    </row>
    <row r="110">
      <c r="A110" s="1"/>
      <c r="B110" s="14" t="s">
        <v>5593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4"/>
    </row>
    <row r="111">
      <c r="A111" s="1"/>
      <c r="B111" s="4" t="s">
        <v>5594</v>
      </c>
      <c r="D111" s="9"/>
      <c r="E111" s="17" t="s">
        <v>14</v>
      </c>
      <c r="F111" s="18" t="str">
        <f>HYPERLINK("https://youtu.be/drixXKFl4WA?t=46",'Players&gt;List'!$B11 &amp; "++" &amp; 'Players&gt;List'!$B29)</f>
        <v>[CHB]++[SYS]</v>
      </c>
      <c r="H111" s="1"/>
      <c r="I111" s="1"/>
      <c r="J111" s="1"/>
      <c r="K111" s="1"/>
      <c r="L111" s="1"/>
      <c r="M111" s="1"/>
      <c r="N111" s="1"/>
    </row>
    <row r="112">
      <c r="A112" s="1"/>
      <c r="B112" s="14" t="s">
        <v>5599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4"/>
    </row>
    <row r="113">
      <c r="A113" s="1"/>
      <c r="B113" s="4" t="s">
        <v>5601</v>
      </c>
      <c r="D113" s="9"/>
      <c r="E113" s="17" t="s">
        <v>14</v>
      </c>
      <c r="F113" s="18" t="str">
        <f>HYPERLINK("https://youtu.be/drixXKFl4WA?t=73",'Players&gt;List'!$B11 &amp; "++" &amp; 'Players&gt;List'!$B29)</f>
        <v>[CHB]++[SYS]</v>
      </c>
      <c r="H113" s="1"/>
      <c r="I113" s="1"/>
      <c r="J113" s="1"/>
      <c r="K113" s="1"/>
      <c r="L113" s="1"/>
      <c r="M113" s="1"/>
      <c r="N113" s="1"/>
    </row>
    <row r="114">
      <c r="A114" s="1"/>
      <c r="B114" s="14" t="s">
        <v>5605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4"/>
    </row>
    <row r="115">
      <c r="A115" s="1"/>
      <c r="B115" s="4" t="s">
        <v>5607</v>
      </c>
      <c r="D115" s="9"/>
      <c r="E115" s="17" t="s">
        <v>14</v>
      </c>
      <c r="F115" s="18" t="str">
        <f>HYPERLINK("https://youtu.be/drixXKFl4WA?t=92",'Players&gt;List'!$B11 &amp; "++" &amp; 'Players&gt;List'!$B29)</f>
        <v>[CHB]++[SYS]</v>
      </c>
      <c r="H115" s="1"/>
      <c r="I115" s="1"/>
      <c r="J115" s="1"/>
      <c r="K115" s="1"/>
      <c r="L115" s="1"/>
      <c r="M115" s="1"/>
      <c r="N115" s="1"/>
    </row>
    <row r="116">
      <c r="A116" s="1"/>
      <c r="B116" s="14" t="s">
        <v>5611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4"/>
    </row>
    <row r="117">
      <c r="A117" s="1"/>
      <c r="B117" s="4" t="s">
        <v>5613</v>
      </c>
      <c r="D117" s="9"/>
      <c r="E117" s="17" t="s">
        <v>14</v>
      </c>
      <c r="F117" s="18" t="str">
        <f>HYPERLINK("https://www.youtube.com/watch?v=1gIf3Fkgv98",'Players&gt;List'!$B11 &amp; "++" &amp; 'Players&gt;List'!$B29)</f>
        <v>[CHB]++[SYS]</v>
      </c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5617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4"/>
    </row>
    <row r="119">
      <c r="A119" s="1"/>
      <c r="B119" s="4" t="s">
        <v>5618</v>
      </c>
      <c r="D119" s="9"/>
      <c r="E119" s="17" t="s">
        <v>14</v>
      </c>
      <c r="F119" s="18" t="str">
        <f>HYPERLINK("https://youtu.be/1gIf3Fkgv98?t=51",'Players&gt;List'!$B11 &amp; "++" &amp; 'Players&gt;List'!$B29)</f>
        <v>[CHB]++[SYS]</v>
      </c>
      <c r="H119" s="1"/>
      <c r="I119" s="1"/>
      <c r="J119" s="1"/>
      <c r="K119" s="1"/>
      <c r="L119" s="1"/>
      <c r="M119" s="1"/>
      <c r="N119" s="1"/>
    </row>
    <row r="120">
      <c r="A120" s="1"/>
      <c r="B120" s="14" t="s">
        <v>5619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4"/>
    </row>
    <row r="121">
      <c r="A121" s="1"/>
      <c r="B121" s="4" t="s">
        <v>5622</v>
      </c>
      <c r="D121" s="9"/>
      <c r="E121" s="17" t="s">
        <v>14</v>
      </c>
      <c r="F121" s="18" t="str">
        <f>HYPERLINK("https://youtu.be/1gIf3Fkgv98?t=82",'Players&gt;List'!$B11 &amp; "++" &amp; 'Players&gt;List'!$B29)</f>
        <v>[CHB]++[SYS]</v>
      </c>
      <c r="H121" s="1"/>
      <c r="I121" s="1"/>
      <c r="J121" s="1"/>
      <c r="K121" s="1"/>
      <c r="L121" s="1"/>
      <c r="M121" s="1"/>
      <c r="N121" s="1"/>
    </row>
    <row r="122">
      <c r="A122" s="1"/>
      <c r="B122" s="14" t="s">
        <v>5625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4"/>
    </row>
    <row r="123">
      <c r="A123" s="1"/>
      <c r="B123" s="4" t="s">
        <v>5628</v>
      </c>
      <c r="D123" s="9"/>
      <c r="E123" s="17" t="s">
        <v>14</v>
      </c>
      <c r="F123" s="18" t="str">
        <f>HYPERLINK("https://youtu.be/1gIf3Fkgv98?t=103",'Players&gt;List'!$B11 &amp; "++" &amp; 'Players&gt;List'!$B29)</f>
        <v>[CHB]++[SYS]</v>
      </c>
      <c r="H123" s="1"/>
      <c r="I123" s="1"/>
      <c r="J123" s="1"/>
      <c r="K123" s="1"/>
      <c r="L123" s="1"/>
      <c r="M123" s="1"/>
      <c r="N123" s="1"/>
    </row>
    <row r="124">
      <c r="A124" s="1"/>
      <c r="B124" s="14" t="s">
        <v>5631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4"/>
    </row>
    <row r="125">
      <c r="A125" s="1"/>
      <c r="B125" s="4" t="s">
        <v>5634</v>
      </c>
      <c r="D125" s="9"/>
      <c r="E125" s="17" t="s">
        <v>14</v>
      </c>
      <c r="F125" s="18" t="str">
        <f>HYPERLINK("https://youtu.be/1gIf3Fkgv98?t=126",'Players&gt;List'!$B11 &amp; "++" &amp; 'Players&gt;List'!$B29)</f>
        <v>[CHB]++[SYS]</v>
      </c>
      <c r="H125" s="1"/>
      <c r="I125" s="1"/>
      <c r="J125" s="1"/>
      <c r="K125" s="1"/>
      <c r="L125" s="1"/>
      <c r="M125" s="1"/>
      <c r="N125" s="1"/>
    </row>
    <row r="126">
      <c r="A126" s="1"/>
      <c r="B126" s="14" t="s">
        <v>5637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4"/>
    </row>
    <row r="127">
      <c r="A127" s="1"/>
      <c r="B127" s="4" t="s">
        <v>5640</v>
      </c>
      <c r="D127" s="9"/>
      <c r="E127" s="17" t="s">
        <v>14</v>
      </c>
      <c r="F127" s="18" t="str">
        <f>HYPERLINK("https://www.youtube.com/watch?v=iKo8PgV6c6Y",'Players&gt;List'!$B11 &amp; "++" &amp; 'Players&gt;List'!$B29)</f>
        <v>[CHB]++[SYS]</v>
      </c>
      <c r="H127" s="1"/>
      <c r="I127" s="1"/>
      <c r="J127" s="1"/>
      <c r="K127" s="1"/>
      <c r="L127" s="1"/>
      <c r="M127" s="1"/>
      <c r="N127" s="1"/>
    </row>
    <row r="128">
      <c r="A128" s="1"/>
      <c r="B128" s="14" t="s">
        <v>5643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4"/>
    </row>
    <row r="129">
      <c r="A129" s="1"/>
      <c r="B129" s="4" t="s">
        <v>5644</v>
      </c>
      <c r="D129" s="9"/>
      <c r="E129" s="17" t="s">
        <v>14</v>
      </c>
      <c r="F129" s="18" t="str">
        <f>HYPERLINK("https://youtu.be/iKo8PgV6c6Y?t=24",'Players&gt;List'!$B11 &amp; "++" &amp; 'Players&gt;List'!$B29)</f>
        <v>[CHB]++[SYS]</v>
      </c>
      <c r="H129" s="1"/>
      <c r="I129" s="1"/>
      <c r="J129" s="1"/>
      <c r="K129" s="1"/>
      <c r="L129" s="1"/>
      <c r="M129" s="1"/>
      <c r="N129" s="1"/>
    </row>
    <row r="130">
      <c r="A130" s="1"/>
      <c r="B130" s="14" t="s">
        <v>5645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4"/>
    </row>
    <row r="131">
      <c r="A131" s="1"/>
      <c r="B131" s="4" t="s">
        <v>5648</v>
      </c>
      <c r="D131" s="9"/>
      <c r="E131" s="17" t="s">
        <v>14</v>
      </c>
      <c r="F131" s="18" t="str">
        <f>HYPERLINK("https://youtu.be/iKo8PgV6c6Y?t=57",'Players&gt;List'!$B11 &amp; "++" &amp; 'Players&gt;List'!$B29)</f>
        <v>[CHB]++[SYS]</v>
      </c>
      <c r="H131" s="1"/>
      <c r="I131" s="1"/>
      <c r="J131" s="1"/>
      <c r="K131" s="1"/>
      <c r="L131" s="1"/>
      <c r="M131" s="1"/>
      <c r="N131" s="1"/>
    </row>
    <row r="132">
      <c r="A132" s="1"/>
      <c r="B132" s="14" t="s">
        <v>5651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4"/>
    </row>
    <row r="133">
      <c r="A133" s="1"/>
      <c r="B133" s="4" t="s">
        <v>5655</v>
      </c>
      <c r="D133" s="9"/>
      <c r="E133" s="17" t="s">
        <v>14</v>
      </c>
      <c r="F133" s="18" t="str">
        <f>HYPERLINK("https://youtu.be/iKo8PgV6c6Y?t=76",'Players&gt;List'!$B11 &amp; "++" &amp; 'Players&gt;List'!$B29)</f>
        <v>[CHB]++[SYS]</v>
      </c>
      <c r="H133" s="1"/>
      <c r="I133" s="1"/>
      <c r="J133" s="1"/>
      <c r="K133" s="1"/>
      <c r="L133" s="1"/>
      <c r="M133" s="1"/>
      <c r="N133" s="1"/>
    </row>
    <row r="134">
      <c r="A134" s="1"/>
      <c r="B134" s="14" t="s">
        <v>5659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4"/>
    </row>
    <row r="135">
      <c r="A135" s="1"/>
      <c r="B135" s="4" t="s">
        <v>5661</v>
      </c>
      <c r="D135" s="9"/>
      <c r="E135" s="17" t="s">
        <v>14</v>
      </c>
      <c r="F135" s="18" t="str">
        <f>HYPERLINK("https://youtu.be/iKo8PgV6c6Y?t=97",'Players&gt;List'!$B11 &amp; "++" &amp; 'Players&gt;List'!$B29)</f>
        <v>[CHB]++[SYS]</v>
      </c>
      <c r="H135" s="1"/>
      <c r="I135" s="1"/>
      <c r="J135" s="1"/>
      <c r="K135" s="1"/>
      <c r="L135" s="1"/>
      <c r="M135" s="1"/>
      <c r="N135" s="1"/>
    </row>
    <row r="136">
      <c r="A136" s="1"/>
      <c r="B136" s="14" t="s">
        <v>5665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4"/>
    </row>
    <row r="137">
      <c r="A137" s="1"/>
      <c r="B137" s="4" t="s">
        <v>5666</v>
      </c>
      <c r="D137" s="9"/>
      <c r="E137" s="17" t="s">
        <v>14</v>
      </c>
      <c r="F137" s="18" t="str">
        <f>HYPERLINK("https://www.youtube.com/watch?v=5k9a-9N7I54",'Players&gt;List'!$B11 &amp; "++" &amp; 'Players&gt;List'!$B29)</f>
        <v>[CHB]++[SYS]</v>
      </c>
      <c r="H137" s="1"/>
      <c r="I137" s="1"/>
      <c r="J137" s="1"/>
      <c r="K137" s="1"/>
      <c r="L137" s="1"/>
      <c r="M137" s="1"/>
      <c r="N137" s="1"/>
    </row>
    <row r="138">
      <c r="A138" s="1"/>
      <c r="B138" s="14" t="s">
        <v>5672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4"/>
    </row>
    <row r="139">
      <c r="A139" s="1"/>
      <c r="B139" s="4" t="s">
        <v>5675</v>
      </c>
      <c r="D139" s="9"/>
      <c r="E139" s="17" t="s">
        <v>14</v>
      </c>
      <c r="F139" s="18" t="str">
        <f>HYPERLINK("https://youtu.be/5k9a-9N7I54?t=15",'Players&gt;List'!$B11 &amp; "++" &amp; 'Players&gt;List'!$B29)</f>
        <v>[CHB]++[SYS]</v>
      </c>
      <c r="H139" s="1"/>
      <c r="I139" s="1"/>
      <c r="J139" s="1"/>
      <c r="K139" s="1"/>
      <c r="L139" s="1"/>
      <c r="M139" s="1"/>
      <c r="N139" s="1"/>
    </row>
    <row r="140">
      <c r="A140" s="1"/>
      <c r="B140" s="14" t="s">
        <v>5678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4"/>
    </row>
    <row r="141">
      <c r="A141" s="1"/>
      <c r="B141" s="4" t="s">
        <v>5681</v>
      </c>
      <c r="D141" s="9"/>
      <c r="E141" s="17" t="s">
        <v>14</v>
      </c>
      <c r="F141" s="18" t="str">
        <f>HYPERLINK("https://youtu.be/5k9a-9N7I54?t=47",'Players&gt;List'!$B11 &amp; "++" &amp; 'Players&gt;List'!$B29)</f>
        <v>[CHB]++[SYS]</v>
      </c>
      <c r="H141" s="1"/>
      <c r="I141" s="1"/>
      <c r="J141" s="1"/>
      <c r="K141" s="1"/>
      <c r="L141" s="1"/>
      <c r="M141" s="1"/>
      <c r="N141" s="1"/>
    </row>
    <row r="142">
      <c r="A142" s="1"/>
      <c r="B142" s="14" t="s">
        <v>5684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4"/>
    </row>
    <row r="143">
      <c r="A143" s="1"/>
      <c r="B143" s="4" t="s">
        <v>5687</v>
      </c>
      <c r="D143" s="9"/>
      <c r="E143" s="17" t="s">
        <v>14</v>
      </c>
      <c r="F143" s="18" t="str">
        <f>HYPERLINK("https://youtu.be/5k9a-9N7I54?t=76",'Players&gt;List'!$B11 &amp; "++" &amp; 'Players&gt;List'!$B29)</f>
        <v>[CHB]++[SYS]</v>
      </c>
      <c r="H143" s="1"/>
      <c r="I143" s="1"/>
      <c r="J143" s="1"/>
      <c r="K143" s="1"/>
      <c r="L143" s="1"/>
      <c r="M143" s="1"/>
      <c r="N143" s="1"/>
    </row>
    <row r="144">
      <c r="A144" s="1"/>
      <c r="B144" s="14" t="s">
        <v>5690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4"/>
    </row>
    <row r="145">
      <c r="A145" s="1"/>
      <c r="B145" s="4" t="s">
        <v>5692</v>
      </c>
      <c r="D145" s="9"/>
      <c r="E145" s="17" t="s">
        <v>14</v>
      </c>
      <c r="F145" s="18" t="str">
        <f>HYPERLINK("https://youtu.be/5k9a-9N7I54?t=139",'Players&gt;List'!$B11 &amp; "++" &amp; 'Players&gt;List'!$B29)</f>
        <v>[CHB]++[SYS]</v>
      </c>
      <c r="H145" s="1"/>
      <c r="I145" s="1"/>
      <c r="J145" s="1"/>
      <c r="K145" s="1"/>
      <c r="L145" s="1"/>
      <c r="M145" s="1"/>
      <c r="N145" s="1"/>
    </row>
    <row r="146">
      <c r="A146" s="1"/>
      <c r="B146" s="14" t="s">
        <v>5696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4"/>
    </row>
    <row r="147">
      <c r="A147" s="1"/>
      <c r="B147" s="4" t="s">
        <v>5698</v>
      </c>
      <c r="D147" s="9"/>
      <c r="E147" s="17" t="s">
        <v>14</v>
      </c>
      <c r="F147" s="18" t="str">
        <f>HYPERLINK("https://youtu.be/8S7lSXdCUCE",'Players&gt;List'!$B11 &amp; "++" &amp; 'Players&gt;List'!$B29)</f>
        <v>[CHB]++[SYS]</v>
      </c>
      <c r="H147" s="1"/>
      <c r="I147" s="1"/>
      <c r="J147" s="1"/>
      <c r="K147" s="1"/>
      <c r="L147" s="1"/>
      <c r="M147" s="1"/>
      <c r="N147" s="1"/>
    </row>
    <row r="148">
      <c r="A148" s="1"/>
      <c r="B148" s="14" t="s">
        <v>5701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4"/>
    </row>
    <row r="149">
      <c r="A149" s="1"/>
      <c r="B149" s="4" t="s">
        <v>5703</v>
      </c>
      <c r="D149" s="9"/>
      <c r="E149" s="17" t="s">
        <v>14</v>
      </c>
      <c r="F149" s="18" t="str">
        <f>HYPERLINK("https://youtu.be/8S7lSXdCUCE?t=17",'Players&gt;List'!$B11 &amp; "++" &amp; 'Players&gt;List'!$B29)</f>
        <v>[CHB]++[SYS]</v>
      </c>
      <c r="H149" s="1"/>
      <c r="I149" s="1"/>
      <c r="J149" s="1"/>
      <c r="K149" s="1"/>
      <c r="L149" s="1"/>
      <c r="M149" s="1"/>
      <c r="N149" s="1"/>
    </row>
    <row r="150">
      <c r="A150" s="1"/>
      <c r="B150" s="14" t="s">
        <v>5707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4"/>
    </row>
    <row r="151">
      <c r="A151" s="1"/>
      <c r="B151" s="4" t="s">
        <v>5709</v>
      </c>
      <c r="D151" s="9"/>
      <c r="E151" s="17" t="s">
        <v>14</v>
      </c>
      <c r="F151" s="18" t="str">
        <f>HYPERLINK("https://youtu.be/8S7lSXdCUCE?t=36",'Players&gt;List'!$B11 &amp; "++" &amp; 'Players&gt;List'!$B29)</f>
        <v>[CHB]++[SYS]</v>
      </c>
      <c r="H151" s="1"/>
      <c r="I151" s="1"/>
      <c r="J151" s="1"/>
      <c r="K151" s="1"/>
      <c r="L151" s="1"/>
      <c r="M151" s="1"/>
      <c r="N151" s="1"/>
    </row>
    <row r="152">
      <c r="A152" s="1"/>
      <c r="B152" s="14" t="s">
        <v>5712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4"/>
    </row>
    <row r="153">
      <c r="A153" s="1"/>
      <c r="B153" s="4" t="s">
        <v>5714</v>
      </c>
      <c r="D153" s="9"/>
      <c r="E153" s="17" t="s">
        <v>14</v>
      </c>
      <c r="F153" s="18" t="str">
        <f>HYPERLINK("https://youtu.be/8S7lSXdCUCE?t=89",'Players&gt;List'!$B11 &amp; "++" &amp; 'Players&gt;List'!$B29)</f>
        <v>[CHB]++[SYS]</v>
      </c>
      <c r="H153" s="1"/>
      <c r="I153" s="1"/>
      <c r="J153" s="1"/>
      <c r="K153" s="1"/>
      <c r="L153" s="1"/>
      <c r="M153" s="1"/>
      <c r="N153" s="1"/>
    </row>
    <row r="154">
      <c r="A154" s="1"/>
      <c r="B154" s="14" t="s">
        <v>5718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4"/>
    </row>
    <row r="155">
      <c r="A155" s="1"/>
      <c r="B155" s="4" t="s">
        <v>5720</v>
      </c>
      <c r="D155" s="9"/>
      <c r="E155" s="17" t="s">
        <v>14</v>
      </c>
      <c r="F155" s="18" t="str">
        <f>HYPERLINK("https://youtu.be/8S7lSXdCUCE?t=105",'Players&gt;List'!$B11 &amp; "++" &amp; 'Players&gt;List'!$B29)</f>
        <v>[CHB]++[SYS]</v>
      </c>
      <c r="H155" s="1"/>
      <c r="I155" s="1"/>
      <c r="J155" s="1"/>
      <c r="K155" s="1"/>
      <c r="L155" s="1"/>
      <c r="M155" s="1"/>
      <c r="N155" s="1"/>
    </row>
    <row r="156">
      <c r="A156" s="1"/>
      <c r="B156" s="14" t="s">
        <v>5723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4"/>
    </row>
    <row r="157">
      <c r="A157" s="1"/>
      <c r="B157" s="4" t="s">
        <v>5725</v>
      </c>
      <c r="D157" s="9"/>
      <c r="E157" s="17" t="s">
        <v>14</v>
      </c>
      <c r="F157" s="18" t="str">
        <f>HYPERLINK("https://www.youtube.com/watch?v=VfBHAdR4Q9o",'Players&gt;List'!$B11 &amp; "++" &amp; 'Players&gt;List'!$B29)</f>
        <v>[CHB]++[SYS]</v>
      </c>
      <c r="H157" s="1"/>
      <c r="I157" s="1"/>
      <c r="J157" s="1"/>
      <c r="K157" s="1"/>
      <c r="L157" s="1"/>
      <c r="M157" s="1"/>
      <c r="N157" s="1"/>
    </row>
    <row r="158">
      <c r="A158" s="1"/>
      <c r="B158" s="14" t="s">
        <v>5729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4"/>
    </row>
    <row r="159">
      <c r="A159" s="1"/>
      <c r="B159" s="4" t="s">
        <v>5731</v>
      </c>
      <c r="D159" s="9"/>
      <c r="E159" s="17" t="s">
        <v>14</v>
      </c>
      <c r="F159" s="18" t="str">
        <f>HYPERLINK("https://youtu.be/VfBHAdR4Q9o?t=23",'Players&gt;List'!$B11 &amp; "++" &amp; 'Players&gt;List'!$B29)</f>
        <v>[CHB]++[SYS]</v>
      </c>
      <c r="H159" s="1"/>
      <c r="I159" s="1"/>
      <c r="J159" s="1"/>
      <c r="K159" s="1"/>
      <c r="L159" s="1"/>
      <c r="M159" s="1"/>
      <c r="N159" s="1"/>
    </row>
    <row r="160">
      <c r="A160" s="1"/>
      <c r="B160" s="14" t="s">
        <v>5734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4"/>
    </row>
    <row r="161">
      <c r="A161" s="1"/>
      <c r="B161" s="4" t="s">
        <v>5736</v>
      </c>
      <c r="D161" s="9"/>
      <c r="E161" s="17" t="s">
        <v>14</v>
      </c>
      <c r="F161" s="18" t="str">
        <f>HYPERLINK("https://youtu.be/VfBHAdR4Q9o?t=54",'Players&gt;List'!$B11 &amp; "++" &amp; 'Players&gt;List'!$B29)</f>
        <v>[CHB]++[SYS]</v>
      </c>
      <c r="H161" s="1"/>
      <c r="I161" s="1"/>
      <c r="J161" s="1"/>
      <c r="K161" s="1"/>
      <c r="L161" s="1"/>
      <c r="M161" s="1"/>
      <c r="N161" s="1"/>
    </row>
    <row r="162">
      <c r="A162" s="1"/>
      <c r="B162" s="14" t="s">
        <v>5740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4"/>
    </row>
    <row r="163">
      <c r="A163" s="1"/>
      <c r="B163" s="4" t="s">
        <v>5742</v>
      </c>
      <c r="D163" s="9"/>
      <c r="E163" s="17" t="s">
        <v>14</v>
      </c>
      <c r="F163" s="18" t="str">
        <f>HYPERLINK("https://youtu.be/VfBHAdR4Q9o?t=69",'Players&gt;List'!$B11 &amp; "++" &amp; 'Players&gt;List'!$B29)</f>
        <v>[CHB]++[SYS]</v>
      </c>
      <c r="H163" s="1"/>
      <c r="I163" s="1"/>
      <c r="J163" s="1"/>
      <c r="K163" s="1"/>
      <c r="L163" s="1"/>
      <c r="M163" s="1"/>
      <c r="N163" s="1"/>
    </row>
    <row r="164">
      <c r="A164" s="1"/>
      <c r="B164" s="14" t="s">
        <v>5746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4"/>
    </row>
    <row r="165">
      <c r="A165" s="1"/>
      <c r="B165" s="4" t="s">
        <v>5748</v>
      </c>
      <c r="D165" s="9"/>
      <c r="E165" s="17" t="s">
        <v>14</v>
      </c>
      <c r="F165" s="18" t="str">
        <f>HYPERLINK("https://youtu.be/VfBHAdR4Q9o?t=106",'Players&gt;List'!$B11 &amp; "++" &amp; 'Players&gt;List'!$B29)</f>
        <v>[CHB]++[SYS]</v>
      </c>
      <c r="H165" s="1"/>
      <c r="I165" s="1"/>
      <c r="J165" s="1"/>
      <c r="K165" s="1"/>
      <c r="L165" s="1"/>
      <c r="M165" s="1"/>
      <c r="N165" s="1"/>
    </row>
    <row r="166">
      <c r="A166" s="1"/>
      <c r="B166" s="14" t="s">
        <v>5750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4"/>
    </row>
    <row r="167">
      <c r="A167" s="1"/>
      <c r="B167" s="4" t="s">
        <v>5752</v>
      </c>
      <c r="D167" s="9"/>
      <c r="E167" s="17" t="s">
        <v>14</v>
      </c>
      <c r="F167" s="18" t="str">
        <f>HYPERLINK("https://www.youtube.com/watch?v=jfFECcSNoPU",'Players&gt;List'!$B11 &amp; "++" &amp; 'Players&gt;List'!$B29)</f>
        <v>[CHB]++[SYS]</v>
      </c>
      <c r="H167" s="1"/>
      <c r="I167" s="1"/>
      <c r="J167" s="1"/>
      <c r="K167" s="1"/>
      <c r="L167" s="1"/>
      <c r="M167" s="1"/>
      <c r="N167" s="1"/>
    </row>
    <row r="168">
      <c r="A168" s="1"/>
      <c r="B168" s="14" t="s">
        <v>5756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4"/>
    </row>
    <row r="169">
      <c r="A169" s="1"/>
      <c r="B169" s="4" t="s">
        <v>5758</v>
      </c>
      <c r="D169" s="9"/>
      <c r="E169" s="17" t="s">
        <v>14</v>
      </c>
      <c r="F169" s="18" t="str">
        <f>HYPERLINK("https://youtu.be/jfFECcSNoPU?t=31",'Players&gt;List'!$B11 &amp; "++" &amp; 'Players&gt;List'!$B29)</f>
        <v>[CHB]++[SYS]</v>
      </c>
      <c r="H169" s="1"/>
      <c r="I169" s="1"/>
      <c r="J169" s="1"/>
      <c r="K169" s="1"/>
      <c r="L169" s="1"/>
      <c r="M169" s="1"/>
      <c r="N169" s="1"/>
    </row>
    <row r="170">
      <c r="A170" s="1"/>
      <c r="B170" s="14" t="s">
        <v>5762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4"/>
    </row>
    <row r="171">
      <c r="A171" s="1"/>
      <c r="B171" s="4" t="s">
        <v>5765</v>
      </c>
      <c r="D171" s="9"/>
      <c r="E171" s="17" t="s">
        <v>14</v>
      </c>
      <c r="F171" s="18" t="str">
        <f>HYPERLINK("https://youtu.be/jfFECcSNoPU?t=52",'Players&gt;List'!$B11 &amp; "++" &amp; 'Players&gt;List'!$B29)</f>
        <v>[CHB]++[SYS]</v>
      </c>
      <c r="H171" s="1"/>
      <c r="I171" s="1"/>
      <c r="J171" s="1"/>
      <c r="K171" s="1"/>
      <c r="L171" s="1"/>
      <c r="M171" s="1"/>
      <c r="N171" s="1"/>
    </row>
    <row r="172">
      <c r="A172" s="1"/>
      <c r="B172" s="14" t="s">
        <v>5769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4"/>
    </row>
    <row r="173">
      <c r="A173" s="1"/>
      <c r="B173" s="4" t="s">
        <v>5771</v>
      </c>
      <c r="D173" s="9"/>
      <c r="E173" s="17" t="s">
        <v>14</v>
      </c>
      <c r="F173" s="18" t="str">
        <f>HYPERLINK("https://youtu.be/jfFECcSNoPU?t=65",'Players&gt;List'!$B11 &amp; "++" &amp; 'Players&gt;List'!$B29)</f>
        <v>[CHB]++[SYS]</v>
      </c>
      <c r="H173" s="1"/>
      <c r="I173" s="1"/>
      <c r="J173" s="1"/>
      <c r="K173" s="1"/>
      <c r="L173" s="1"/>
      <c r="M173" s="1"/>
      <c r="N173" s="1"/>
    </row>
    <row r="174">
      <c r="A174" s="1"/>
      <c r="B174" s="14" t="s">
        <v>5775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4"/>
    </row>
    <row r="175">
      <c r="A175" s="1"/>
      <c r="B175" s="4" t="s">
        <v>5778</v>
      </c>
      <c r="D175" s="9"/>
      <c r="E175" s="17" t="s">
        <v>14</v>
      </c>
      <c r="F175" s="18" t="str">
        <f>HYPERLINK("https://youtu.be/jfFECcSNoPU?t=95",'Players&gt;List'!$B11 &amp; "++" &amp; 'Players&gt;List'!$B29)</f>
        <v>[CHB]++[SYS]</v>
      </c>
      <c r="H175" s="1"/>
      <c r="I175" s="1"/>
      <c r="J175" s="1"/>
      <c r="K175" s="1"/>
      <c r="L175" s="1"/>
      <c r="M175" s="1"/>
      <c r="N175" s="1"/>
    </row>
    <row r="176">
      <c r="A176" s="1"/>
      <c r="B176" s="14" t="s">
        <v>5781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4"/>
    </row>
    <row r="177">
      <c r="A177" s="1"/>
      <c r="B177" s="4" t="s">
        <v>5784</v>
      </c>
      <c r="D177" s="9"/>
      <c r="E177" s="17" t="s">
        <v>14</v>
      </c>
      <c r="F177" s="18" t="str">
        <f>HYPERLINK("https://www.youtube.com/watch?v=RhlOXvtN5xY",'Players&gt;List'!$B11 &amp; "++" &amp; 'Players&gt;List'!$B29)</f>
        <v>[CHB]++[SYS]</v>
      </c>
      <c r="H177" s="1"/>
      <c r="I177" s="1"/>
      <c r="J177" s="1"/>
      <c r="K177" s="1"/>
      <c r="L177" s="1"/>
      <c r="M177" s="1"/>
      <c r="N177" s="1"/>
    </row>
    <row r="178">
      <c r="A178" s="1"/>
      <c r="B178" s="14" t="s">
        <v>5787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4"/>
    </row>
    <row r="179">
      <c r="A179" s="1"/>
      <c r="B179" s="4" t="s">
        <v>5789</v>
      </c>
      <c r="D179" s="9"/>
      <c r="E179" s="17" t="s">
        <v>14</v>
      </c>
      <c r="F179" s="18" t="str">
        <f>HYPERLINK("https://youtu.be/RhlOXvtN5xY?t=34",'Players&gt;List'!$B11 &amp; "++" &amp; 'Players&gt;List'!$B29)</f>
        <v>[CHB]++[SYS]</v>
      </c>
      <c r="H179" s="1"/>
      <c r="I179" s="1"/>
      <c r="J179" s="1"/>
      <c r="K179" s="1"/>
      <c r="L179" s="1"/>
      <c r="M179" s="1"/>
      <c r="N179" s="1"/>
    </row>
    <row r="180">
      <c r="A180" s="1"/>
      <c r="B180" s="14" t="s">
        <v>5793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4"/>
    </row>
    <row r="181">
      <c r="A181" s="1"/>
      <c r="B181" s="4" t="s">
        <v>5795</v>
      </c>
      <c r="D181" s="9"/>
      <c r="E181" s="17" t="s">
        <v>14</v>
      </c>
      <c r="F181" s="18" t="str">
        <f>HYPERLINK("https://youtu.be/RhlOXvtN5xY?t=53",'Players&gt;List'!$B11 &amp; "++" &amp; 'Players&gt;List'!$B29)</f>
        <v>[CHB]++[SYS]</v>
      </c>
      <c r="H181" s="1"/>
      <c r="I181" s="1"/>
      <c r="J181" s="1"/>
      <c r="K181" s="1"/>
      <c r="L181" s="1"/>
      <c r="M181" s="1"/>
      <c r="N181" s="1"/>
    </row>
    <row r="182">
      <c r="A182" s="1"/>
      <c r="B182" s="14" t="s">
        <v>5799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4"/>
    </row>
    <row r="183">
      <c r="A183" s="1"/>
      <c r="B183" s="4" t="s">
        <v>5801</v>
      </c>
      <c r="D183" s="9"/>
      <c r="E183" s="17" t="s">
        <v>14</v>
      </c>
      <c r="F183" s="18" t="str">
        <f>HYPERLINK("https://youtu.be/RhlOXvtN5xY?t=92",'Players&gt;List'!$B11 &amp; "++" &amp; 'Players&gt;List'!$B29)</f>
        <v>[CHB]++[SYS]</v>
      </c>
      <c r="H183" s="1"/>
      <c r="I183" s="1"/>
      <c r="J183" s="1"/>
      <c r="K183" s="1"/>
      <c r="L183" s="1"/>
      <c r="M183" s="1"/>
      <c r="N183" s="1"/>
    </row>
    <row r="184">
      <c r="A184" s="1"/>
      <c r="B184" s="14" t="s">
        <v>5804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4"/>
    </row>
    <row r="185">
      <c r="A185" s="1"/>
      <c r="B185" s="4" t="s">
        <v>5806</v>
      </c>
      <c r="D185" s="9"/>
      <c r="E185" s="17" t="s">
        <v>14</v>
      </c>
      <c r="F185" s="18" t="str">
        <f>HYPERLINK("https://youtu.be/RhlOXvtN5xY?t=108",'Players&gt;List'!$B11 &amp; "++" &amp; 'Players&gt;List'!$B29)</f>
        <v>[CHB]++[SYS]</v>
      </c>
      <c r="H185" s="1"/>
      <c r="I185" s="1"/>
      <c r="J185" s="1"/>
      <c r="K185" s="1"/>
      <c r="L185" s="1"/>
      <c r="M185" s="1"/>
      <c r="N185" s="1"/>
    </row>
    <row r="186">
      <c r="A186" s="1"/>
      <c r="B186" s="14" t="s">
        <v>5810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4"/>
    </row>
    <row r="187">
      <c r="A187" s="1"/>
      <c r="B187" s="4" t="s">
        <v>5812</v>
      </c>
      <c r="D187" s="9"/>
      <c r="E187" s="17" t="s">
        <v>14</v>
      </c>
      <c r="F187" s="18" t="str">
        <f>HYPERLINK("https://www.youtube.com/watch?v=B8HIuGUU5cE",'Players&gt;List'!$B11 &amp; "++" &amp; 'Players&gt;List'!$B29)</f>
        <v>[CHB]++[SYS]</v>
      </c>
      <c r="H187" s="1"/>
      <c r="I187" s="1"/>
      <c r="J187" s="1"/>
      <c r="K187" s="1"/>
      <c r="L187" s="1"/>
      <c r="M187" s="1"/>
      <c r="N187" s="1"/>
    </row>
    <row r="188">
      <c r="A188" s="1"/>
      <c r="B188" s="14" t="s">
        <v>5815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4"/>
    </row>
    <row r="189">
      <c r="A189" s="1"/>
      <c r="B189" s="4" t="s">
        <v>5817</v>
      </c>
      <c r="D189" s="9"/>
      <c r="E189" s="17" t="s">
        <v>14</v>
      </c>
      <c r="F189" s="18" t="str">
        <f>HYPERLINK("https://youtu.be/B8HIuGUU5cE?t=35",'Players&gt;List'!$B11 &amp; "++" &amp; 'Players&gt;List'!$B29)</f>
        <v>[CHB]++[SYS]</v>
      </c>
      <c r="H189" s="1"/>
      <c r="I189" s="1"/>
      <c r="J189" s="1"/>
      <c r="K189" s="1"/>
      <c r="L189" s="1"/>
      <c r="M189" s="1"/>
      <c r="N189" s="1"/>
    </row>
    <row r="190">
      <c r="A190" s="1"/>
      <c r="B190" s="14" t="s">
        <v>5820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4"/>
    </row>
    <row r="191">
      <c r="A191" s="1"/>
      <c r="B191" s="4" t="s">
        <v>5822</v>
      </c>
      <c r="D191" s="9"/>
      <c r="E191" s="17" t="s">
        <v>14</v>
      </c>
      <c r="F191" s="18" t="str">
        <f>HYPERLINK("https://youtu.be/B8HIuGUU5cE?t=84",'Players&gt;List'!$B11 &amp; "++" &amp; 'Players&gt;List'!$B29)</f>
        <v>[CHB]++[SYS]</v>
      </c>
      <c r="H191" s="1"/>
      <c r="I191" s="1"/>
      <c r="J191" s="1"/>
      <c r="K191" s="1"/>
      <c r="L191" s="1"/>
      <c r="M191" s="1"/>
      <c r="N191" s="1"/>
    </row>
    <row r="192">
      <c r="A192" s="1"/>
      <c r="B192" s="14" t="s">
        <v>5826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4"/>
    </row>
    <row r="193">
      <c r="A193" s="1"/>
      <c r="B193" s="4" t="s">
        <v>5828</v>
      </c>
      <c r="D193" s="9"/>
      <c r="E193" s="17" t="s">
        <v>14</v>
      </c>
      <c r="F193" s="18" t="str">
        <f>HYPERLINK("https://youtu.be/B8HIuGUU5cE?t=115",'Players&gt;List'!$B11 &amp; "++" &amp; 'Players&gt;List'!$B29)</f>
        <v>[CHB]++[SYS]</v>
      </c>
      <c r="H193" s="1"/>
      <c r="I193" s="1"/>
      <c r="J193" s="1"/>
      <c r="K193" s="1"/>
      <c r="L193" s="1"/>
      <c r="M193" s="1"/>
      <c r="N193" s="1"/>
    </row>
    <row r="194">
      <c r="A194" s="1"/>
      <c r="B194" s="14" t="s">
        <v>5831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4"/>
    </row>
    <row r="195">
      <c r="A195" s="1"/>
      <c r="B195" s="4" t="s">
        <v>5833</v>
      </c>
      <c r="D195" s="9"/>
      <c r="E195" s="17" t="s">
        <v>14</v>
      </c>
      <c r="F195" s="18" t="str">
        <f>HYPERLINK("https://youtu.be/B8HIuGUU5cE?t=132",'Players&gt;List'!$B11 &amp; "++" &amp; 'Players&gt;List'!$B29)</f>
        <v>[CHB]++[SYS]</v>
      </c>
      <c r="H195" s="1"/>
      <c r="I195" s="1"/>
      <c r="J195" s="1"/>
      <c r="K195" s="1"/>
      <c r="L195" s="1"/>
      <c r="M195" s="1"/>
      <c r="N195" s="1"/>
    </row>
    <row r="196">
      <c r="A196" s="1"/>
      <c r="B196" s="14" t="s">
        <v>5837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4"/>
    </row>
    <row r="197">
      <c r="A197" s="1"/>
      <c r="B197" s="4" t="s">
        <v>5839</v>
      </c>
      <c r="D197" s="9"/>
      <c r="E197" s="17" t="s">
        <v>14</v>
      </c>
      <c r="F197" s="18" t="str">
        <f>HYPERLINK("https://youtu.be/95LURVT1hHU?t=3",'Players&gt;List'!$B11 &amp; "++" &amp; 'Players&gt;List'!$B29)</f>
        <v>[CHB]++[SYS]</v>
      </c>
      <c r="H197" s="1"/>
      <c r="I197" s="1"/>
      <c r="J197" s="1"/>
      <c r="K197" s="1"/>
      <c r="L197" s="1"/>
      <c r="M197" s="1"/>
      <c r="N197" s="1"/>
    </row>
    <row r="198">
      <c r="A198" s="1"/>
      <c r="B198" s="14" t="s">
        <v>5843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4"/>
    </row>
    <row r="199">
      <c r="A199" s="1"/>
      <c r="B199" s="4" t="s">
        <v>5845</v>
      </c>
      <c r="D199" s="9"/>
      <c r="E199" s="17" t="s">
        <v>14</v>
      </c>
      <c r="F199" s="18" t="str">
        <f>HYPERLINK("https://youtu.be/95LURVT1hHU?t=41",'Players&gt;List'!$B11 &amp; "++" &amp; 'Players&gt;List'!$B29)</f>
        <v>[CHB]++[SYS]</v>
      </c>
      <c r="H199" s="1"/>
      <c r="I199" s="1"/>
      <c r="J199" s="1"/>
      <c r="K199" s="1"/>
      <c r="L199" s="1"/>
      <c r="M199" s="1"/>
      <c r="N199" s="1"/>
    </row>
    <row r="200">
      <c r="A200" s="1"/>
      <c r="B200" s="14" t="s">
        <v>5848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4"/>
    </row>
    <row r="201">
      <c r="A201" s="1"/>
      <c r="B201" s="4" t="s">
        <v>5850</v>
      </c>
      <c r="D201" s="9"/>
      <c r="E201" s="17" t="s">
        <v>14</v>
      </c>
      <c r="F201" s="18" t="str">
        <f>HYPERLINK("https://youtu.be/95LURVT1hHU?t=106",'Players&gt;List'!$B11 &amp; "++" &amp; 'Players&gt;List'!$B29)</f>
        <v>[CHB]++[SYS]</v>
      </c>
      <c r="H201" s="1"/>
      <c r="I201" s="1"/>
      <c r="J201" s="1"/>
      <c r="K201" s="1"/>
      <c r="L201" s="1"/>
      <c r="M201" s="1"/>
      <c r="N201" s="1"/>
    </row>
    <row r="202">
      <c r="A202" s="1"/>
      <c r="B202" s="14" t="s">
        <v>5854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4"/>
    </row>
    <row r="203">
      <c r="A203" s="1"/>
      <c r="B203" s="4" t="s">
        <v>5855</v>
      </c>
      <c r="D203" s="9"/>
      <c r="E203" s="17" t="s">
        <v>14</v>
      </c>
      <c r="F203" s="18" t="str">
        <f>HYPERLINK("https://youtu.be/95LURVT1hHU?t=141",'Players&gt;List'!$B11 &amp; "++" &amp; 'Players&gt;List'!$B29)</f>
        <v>[CHB]++[SYS]</v>
      </c>
      <c r="H203" s="1"/>
      <c r="I203" s="1"/>
      <c r="J203" s="1"/>
      <c r="K203" s="1"/>
      <c r="L203" s="1"/>
      <c r="M203" s="1"/>
      <c r="N203" s="4"/>
    </row>
    <row r="204">
      <c r="A204" s="1"/>
      <c r="B204" s="14" t="s">
        <v>5857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4"/>
    </row>
    <row r="205">
      <c r="A205" s="1"/>
      <c r="B205" s="4" t="s">
        <v>5859</v>
      </c>
      <c r="D205" s="9"/>
      <c r="E205" s="17" t="s">
        <v>14</v>
      </c>
      <c r="F205" s="18" t="str">
        <f>HYPERLINK("https://youtu.be/95LURVT1hHU?t=164",'Players&gt;List'!$B11 &amp; "++" &amp; 'Players&gt;List'!$B29)</f>
        <v>[CHB]++[SYS]</v>
      </c>
      <c r="H205" s="1"/>
      <c r="I205" s="1"/>
      <c r="J205" s="1"/>
      <c r="K205" s="1"/>
      <c r="L205" s="1"/>
      <c r="M205" s="1"/>
      <c r="N205" s="4"/>
    </row>
    <row r="206">
      <c r="A206" s="1"/>
      <c r="B206" s="14" t="s">
        <v>5862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4"/>
    </row>
    <row r="207">
      <c r="A207" s="1"/>
      <c r="B207" s="4" t="s">
        <v>5866</v>
      </c>
      <c r="D207" s="9"/>
      <c r="E207" s="17" t="s">
        <v>14</v>
      </c>
      <c r="F207" s="18" t="str">
        <f>HYPERLINK("https://www.youtube.com/watch?v=rfaTxloBAf0",'Players&gt;List'!$B11 &amp; "++" &amp; 'Players&gt;List'!$B29)</f>
        <v>[CHB]++[SYS]</v>
      </c>
      <c r="H207" s="1"/>
      <c r="I207" s="1"/>
      <c r="J207" s="1"/>
      <c r="K207" s="1"/>
      <c r="L207" s="1"/>
      <c r="M207" s="1"/>
      <c r="N207" s="4"/>
    </row>
    <row r="208">
      <c r="A208" s="1"/>
      <c r="B208" s="14" t="s">
        <v>5869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4"/>
    </row>
    <row r="209">
      <c r="A209" s="1"/>
      <c r="B209" s="4" t="s">
        <v>5871</v>
      </c>
      <c r="D209" s="9"/>
      <c r="E209" s="17" t="s">
        <v>14</v>
      </c>
      <c r="F209" s="18" t="str">
        <f>HYPERLINK("https://youtu.be/rfaTxloBAf0?t=21",'Players&gt;List'!$B11 &amp; "++" &amp; 'Players&gt;List'!$B29)</f>
        <v>[CHB]++[SYS]</v>
      </c>
      <c r="H209" s="1"/>
      <c r="I209" s="1"/>
      <c r="J209" s="1"/>
      <c r="K209" s="1"/>
      <c r="L209" s="1"/>
      <c r="M209" s="1"/>
      <c r="N209" s="1"/>
    </row>
    <row r="210">
      <c r="A210" s="1"/>
      <c r="B210" s="14" t="s">
        <v>5874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4"/>
    </row>
    <row r="211">
      <c r="A211" s="1"/>
      <c r="B211" s="4" t="s">
        <v>5876</v>
      </c>
      <c r="D211" s="9"/>
      <c r="E211" s="17" t="s">
        <v>14</v>
      </c>
      <c r="F211" s="18" t="str">
        <f>HYPERLINK("https://youtu.be/rfaTxloBAf0?t=60",'Players&gt;List'!$B11 &amp; "++" &amp; 'Players&gt;List'!$B29)</f>
        <v>[CHB]++[SYS]</v>
      </c>
      <c r="H211" s="1"/>
      <c r="I211" s="1"/>
      <c r="J211" s="1"/>
      <c r="K211" s="1"/>
      <c r="L211" s="1"/>
      <c r="M211" s="1"/>
      <c r="N211" s="1"/>
    </row>
    <row r="212">
      <c r="A212" s="1"/>
      <c r="B212" s="14" t="s">
        <v>5879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4"/>
    </row>
    <row r="213">
      <c r="A213" s="1"/>
      <c r="B213" s="4" t="s">
        <v>5881</v>
      </c>
      <c r="D213" s="9"/>
      <c r="E213" s="17" t="s">
        <v>14</v>
      </c>
      <c r="F213" s="18" t="str">
        <f>HYPERLINK("https://youtu.be/rfaTxloBAf0?t=76",'Players&gt;List'!$B11 &amp; "++" &amp; 'Players&gt;List'!$B29)</f>
        <v>[CHB]++[SYS]</v>
      </c>
      <c r="H213" s="1"/>
      <c r="I213" s="1"/>
      <c r="J213" s="1"/>
      <c r="K213" s="1"/>
      <c r="L213" s="1"/>
      <c r="M213" s="1"/>
      <c r="N213" s="1"/>
    </row>
    <row r="214">
      <c r="A214" s="1"/>
      <c r="B214" s="14" t="s">
        <v>5884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4"/>
    </row>
    <row r="215">
      <c r="A215" s="1"/>
      <c r="B215" s="4" t="s">
        <v>5887</v>
      </c>
      <c r="D215" s="9"/>
      <c r="E215" s="17" t="s">
        <v>14</v>
      </c>
      <c r="F215" s="18" t="str">
        <f>HYPERLINK("https://youtu.be/rfaTxloBAf0?t=97",'Players&gt;List'!$B11 &amp; "++" &amp; 'Players&gt;List'!$B29)</f>
        <v>[CHB]++[SYS]</v>
      </c>
      <c r="H215" s="1"/>
      <c r="I215" s="1"/>
      <c r="J215" s="1"/>
      <c r="K215" s="1"/>
      <c r="L215" s="1"/>
      <c r="M215" s="1"/>
      <c r="N215" s="1"/>
    </row>
    <row r="216">
      <c r="A216" s="1"/>
      <c r="B216" s="14" t="s">
        <v>5890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4"/>
    </row>
    <row r="217">
      <c r="A217" s="1"/>
      <c r="B217" s="4" t="s">
        <v>5892</v>
      </c>
      <c r="D217" s="9"/>
      <c r="E217" s="17" t="s">
        <v>14</v>
      </c>
      <c r="F217" s="18" t="str">
        <f>HYPERLINK("https://www.youtube.com/watch?v=VwgnpuC4uUU",'Players&gt;List'!$B11 &amp; "++" &amp; 'Players&gt;List'!$B29)</f>
        <v>[CHB]++[SYS]</v>
      </c>
      <c r="H217" s="1"/>
      <c r="I217" s="1"/>
      <c r="J217" s="1"/>
      <c r="K217" s="1"/>
      <c r="L217" s="1"/>
      <c r="M217" s="1"/>
      <c r="N217" s="1"/>
    </row>
    <row r="218">
      <c r="A218" s="1"/>
      <c r="B218" s="14" t="s">
        <v>5895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4"/>
    </row>
    <row r="219">
      <c r="A219" s="1"/>
      <c r="B219" s="4" t="s">
        <v>5897</v>
      </c>
      <c r="D219" s="9"/>
      <c r="E219" s="17" t="s">
        <v>14</v>
      </c>
      <c r="F219" s="18" t="str">
        <f>HYPERLINK("https://youtu.be/VwgnpuC4uUU?t=25",'Players&gt;List'!$B11 &amp; "++" &amp; 'Players&gt;List'!$B29)</f>
        <v>[CHB]++[SYS]</v>
      </c>
      <c r="H219" s="1"/>
      <c r="I219" s="1"/>
      <c r="J219" s="1"/>
      <c r="K219" s="1"/>
      <c r="L219" s="1"/>
      <c r="M219" s="1"/>
      <c r="N219" s="1"/>
    </row>
    <row r="220">
      <c r="A220" s="1"/>
      <c r="B220" s="14" t="s">
        <v>5901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4"/>
    </row>
    <row r="221">
      <c r="A221" s="1"/>
      <c r="B221" s="4" t="s">
        <v>5903</v>
      </c>
      <c r="D221" s="9"/>
      <c r="E221" s="17" t="s">
        <v>14</v>
      </c>
      <c r="F221" s="18" t="str">
        <f>HYPERLINK("https://youtu.be/VwgnpuC4uUU?t=65",'Players&gt;List'!$B11 &amp; "++" &amp; 'Players&gt;List'!$B29)</f>
        <v>[CHB]++[SYS]</v>
      </c>
      <c r="H221" s="1"/>
      <c r="I221" s="1"/>
      <c r="J221" s="1"/>
      <c r="K221" s="1"/>
      <c r="L221" s="1"/>
      <c r="M221" s="1"/>
      <c r="N221" s="1"/>
    </row>
    <row r="222">
      <c r="A222" s="1"/>
      <c r="B222" s="14" t="s">
        <v>5907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4"/>
    </row>
    <row r="223">
      <c r="A223" s="1"/>
      <c r="B223" s="4" t="s">
        <v>5909</v>
      </c>
      <c r="D223" s="9"/>
      <c r="E223" s="17" t="s">
        <v>14</v>
      </c>
      <c r="F223" s="18" t="str">
        <f>HYPERLINK("https://youtu.be/VwgnpuC4uUU?t=81",'Players&gt;List'!$B11 &amp; "++" &amp; 'Players&gt;List'!$B29)</f>
        <v>[CHB]++[SYS]</v>
      </c>
      <c r="H223" s="1"/>
      <c r="I223" s="1"/>
      <c r="J223" s="1"/>
      <c r="K223" s="1"/>
      <c r="L223" s="1"/>
      <c r="M223" s="1"/>
      <c r="N223" s="1"/>
    </row>
    <row r="224">
      <c r="A224" s="1"/>
      <c r="B224" s="14" t="s">
        <v>5913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4"/>
    </row>
    <row r="225">
      <c r="A225" s="1"/>
      <c r="B225" s="4" t="s">
        <v>5915</v>
      </c>
      <c r="D225" s="9"/>
      <c r="E225" s="17" t="s">
        <v>14</v>
      </c>
      <c r="F225" s="18" t="str">
        <f>HYPERLINK("https://youtu.be/VwgnpuC4uUU?t=108",'Players&gt;List'!$B11 &amp; "++" &amp; 'Players&gt;List'!$B29)</f>
        <v>[CHB]++[SYS]</v>
      </c>
      <c r="H225" s="1"/>
      <c r="I225" s="1"/>
      <c r="J225" s="1"/>
      <c r="K225" s="1"/>
      <c r="L225" s="1"/>
      <c r="M225" s="1"/>
      <c r="N225" s="1"/>
    </row>
    <row r="226">
      <c r="A226" s="1"/>
      <c r="B226" s="14" t="s">
        <v>5918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4"/>
    </row>
    <row r="227">
      <c r="A227" s="1"/>
      <c r="B227" s="4" t="s">
        <v>5921</v>
      </c>
      <c r="D227" s="9"/>
      <c r="E227" s="17" t="s">
        <v>14</v>
      </c>
      <c r="F227" s="18" t="str">
        <f>HYPERLINK("https://www.youtube.com/watch?v=nIt7ESWi_uI&amp;t=5",'Players&gt;List'!$B11 &amp; "++" &amp; 'Players&gt;List'!$B29)</f>
        <v>[CHB]++[SYS]</v>
      </c>
      <c r="H227" s="1"/>
      <c r="I227" s="1"/>
      <c r="J227" s="1"/>
      <c r="K227" s="1"/>
      <c r="L227" s="1"/>
      <c r="M227" s="1"/>
      <c r="N227" s="1"/>
    </row>
    <row r="228">
      <c r="A228" s="1"/>
      <c r="B228" s="14" t="s">
        <v>5924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4"/>
    </row>
    <row r="229">
      <c r="A229" s="1"/>
      <c r="B229" s="4" t="s">
        <v>5927</v>
      </c>
      <c r="D229" s="9"/>
      <c r="E229" s="17" t="s">
        <v>14</v>
      </c>
      <c r="F229" s="18" t="str">
        <f>HYPERLINK("https://youtu.be/nIt7ESWi_uI?t=47",'Players&gt;List'!$B11 &amp; "++" &amp; 'Players&gt;List'!$B29)</f>
        <v>[CHB]++[SYS]</v>
      </c>
      <c r="H229" s="1"/>
      <c r="I229" s="1"/>
      <c r="J229" s="1"/>
      <c r="K229" s="1"/>
      <c r="L229" s="1"/>
      <c r="M229" s="1"/>
      <c r="N229" s="1"/>
    </row>
    <row r="230">
      <c r="A230" s="1"/>
      <c r="B230" s="14" t="s">
        <v>5930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4"/>
    </row>
    <row r="231">
      <c r="A231" s="1"/>
      <c r="B231" s="4" t="s">
        <v>5933</v>
      </c>
      <c r="D231" s="9"/>
      <c r="E231" s="17" t="s">
        <v>14</v>
      </c>
      <c r="F231" s="18" t="str">
        <f>HYPERLINK("https://youtu.be/nIt7ESWi_uI?t=82",'Players&gt;List'!$B11 &amp; "++" &amp; 'Players&gt;List'!$B29)</f>
        <v>[CHB]++[SYS]</v>
      </c>
      <c r="H231" s="1"/>
      <c r="I231" s="1"/>
      <c r="J231" s="1"/>
      <c r="K231" s="1"/>
      <c r="L231" s="1"/>
      <c r="M231" s="1"/>
      <c r="N231" s="1"/>
    </row>
    <row r="232">
      <c r="A232" s="1"/>
      <c r="B232" s="14" t="s">
        <v>5936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"/>
    </row>
    <row r="233">
      <c r="A233" s="1"/>
      <c r="B233" s="4" t="s">
        <v>5939</v>
      </c>
      <c r="D233" s="9"/>
      <c r="E233" s="17" t="s">
        <v>14</v>
      </c>
      <c r="F233" s="18" t="str">
        <f>HYPERLINK("https://www.youtube.com/watch?v=vfrhhjme16U",'Players&gt;List'!$B14)</f>
        <v>[ESP]</v>
      </c>
      <c r="H233" s="18" t="str">
        <f>HYPERLINK("https://youtu.be/nIt7ESWi_uI?t=105",'Players&gt;List'!$B11 &amp; "++" &amp; 'Players&gt;List'!$B29)</f>
        <v>[CHB]++[SYS]</v>
      </c>
      <c r="J233" s="1"/>
      <c r="K233" s="1"/>
      <c r="L233" s="1"/>
      <c r="M233" s="1"/>
      <c r="N233" s="4"/>
    </row>
    <row r="234">
      <c r="A234" s="1"/>
      <c r="B234" s="14" t="s">
        <v>5942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"/>
    </row>
    <row r="235">
      <c r="A235" s="1"/>
      <c r="B235" s="4" t="s">
        <v>5945</v>
      </c>
      <c r="D235" s="9"/>
      <c r="E235" s="17" t="s">
        <v>14</v>
      </c>
      <c r="F235" s="18" t="str">
        <f>HYPERLINK("https://youtu.be/nIt7ESWi_uI?t=150",'Players&gt;List'!$B11 &amp; "++" &amp; 'Players&gt;List'!$B29)</f>
        <v>[CHB]++[SYS]</v>
      </c>
      <c r="H235" s="1"/>
      <c r="I235" s="1"/>
      <c r="J235" s="1"/>
      <c r="K235" s="1"/>
      <c r="L235" s="1"/>
      <c r="M235" s="1"/>
      <c r="N235" s="1"/>
    </row>
    <row r="236">
      <c r="A236" s="1"/>
      <c r="B236" s="14" t="s">
        <v>5948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"/>
    </row>
    <row r="237">
      <c r="A237" s="1"/>
      <c r="B237" s="4" t="s">
        <v>5951</v>
      </c>
      <c r="D237" s="9"/>
      <c r="E237" s="17" t="s">
        <v>14</v>
      </c>
      <c r="F237" s="18" t="str">
        <f>HYPERLINK("https://www.youtube.com/watch?v=fl3RgmKn0EU",'Players&gt;List'!$B11 &amp; "++" &amp; 'Players&gt;List'!$B29)</f>
        <v>[CHB]++[SYS]</v>
      </c>
      <c r="H237" s="1"/>
      <c r="I237" s="1"/>
      <c r="J237" s="1"/>
      <c r="K237" s="1"/>
      <c r="L237" s="1"/>
      <c r="M237" s="1"/>
      <c r="N237" s="1"/>
    </row>
    <row r="238">
      <c r="A238" s="1"/>
      <c r="B238" s="14" t="s">
        <v>5956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"/>
    </row>
    <row r="239">
      <c r="A239" s="1"/>
      <c r="B239" s="4" t="s">
        <v>5958</v>
      </c>
      <c r="D239" s="9"/>
      <c r="E239" s="17" t="s">
        <v>14</v>
      </c>
      <c r="F239" s="18" t="str">
        <f>HYPERLINK("https://youtu.be/fl3RgmKn0EU?t=40",'Players&gt;List'!$B11 &amp; "++" &amp; 'Players&gt;List'!$B29)</f>
        <v>[CHB]++[SYS]</v>
      </c>
      <c r="H239" s="1"/>
      <c r="I239" s="1"/>
      <c r="J239" s="1"/>
      <c r="K239" s="1"/>
      <c r="L239" s="1"/>
      <c r="M239" s="1"/>
      <c r="N239" s="1"/>
    </row>
    <row r="240">
      <c r="A240" s="1"/>
      <c r="B240" s="14" t="s">
        <v>5962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"/>
    </row>
    <row r="241">
      <c r="A241" s="1"/>
      <c r="B241" s="4" t="s">
        <v>5965</v>
      </c>
      <c r="D241" s="9"/>
      <c r="E241" s="17" t="s">
        <v>14</v>
      </c>
      <c r="F241" s="18" t="str">
        <f>HYPERLINK("https://youtu.be/fl3RgmKn0EU?t=56",'Players&gt;List'!$B11 &amp; "++" &amp; 'Players&gt;List'!$B29)</f>
        <v>[CHB]++[SYS]</v>
      </c>
      <c r="H241" s="1"/>
      <c r="I241" s="1"/>
      <c r="J241" s="1"/>
      <c r="K241" s="1"/>
      <c r="L241" s="1"/>
      <c r="M241" s="1"/>
      <c r="N241" s="4"/>
    </row>
    <row r="242">
      <c r="A242" s="1"/>
      <c r="B242" s="14" t="s">
        <v>5967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"/>
    </row>
    <row r="243">
      <c r="A243" s="1"/>
      <c r="B243" s="4" t="s">
        <v>5969</v>
      </c>
      <c r="D243" s="9"/>
      <c r="E243" s="17" t="s">
        <v>14</v>
      </c>
      <c r="F243" s="18" t="str">
        <f>HYPERLINK("https://youtu.be/fl3RgmKn0EU?t=121",'Players&gt;List'!$B11 &amp; "++" &amp; 'Players&gt;List'!$B29)</f>
        <v>[CHB]++[SYS]</v>
      </c>
      <c r="H243" s="1"/>
      <c r="I243" s="1"/>
      <c r="J243" s="1"/>
      <c r="K243" s="1"/>
      <c r="L243" s="1"/>
      <c r="M243" s="1"/>
      <c r="N243" s="1"/>
    </row>
    <row r="244">
      <c r="A244" s="1"/>
      <c r="B244" s="14" t="s">
        <v>4216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4"/>
    </row>
    <row r="245">
      <c r="A245" s="1"/>
      <c r="B245" s="4" t="s">
        <v>5974</v>
      </c>
      <c r="D245" s="9"/>
      <c r="E245" s="17" t="s">
        <v>14</v>
      </c>
      <c r="F245" s="18" t="str">
        <f>HYPERLINK("https://youtu.be/fl3RgmKn0EU?t=175",'Players&gt;List'!$B11 &amp; "++" &amp; 'Players&gt;List'!$B29)</f>
        <v>[CHB]++[SYS]</v>
      </c>
      <c r="H245" s="1"/>
      <c r="I245" s="1"/>
      <c r="J245" s="1"/>
      <c r="K245" s="1"/>
      <c r="L245" s="1"/>
      <c r="M245" s="1"/>
      <c r="N245" s="1"/>
    </row>
    <row r="246">
      <c r="A246" s="1"/>
      <c r="B246" s="14" t="s">
        <v>5978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"/>
    </row>
    <row r="247">
      <c r="A247" s="1"/>
      <c r="B247" s="4" t="s">
        <v>5980</v>
      </c>
      <c r="D247" s="9"/>
      <c r="E247" s="17" t="s">
        <v>14</v>
      </c>
      <c r="F247" s="18" t="str">
        <f>HYPERLINK("https://youtu.be/UiCTKMZyaQg?t=1",'Players&gt;List'!$B11 &amp; "++" &amp; 'Players&gt;List'!$B29)</f>
        <v>[CHB]++[SYS]</v>
      </c>
      <c r="H247" s="1"/>
      <c r="I247" s="1"/>
      <c r="J247" s="1"/>
      <c r="K247" s="1"/>
      <c r="L247" s="1"/>
      <c r="M247" s="1"/>
      <c r="N247" s="4"/>
    </row>
    <row r="248">
      <c r="A248" s="1"/>
      <c r="B248" s="14" t="s">
        <v>5984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"/>
    </row>
    <row r="249">
      <c r="A249" s="1"/>
      <c r="B249" s="4" t="s">
        <v>5987</v>
      </c>
      <c r="D249" s="9"/>
      <c r="E249" s="17" t="s">
        <v>14</v>
      </c>
      <c r="F249" s="18" t="str">
        <f>HYPERLINK("https://youtu.be/UiCTKMZyaQg?t=21",'Players&gt;List'!$B11 &amp; "++" &amp; 'Players&gt;List'!$B29)</f>
        <v>[CHB]++[SYS]</v>
      </c>
      <c r="H249" s="1"/>
      <c r="I249" s="1"/>
      <c r="J249" s="1"/>
      <c r="K249" s="1"/>
      <c r="L249" s="1"/>
      <c r="M249" s="1"/>
      <c r="N249" s="1"/>
    </row>
    <row r="250">
      <c r="A250" s="1"/>
      <c r="B250" s="14" t="s">
        <v>5991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"/>
    </row>
    <row r="251">
      <c r="A251" s="1"/>
      <c r="B251" s="4" t="s">
        <v>5992</v>
      </c>
      <c r="D251" s="9"/>
      <c r="E251" s="17" t="s">
        <v>14</v>
      </c>
      <c r="F251" s="18" t="str">
        <f>HYPERLINK("https://youtu.be/UiCTKMZyaQg?t=54",'Players&gt;List'!$B11 &amp; "++" &amp; 'Players&gt;List'!$B29)</f>
        <v>[CHB]++[SYS]</v>
      </c>
      <c r="H251" s="1"/>
      <c r="I251" s="1"/>
      <c r="J251" s="1"/>
      <c r="K251" s="1"/>
      <c r="L251" s="1"/>
      <c r="M251" s="1"/>
      <c r="N251" s="4"/>
    </row>
    <row r="252">
      <c r="A252" s="1"/>
      <c r="B252" s="14" t="s">
        <v>5996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"/>
    </row>
    <row r="253">
      <c r="A253" s="1"/>
      <c r="B253" s="4" t="s">
        <v>5998</v>
      </c>
      <c r="D253" s="9"/>
      <c r="E253" s="17" t="s">
        <v>14</v>
      </c>
      <c r="F253" s="18" t="str">
        <f>HYPERLINK("https://youtu.be/UiCTKMZyaQg?t=86",'Players&gt;List'!$B11 &amp; "++" &amp; 'Players&gt;List'!$B29)</f>
        <v>[CHB]++[SYS]</v>
      </c>
      <c r="H253" s="1"/>
      <c r="I253" s="1"/>
      <c r="J253" s="1"/>
      <c r="K253" s="1"/>
      <c r="L253" s="1"/>
      <c r="M253" s="1"/>
      <c r="N253" s="1"/>
    </row>
    <row r="254">
      <c r="A254" s="1"/>
      <c r="B254" s="14" t="s">
        <v>6000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4"/>
    </row>
    <row r="255">
      <c r="A255" s="1"/>
      <c r="B255" s="4" t="s">
        <v>6001</v>
      </c>
      <c r="D255" s="9"/>
      <c r="E255" s="17" t="s">
        <v>14</v>
      </c>
      <c r="F255" s="18" t="str">
        <f>HYPERLINK("https://www.twitch.tv/videos/115846655",'Players&gt;List'!$B17 &amp; "++" &amp; 'Players&gt;List'!$B23)</f>
        <v>[GOL]++[MOL]</v>
      </c>
      <c r="H255" s="18" t="str">
        <f>HYPERLINK("https://youtu.be/4sUoqlpF4HE?t=692",'Players&gt;List'!$B32)</f>
        <v>[XEL]</v>
      </c>
      <c r="J255" s="18" t="str">
        <f>HYPERLINK("https://www.youtube.com/watch?v=mbPvhe5s4_I",'Players&gt;List'!$B13 &amp; "++" &amp; 'Players&gt;List'!$B14)</f>
        <v>[ES2]++[ESP]</v>
      </c>
      <c r="L255" s="18" t="str">
        <f>HYPERLINK("https://youtu.be/UiCTKMZyaQg?t=139",'Players&gt;List'!$B11 &amp; "++" &amp; 'Players&gt;List'!$B29)</f>
        <v>[CHB]++[SYS]</v>
      </c>
      <c r="N255" s="1"/>
    </row>
    <row r="256">
      <c r="A256" s="1"/>
      <c r="B256" s="14" t="s">
        <v>6011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"/>
    </row>
    <row r="257">
      <c r="A257" s="1"/>
      <c r="B257" s="4" t="s">
        <v>6014</v>
      </c>
      <c r="D257" s="9"/>
      <c r="E257" s="17" t="s">
        <v>14</v>
      </c>
      <c r="F257" s="18" t="str">
        <f>HYPERLINK("https://www.youtube.com/watch?v=UYgN-iMCBqU",'Players&gt;List'!$B11 &amp; "++" &amp; 'Players&gt;List'!$B29)</f>
        <v>[CHB]++[SYS]</v>
      </c>
      <c r="H257" s="1"/>
      <c r="I257" s="1"/>
      <c r="J257" s="1"/>
      <c r="K257" s="1"/>
      <c r="L257" s="1"/>
      <c r="M257" s="1"/>
      <c r="N257" s="1"/>
    </row>
    <row r="258">
      <c r="A258" s="1"/>
      <c r="B258" s="14" t="s">
        <v>6019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"/>
    </row>
    <row r="259">
      <c r="A259" s="1"/>
      <c r="B259" s="4" t="s">
        <v>6021</v>
      </c>
      <c r="D259" s="9"/>
      <c r="E259" s="17" t="s">
        <v>14</v>
      </c>
      <c r="F259" s="18" t="str">
        <f>HYPERLINK("https://youtu.be/UYgN-iMCBqU?t=22",'Players&gt;List'!$B11 &amp; "++" &amp; 'Players&gt;List'!$B29)</f>
        <v>[CHB]++[SYS]</v>
      </c>
      <c r="H259" s="1"/>
      <c r="I259" s="1"/>
      <c r="J259" s="1"/>
      <c r="K259" s="1"/>
      <c r="L259" s="1"/>
      <c r="M259" s="1"/>
      <c r="N259" s="1"/>
    </row>
    <row r="260">
      <c r="A260" s="1"/>
      <c r="B260" s="14" t="s">
        <v>6025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"/>
    </row>
    <row r="261">
      <c r="A261" s="1"/>
      <c r="B261" s="4" t="s">
        <v>6030</v>
      </c>
      <c r="D261" s="9"/>
      <c r="E261" s="17" t="s">
        <v>14</v>
      </c>
      <c r="F261" s="18" t="str">
        <f>HYPERLINK("https://youtu.be/UYgN-iMCBqU?t=42",'Players&gt;List'!$B11 &amp; "++" &amp; 'Players&gt;List'!$B29)</f>
        <v>[CHB]++[SYS]</v>
      </c>
      <c r="H261" s="1"/>
      <c r="I261" s="1"/>
      <c r="J261" s="1"/>
      <c r="K261" s="1"/>
      <c r="L261" s="1"/>
      <c r="M261" s="1"/>
      <c r="N261" s="1"/>
    </row>
    <row r="262">
      <c r="A262" s="1"/>
      <c r="B262" s="14" t="s">
        <v>6033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"/>
    </row>
    <row r="263">
      <c r="A263" s="1"/>
      <c r="B263" s="4" t="s">
        <v>6034</v>
      </c>
      <c r="D263" s="9"/>
      <c r="E263" s="17" t="s">
        <v>14</v>
      </c>
      <c r="F263" s="18" t="str">
        <f>HYPERLINK("https://youtu.be/UYgN-iMCBqU?t=69",'Players&gt;List'!$B11 &amp; "++" &amp; 'Players&gt;List'!$B29)</f>
        <v>[CHB]++[SYS]</v>
      </c>
      <c r="H263" s="1"/>
      <c r="I263" s="1"/>
      <c r="J263" s="1"/>
      <c r="K263" s="1"/>
      <c r="L263" s="1"/>
      <c r="M263" s="1"/>
      <c r="N263" s="1"/>
    </row>
    <row r="264">
      <c r="A264" s="1"/>
      <c r="B264" s="14" t="s">
        <v>6035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"/>
    </row>
    <row r="265">
      <c r="A265" s="1"/>
      <c r="B265" s="4" t="s">
        <v>6036</v>
      </c>
      <c r="D265" s="9"/>
      <c r="E265" s="17" t="s">
        <v>14</v>
      </c>
      <c r="F265" s="18" t="str">
        <f>HYPERLINK("https://youtu.be/UYgN-iMCBqU?t=101",'Players&gt;List'!$B11 &amp; "++" &amp; 'Players&gt;List'!$B29)</f>
        <v>[CHB]++[SYS]</v>
      </c>
      <c r="H265" s="1"/>
      <c r="I265" s="1"/>
      <c r="J265" s="1"/>
      <c r="K265" s="1"/>
      <c r="L265" s="1"/>
      <c r="M265" s="1"/>
      <c r="N265" s="1"/>
    </row>
    <row r="266">
      <c r="A266" s="1"/>
      <c r="B266" s="14" t="s">
        <v>6039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"/>
    </row>
    <row r="267">
      <c r="A267" s="1"/>
      <c r="B267" s="4" t="s">
        <v>6042</v>
      </c>
      <c r="D267" s="9"/>
      <c r="E267" s="17" t="s">
        <v>14</v>
      </c>
      <c r="F267" s="18" t="str">
        <f>HYPERLINK("https://www.youtube.com/watch?v=kzAwMzNrPXw",'Players&gt;List'!$B11 &amp; "++" &amp; 'Players&gt;List'!$B29)</f>
        <v>[CHB]++[SYS]</v>
      </c>
      <c r="H267" s="1"/>
      <c r="I267" s="1"/>
      <c r="J267" s="1"/>
      <c r="K267" s="1"/>
      <c r="L267" s="1"/>
      <c r="M267" s="1"/>
      <c r="N267" s="1"/>
    </row>
    <row r="268">
      <c r="A268" s="1"/>
      <c r="B268" s="14" t="s">
        <v>6045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"/>
    </row>
    <row r="269">
      <c r="A269" s="1"/>
      <c r="B269" s="4" t="s">
        <v>6048</v>
      </c>
      <c r="D269" s="9"/>
      <c r="E269" s="17" t="s">
        <v>14</v>
      </c>
      <c r="F269" s="18" t="str">
        <f>HYPERLINK("https://youtu.be/kzAwMzNrPXw?t=48",'Players&gt;List'!$B11 &amp; "++" &amp; 'Players&gt;List'!$B29)</f>
        <v>[CHB]++[SYS]</v>
      </c>
      <c r="H269" s="1"/>
      <c r="I269" s="1"/>
      <c r="J269" s="1"/>
      <c r="K269" s="1"/>
      <c r="L269" s="1"/>
      <c r="M269" s="1"/>
      <c r="N269" s="1"/>
    </row>
    <row r="270">
      <c r="A270" s="1"/>
      <c r="B270" s="14" t="s">
        <v>6052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"/>
    </row>
    <row r="271">
      <c r="A271" s="1"/>
      <c r="B271" s="4" t="s">
        <v>6054</v>
      </c>
      <c r="D271" s="9"/>
      <c r="E271" s="17" t="s">
        <v>14</v>
      </c>
      <c r="F271" s="18" t="str">
        <f>HYPERLINK("https://youtu.be/kzAwMzNrPXw?t=140",'Players&gt;List'!$B11 &amp; "++" &amp; 'Players&gt;List'!$B29)</f>
        <v>[CHB]++[SYS]</v>
      </c>
      <c r="H271" s="1"/>
      <c r="I271" s="1"/>
      <c r="J271" s="1"/>
      <c r="K271" s="1"/>
      <c r="L271" s="1"/>
      <c r="M271" s="1"/>
      <c r="N271" s="1"/>
    </row>
    <row r="272">
      <c r="A272" s="1"/>
      <c r="B272" s="14" t="s">
        <v>6059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"/>
    </row>
    <row r="273">
      <c r="A273" s="1"/>
      <c r="B273" s="4" t="s">
        <v>6062</v>
      </c>
      <c r="D273" s="9"/>
      <c r="E273" s="17" t="s">
        <v>14</v>
      </c>
      <c r="F273" s="18" t="str">
        <f>HYPERLINK("https://youtu.be/kzAwMzNrPXw?t=160",'Players&gt;List'!$B11 &amp; "++" &amp; 'Players&gt;List'!$B29)</f>
        <v>[CHB]++[SYS]</v>
      </c>
      <c r="H273" s="1"/>
      <c r="I273" s="1"/>
      <c r="J273" s="1"/>
      <c r="K273" s="1"/>
      <c r="L273" s="1"/>
      <c r="M273" s="1"/>
      <c r="N273" s="1"/>
    </row>
    <row r="274">
      <c r="A274" s="1"/>
      <c r="B274" s="14" t="s">
        <v>6066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"/>
    </row>
    <row r="275">
      <c r="A275" s="1"/>
      <c r="B275" s="4" t="s">
        <v>6068</v>
      </c>
      <c r="D275" s="9"/>
      <c r="E275" s="17" t="s">
        <v>14</v>
      </c>
      <c r="F275" s="18" t="str">
        <f>HYPERLINK("https://youtu.be/kzAwMzNrPXw?t=202",'Players&gt;List'!$B11 &amp; "++" &amp; 'Players&gt;List'!$B29)</f>
        <v>[CHB]++[SYS]</v>
      </c>
      <c r="H275" s="1"/>
      <c r="I275" s="1"/>
      <c r="J275" s="1"/>
      <c r="K275" s="1"/>
      <c r="L275" s="1"/>
      <c r="M275" s="1"/>
      <c r="N275" s="1"/>
    </row>
    <row r="276">
      <c r="A276" s="1"/>
      <c r="B276" s="14" t="s">
        <v>6073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"/>
    </row>
    <row r="277">
      <c r="A277" s="1"/>
      <c r="B277" s="4" t="s">
        <v>6076</v>
      </c>
      <c r="D277" s="9"/>
      <c r="E277" s="17" t="s">
        <v>14</v>
      </c>
      <c r="F277" s="18" t="str">
        <f>HYPERLINK("https://www.youtube.com/watch?v=4ZWWpgUAch0",'Players&gt;List'!$B11 &amp; "++" &amp; 'Players&gt;List'!$B29)</f>
        <v>[CHB]++[SYS]</v>
      </c>
      <c r="H277" s="1"/>
      <c r="I277" s="1"/>
      <c r="J277" s="1"/>
      <c r="K277" s="1"/>
      <c r="L277" s="1"/>
      <c r="M277" s="1"/>
      <c r="N277" s="1"/>
    </row>
    <row r="278">
      <c r="A278" s="1"/>
      <c r="B278" s="14" t="s">
        <v>6081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"/>
    </row>
    <row r="279">
      <c r="A279" s="1"/>
      <c r="B279" s="4" t="s">
        <v>6084</v>
      </c>
      <c r="D279" s="9"/>
      <c r="E279" s="17" t="s">
        <v>14</v>
      </c>
      <c r="F279" s="18" t="str">
        <f>HYPERLINK("https://youtu.be/4ZWWpgUAch0?t=34",'Players&gt;List'!$B11 &amp; "++" &amp; 'Players&gt;List'!$B29)</f>
        <v>[CHB]++[SYS]</v>
      </c>
      <c r="H279" s="1"/>
      <c r="I279" s="1"/>
      <c r="J279" s="1"/>
      <c r="K279" s="1"/>
      <c r="L279" s="1"/>
      <c r="M279" s="1"/>
      <c r="N279" s="1"/>
    </row>
    <row r="280">
      <c r="A280" s="1"/>
      <c r="B280" s="14" t="s">
        <v>6089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"/>
    </row>
    <row r="281">
      <c r="A281" s="1"/>
      <c r="B281" s="4" t="s">
        <v>6091</v>
      </c>
      <c r="D281" s="9"/>
      <c r="E281" s="17" t="s">
        <v>14</v>
      </c>
      <c r="F281" s="18" t="str">
        <f>HYPERLINK("https://youtu.be/4ZWWpgUAch0?t=52",'Players&gt;List'!$B11 &amp; "++" &amp; 'Players&gt;List'!$B29)</f>
        <v>[CHB]++[SYS]</v>
      </c>
      <c r="H281" s="1"/>
      <c r="I281" s="1"/>
      <c r="J281" s="1"/>
      <c r="K281" s="1"/>
      <c r="L281" s="1"/>
      <c r="M281" s="1"/>
      <c r="N281" s="1"/>
    </row>
    <row r="282">
      <c r="A282" s="1"/>
      <c r="B282" s="14" t="s">
        <v>6095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"/>
    </row>
    <row r="283">
      <c r="A283" s="1"/>
      <c r="B283" s="4" t="s">
        <v>6097</v>
      </c>
      <c r="D283" s="9"/>
      <c r="E283" s="17" t="s">
        <v>14</v>
      </c>
      <c r="F283" s="18" t="str">
        <f>HYPERLINK("https://youtu.be/4ZWWpgUAch0?t=88",'Players&gt;List'!$B11 &amp; "++" &amp; 'Players&gt;List'!$B29)</f>
        <v>[CHB]++[SYS]</v>
      </c>
      <c r="H283" s="1"/>
      <c r="I283" s="1"/>
      <c r="J283" s="1"/>
      <c r="K283" s="1"/>
      <c r="L283" s="1"/>
      <c r="M283" s="1"/>
      <c r="N283" s="1"/>
    </row>
    <row r="284">
      <c r="A284" s="1"/>
      <c r="B284" s="14" t="s">
        <v>6101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"/>
    </row>
    <row r="285">
      <c r="A285" s="1"/>
      <c r="B285" s="4" t="s">
        <v>6103</v>
      </c>
      <c r="D285" s="9"/>
      <c r="E285" s="17" t="s">
        <v>14</v>
      </c>
      <c r="F285" s="18" t="str">
        <f>HYPERLINK("https://youtu.be/4ZWWpgUAch0?t=124",'Players&gt;List'!$B11 &amp; "++" &amp; 'Players&gt;List'!$B29)</f>
        <v>[CHB]++[SYS]</v>
      </c>
      <c r="H285" s="1"/>
      <c r="I285" s="1"/>
      <c r="J285" s="1"/>
      <c r="K285" s="1"/>
      <c r="L285" s="1"/>
      <c r="M285" s="1"/>
      <c r="N285" s="1"/>
    </row>
    <row r="286">
      <c r="A286" s="1"/>
      <c r="B286" s="14" t="s">
        <v>6106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"/>
    </row>
    <row r="287">
      <c r="A287" s="1"/>
      <c r="B287" s="4" t="s">
        <v>6108</v>
      </c>
      <c r="D287" s="9"/>
      <c r="E287" s="17" t="s">
        <v>14</v>
      </c>
      <c r="F287" s="18" t="str">
        <f>HYPERLINK("https://www.youtube.com/watch?v=JjgJTJ3KVrI",'Players&gt;List'!$B11 &amp; "++" &amp; 'Players&gt;List'!$B29)</f>
        <v>[CHB]++[SYS]</v>
      </c>
      <c r="H287" s="1"/>
      <c r="I287" s="1"/>
      <c r="J287" s="1"/>
      <c r="K287" s="1"/>
      <c r="L287" s="1"/>
      <c r="M287" s="1"/>
      <c r="N287" s="1"/>
    </row>
    <row r="288">
      <c r="A288" s="1"/>
      <c r="B288" s="14" t="s">
        <v>6111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"/>
    </row>
    <row r="289">
      <c r="A289" s="1"/>
      <c r="B289" s="4" t="s">
        <v>6113</v>
      </c>
      <c r="D289" s="9"/>
      <c r="E289" s="17" t="s">
        <v>14</v>
      </c>
      <c r="F289" s="18" t="str">
        <f>HYPERLINK("https://youtu.be/JjgJTJ3KVrI?t=20",'Players&gt;List'!$B11 &amp; "++" &amp; 'Players&gt;List'!$B29)</f>
        <v>[CHB]++[SYS]</v>
      </c>
      <c r="H289" s="1"/>
      <c r="I289" s="1"/>
      <c r="J289" s="1"/>
      <c r="K289" s="1"/>
      <c r="L289" s="1"/>
      <c r="M289" s="1"/>
      <c r="N289" s="1"/>
    </row>
    <row r="290">
      <c r="A290" s="1"/>
      <c r="B290" s="14" t="s">
        <v>6117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"/>
    </row>
    <row r="291">
      <c r="A291" s="1"/>
      <c r="B291" s="4" t="s">
        <v>6119</v>
      </c>
      <c r="D291" s="9"/>
      <c r="E291" s="17" t="s">
        <v>14</v>
      </c>
      <c r="F291" s="18" t="str">
        <f>HYPERLINK("https://youtu.be/JjgJTJ3KVrI?t=40",'Players&gt;List'!$B11 &amp; "++" &amp; 'Players&gt;List'!$B29)</f>
        <v>[CHB]++[SYS]</v>
      </c>
      <c r="H291" s="1"/>
      <c r="I291" s="1"/>
      <c r="J291" s="1"/>
      <c r="K291" s="1"/>
      <c r="L291" s="1"/>
      <c r="M291" s="1"/>
      <c r="N291" s="1"/>
    </row>
    <row r="292">
      <c r="A292" s="1"/>
      <c r="B292" s="14" t="s">
        <v>6123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"/>
    </row>
    <row r="293">
      <c r="A293" s="1"/>
      <c r="B293" s="4" t="s">
        <v>6125</v>
      </c>
      <c r="D293" s="9"/>
      <c r="E293" s="17" t="s">
        <v>14</v>
      </c>
      <c r="F293" s="18" t="str">
        <f>HYPERLINK("https://youtu.be/JjgJTJ3KVrI?t=92",'Players&gt;List'!$B11 &amp; "++" &amp; 'Players&gt;List'!$B29)</f>
        <v>[CHB]++[SYS]</v>
      </c>
      <c r="H293" s="1"/>
      <c r="I293" s="1"/>
      <c r="J293" s="1"/>
      <c r="K293" s="1"/>
      <c r="L293" s="1"/>
      <c r="M293" s="1"/>
      <c r="N293" s="1"/>
    </row>
    <row r="294">
      <c r="A294" s="1"/>
      <c r="B294" s="14" t="s">
        <v>6129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"/>
    </row>
    <row r="295">
      <c r="A295" s="1"/>
      <c r="B295" s="4" t="s">
        <v>6131</v>
      </c>
      <c r="D295" s="9"/>
      <c r="E295" s="17" t="s">
        <v>14</v>
      </c>
      <c r="F295" s="18" t="str">
        <f>HYPERLINK("https://youtu.be/JjgJTJ3KVrI?t=160",'Players&gt;List'!$B11 &amp; "++" &amp; 'Players&gt;List'!$B29)</f>
        <v>[CHB]++[SYS]</v>
      </c>
      <c r="H295" s="1"/>
      <c r="I295" s="1"/>
      <c r="J295" s="1"/>
      <c r="K295" s="1"/>
      <c r="L295" s="1"/>
      <c r="M295" s="1"/>
      <c r="N295" s="1"/>
    </row>
    <row r="296">
      <c r="A296" s="1"/>
      <c r="B296" s="14" t="s">
        <v>6135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"/>
    </row>
    <row r="297">
      <c r="A297" s="1"/>
      <c r="B297" s="4" t="s">
        <v>6137</v>
      </c>
      <c r="D297" s="9"/>
      <c r="E297" s="17" t="s">
        <v>14</v>
      </c>
      <c r="F297" s="18" t="str">
        <f>HYPERLINK("https://youtu.be/HjdT7qvkF64?t=2",'Players&gt;List'!$B11 &amp; "++" &amp; 'Players&gt;List'!$B29)</f>
        <v>[CHB]++[SYS]</v>
      </c>
      <c r="H297" s="1"/>
      <c r="I297" s="1"/>
      <c r="J297" s="1"/>
      <c r="K297" s="1"/>
      <c r="L297" s="1"/>
      <c r="M297" s="1"/>
      <c r="N297" s="1"/>
    </row>
    <row r="298">
      <c r="A298" s="1"/>
      <c r="B298" s="14" t="s">
        <v>6141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"/>
    </row>
    <row r="299">
      <c r="A299" s="1"/>
      <c r="B299" s="4" t="s">
        <v>6143</v>
      </c>
      <c r="D299" s="9"/>
      <c r="E299" s="17" t="s">
        <v>14</v>
      </c>
      <c r="F299" s="18" t="str">
        <f>HYPERLINK("https://youtu.be/HjdT7qvkF64?t=9",'Players&gt;List'!$B11 &amp; "++" &amp; 'Players&gt;List'!$B29)</f>
        <v>[CHB]++[SYS]</v>
      </c>
      <c r="H299" s="1"/>
      <c r="I299" s="1"/>
      <c r="J299" s="1"/>
      <c r="K299" s="1"/>
      <c r="L299" s="1"/>
      <c r="M299" s="1"/>
      <c r="N299" s="1"/>
    </row>
    <row r="300">
      <c r="A300" s="1"/>
      <c r="B300" s="14" t="s">
        <v>6147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"/>
    </row>
    <row r="301">
      <c r="A301" s="1"/>
      <c r="B301" s="4" t="s">
        <v>6150</v>
      </c>
      <c r="D301" s="9"/>
      <c r="E301" s="17" t="s">
        <v>14</v>
      </c>
      <c r="F301" s="18" t="str">
        <f>HYPERLINK("https://youtu.be/HjdT7qvkF64?t=37",'Players&gt;List'!$B11 &amp; "++" &amp; 'Players&gt;List'!$B29)</f>
        <v>[CHB]++[SYS]</v>
      </c>
      <c r="H301" s="1"/>
      <c r="I301" s="1"/>
      <c r="J301" s="1"/>
      <c r="K301" s="1"/>
      <c r="L301" s="1"/>
      <c r="M301" s="1"/>
      <c r="N301" s="1"/>
    </row>
    <row r="302">
      <c r="A302" s="1"/>
      <c r="B302" s="14" t="s">
        <v>6155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"/>
    </row>
    <row r="303">
      <c r="A303" s="1"/>
      <c r="B303" s="4" t="s">
        <v>6157</v>
      </c>
      <c r="D303" s="9"/>
      <c r="E303" s="17" t="s">
        <v>14</v>
      </c>
      <c r="F303" s="18" t="str">
        <f>HYPERLINK("https://youtu.be/HjdT7qvkF64?t=64",'Players&gt;List'!$B11 &amp; "++" &amp; 'Players&gt;List'!$B29)</f>
        <v>[CHB]++[SYS]</v>
      </c>
      <c r="H303" s="1"/>
      <c r="I303" s="1"/>
      <c r="J303" s="1"/>
      <c r="K303" s="1"/>
      <c r="L303" s="1"/>
      <c r="M303" s="1"/>
      <c r="N303" s="1"/>
    </row>
    <row r="304">
      <c r="A304" s="1"/>
      <c r="B304" s="14" t="s">
        <v>6158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"/>
    </row>
    <row r="305">
      <c r="A305" s="1"/>
      <c r="B305" s="4" t="s">
        <v>6160</v>
      </c>
      <c r="D305" s="9"/>
      <c r="E305" s="17" t="s">
        <v>14</v>
      </c>
      <c r="F305" s="18" t="str">
        <f>HYPERLINK("https://youtu.be/HjdT7qvkF64?t=114",'Players&gt;List'!$B11 &amp; "++" &amp; 'Players&gt;List'!$B29)</f>
        <v>[CHB]++[SYS]</v>
      </c>
      <c r="H305" s="1"/>
      <c r="I305" s="1"/>
      <c r="J305" s="1"/>
      <c r="K305" s="1"/>
      <c r="L305" s="1"/>
      <c r="M305" s="1"/>
      <c r="N305" s="1"/>
    </row>
    <row r="306">
      <c r="A306" s="1"/>
      <c r="B306" s="14" t="s">
        <v>6165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"/>
    </row>
    <row r="307">
      <c r="A307" s="1"/>
      <c r="B307" s="4" t="s">
        <v>6168</v>
      </c>
      <c r="D307" s="9"/>
      <c r="E307" s="17" t="s">
        <v>14</v>
      </c>
      <c r="F307" s="18" t="str">
        <f>HYPERLINK("https://www.youtube.com/watch?v=U73dA9kJggI",'Players&gt;List'!$B11 &amp; "++" &amp; 'Players&gt;List'!$B29)</f>
        <v>[CHB]++[SYS]</v>
      </c>
      <c r="H307" s="1"/>
      <c r="I307" s="1"/>
      <c r="J307" s="1"/>
      <c r="K307" s="1"/>
      <c r="L307" s="1"/>
      <c r="M307" s="1"/>
      <c r="N307" s="1"/>
    </row>
    <row r="308">
      <c r="A308" s="1"/>
      <c r="B308" s="14" t="s">
        <v>6171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"/>
    </row>
    <row r="309">
      <c r="A309" s="1"/>
      <c r="B309" s="4" t="s">
        <v>6173</v>
      </c>
      <c r="D309" s="9"/>
      <c r="E309" s="17" t="s">
        <v>14</v>
      </c>
      <c r="F309" s="18" t="str">
        <f>HYPERLINK("https://youtu.be/U73dA9kJggI?t=36",'Players&gt;List'!$B11 &amp; "++" &amp; 'Players&gt;List'!$B29)</f>
        <v>[CHB]++[SYS]</v>
      </c>
      <c r="H309" s="1"/>
      <c r="I309" s="1"/>
      <c r="J309" s="1"/>
      <c r="K309" s="1"/>
      <c r="L309" s="1"/>
      <c r="M309" s="1"/>
      <c r="N309" s="1"/>
    </row>
    <row r="310">
      <c r="A310" s="1"/>
      <c r="B310" s="14" t="s">
        <v>6177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"/>
    </row>
    <row r="311">
      <c r="A311" s="1"/>
      <c r="B311" s="4" t="s">
        <v>6179</v>
      </c>
      <c r="D311" s="9"/>
      <c r="E311" s="17" t="s">
        <v>14</v>
      </c>
      <c r="F311" s="18" t="str">
        <f>HYPERLINK("https://youtu.be/U73dA9kJggI?t=75",'Players&gt;List'!$B11 &amp; "++" &amp; 'Players&gt;List'!$B29)</f>
        <v>[CHB]++[SYS]</v>
      </c>
      <c r="H311" s="1"/>
      <c r="I311" s="1"/>
      <c r="J311" s="1"/>
      <c r="K311" s="1"/>
      <c r="L311" s="1"/>
      <c r="M311" s="1"/>
      <c r="N311" s="1"/>
    </row>
    <row r="312">
      <c r="A312" s="1"/>
      <c r="B312" s="14" t="s">
        <v>6183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"/>
    </row>
    <row r="313">
      <c r="A313" s="1"/>
      <c r="B313" s="4" t="s">
        <v>6185</v>
      </c>
      <c r="D313" s="9"/>
      <c r="E313" s="17" t="s">
        <v>14</v>
      </c>
      <c r="F313" s="18" t="str">
        <f>HYPERLINK("https://youtu.be/U73dA9kJggI?t=107",'Players&gt;List'!$B11 &amp; "++" &amp; 'Players&gt;List'!$B29)</f>
        <v>[CHB]++[SYS]</v>
      </c>
      <c r="H313" s="1"/>
      <c r="I313" s="1"/>
      <c r="J313" s="1"/>
      <c r="K313" s="1"/>
      <c r="L313" s="1"/>
      <c r="M313" s="1"/>
      <c r="N313" s="1"/>
    </row>
    <row r="314">
      <c r="A314" s="1"/>
      <c r="B314" s="14" t="s">
        <v>6189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"/>
    </row>
    <row r="315">
      <c r="A315" s="1"/>
      <c r="B315" s="4" t="s">
        <v>6191</v>
      </c>
      <c r="D315" s="9"/>
      <c r="E315" s="17" t="s">
        <v>14</v>
      </c>
      <c r="F315" s="18" t="str">
        <f>HYPERLINK("https://youtu.be/U73dA9kJggI?t=136",'Players&gt;List'!$B11 &amp; "++" &amp; 'Players&gt;List'!$B29)</f>
        <v>[CHB]++[SYS]</v>
      </c>
      <c r="H315" s="1"/>
      <c r="I315" s="1"/>
      <c r="J315" s="1"/>
      <c r="K315" s="1"/>
      <c r="L315" s="1"/>
      <c r="M315" s="1"/>
      <c r="N315" s="1"/>
    </row>
    <row r="316">
      <c r="A316" s="1"/>
      <c r="B316" s="14" t="s">
        <v>6197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"/>
    </row>
    <row r="317">
      <c r="A317" s="1"/>
      <c r="B317" s="4" t="s">
        <v>6199</v>
      </c>
      <c r="D317" s="9"/>
      <c r="E317" s="17" t="s">
        <v>14</v>
      </c>
      <c r="F317" s="18" t="str">
        <f>HYPERLINK("https://www.youtube.com/watch?v=xDnhYg0zbEc",'Players&gt;List'!$B11 &amp; "++" &amp; 'Players&gt;List'!$B29)</f>
        <v>[CHB]++[SYS]</v>
      </c>
      <c r="H317" s="1"/>
      <c r="I317" s="1"/>
      <c r="J317" s="1"/>
      <c r="K317" s="1"/>
      <c r="L317" s="1"/>
      <c r="M317" s="1"/>
      <c r="N317" s="1"/>
    </row>
    <row r="318">
      <c r="A318" s="1"/>
      <c r="B318" s="14" t="s">
        <v>6203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"/>
    </row>
    <row r="319">
      <c r="A319" s="1"/>
      <c r="B319" s="4" t="s">
        <v>6206</v>
      </c>
      <c r="D319" s="9"/>
      <c r="E319" s="17" t="s">
        <v>14</v>
      </c>
      <c r="F319" s="18" t="str">
        <f>HYPERLINK("https://youtu.be/xDnhYg0zbEc?t=16",'Players&gt;List'!$B11 &amp; "++" &amp; 'Players&gt;List'!$B29)</f>
        <v>[CHB]++[SYS]</v>
      </c>
      <c r="H319" s="1"/>
      <c r="I319" s="1"/>
      <c r="J319" s="1"/>
      <c r="K319" s="1"/>
      <c r="L319" s="1"/>
      <c r="M319" s="1"/>
      <c r="N319" s="1"/>
    </row>
    <row r="320">
      <c r="A320" s="1"/>
      <c r="B320" s="14" t="s">
        <v>6209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"/>
    </row>
    <row r="321">
      <c r="A321" s="1"/>
      <c r="B321" s="4" t="s">
        <v>6211</v>
      </c>
      <c r="D321" s="9"/>
      <c r="E321" s="17" t="s">
        <v>14</v>
      </c>
      <c r="F321" s="18" t="str">
        <f>HYPERLINK("https://youtu.be/xDnhYg0zbEc?t=71",'Players&gt;List'!$B11 &amp; "++" &amp; 'Players&gt;List'!$B29)</f>
        <v>[CHB]++[SYS]</v>
      </c>
      <c r="H321" s="1"/>
      <c r="I321" s="1"/>
      <c r="J321" s="1"/>
      <c r="K321" s="1"/>
      <c r="L321" s="1"/>
      <c r="M321" s="1"/>
      <c r="N321" s="1"/>
    </row>
    <row r="322">
      <c r="A322" s="1"/>
      <c r="B322" s="14" t="s">
        <v>6214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"/>
    </row>
    <row r="323">
      <c r="A323" s="1"/>
      <c r="B323" s="4" t="s">
        <v>6215</v>
      </c>
      <c r="D323" s="9"/>
      <c r="E323" s="17" t="s">
        <v>14</v>
      </c>
      <c r="F323" s="18" t="str">
        <f>HYPERLINK("https://youtu.be/xDnhYg0zbEc?t=108",'Players&gt;List'!$B11 &amp; "++" &amp; 'Players&gt;List'!$B29)</f>
        <v>[CHB]++[SYS]</v>
      </c>
      <c r="H323" s="1"/>
      <c r="I323" s="1"/>
      <c r="J323" s="1"/>
      <c r="K323" s="1"/>
      <c r="L323" s="1"/>
      <c r="M323" s="1"/>
      <c r="N323" s="1"/>
    </row>
    <row r="324">
      <c r="A324" s="1"/>
      <c r="B324" s="14" t="s">
        <v>6219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"/>
    </row>
    <row r="325">
      <c r="A325" s="1"/>
      <c r="B325" s="4" t="s">
        <v>6221</v>
      </c>
      <c r="D325" s="9"/>
      <c r="E325" s="17" t="s">
        <v>14</v>
      </c>
      <c r="F325" s="18" t="str">
        <f>HYPERLINK("https://youtu.be/xDnhYg0zbEc?t=137",'Players&gt;List'!$B11 &amp; "++" &amp; 'Players&gt;List'!$B29)</f>
        <v>[CHB]++[SYS]</v>
      </c>
      <c r="H325" s="1"/>
      <c r="I325" s="1"/>
      <c r="J325" s="1"/>
      <c r="K325" s="1"/>
      <c r="L325" s="1"/>
      <c r="M325" s="1"/>
      <c r="N325" s="1"/>
    </row>
    <row r="326">
      <c r="A326" s="1"/>
      <c r="B326" s="14" t="s">
        <v>6225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"/>
    </row>
    <row r="327">
      <c r="A327" s="1"/>
      <c r="B327" s="4" t="s">
        <v>6227</v>
      </c>
      <c r="D327" s="9"/>
      <c r="E327" s="17" t="s">
        <v>14</v>
      </c>
      <c r="F327" s="18" t="str">
        <f>HYPERLINK("https://www.youtube.com/watch?v=EDo0dy4jcLQ",'Players&gt;List'!$B11 &amp; "++" &amp; 'Players&gt;List'!$B29)</f>
        <v>[CHB]++[SYS]</v>
      </c>
      <c r="H327" s="1"/>
      <c r="I327" s="1"/>
      <c r="J327" s="1"/>
      <c r="K327" s="1"/>
      <c r="L327" s="1"/>
      <c r="M327" s="1"/>
      <c r="N327" s="1"/>
    </row>
    <row r="328">
      <c r="A328" s="1"/>
      <c r="B328" s="14" t="s">
        <v>6231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"/>
    </row>
    <row r="329">
      <c r="A329" s="1"/>
      <c r="B329" s="4" t="s">
        <v>6233</v>
      </c>
      <c r="D329" s="9"/>
      <c r="E329" s="17" t="s">
        <v>14</v>
      </c>
      <c r="F329" s="18" t="str">
        <f>HYPERLINK("https://youtu.be/EDo0dy4jcLQ?t=45",'Players&gt;List'!$B11 &amp; "++" &amp; 'Players&gt;List'!$B29)</f>
        <v>[CHB]++[SYS]</v>
      </c>
      <c r="H329" s="1"/>
      <c r="I329" s="1"/>
      <c r="J329" s="1"/>
      <c r="K329" s="1"/>
      <c r="L329" s="1"/>
      <c r="M329" s="1"/>
      <c r="N329" s="1"/>
    </row>
    <row r="330">
      <c r="A330" s="1"/>
      <c r="B330" s="14" t="s">
        <v>6237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"/>
    </row>
    <row r="331">
      <c r="A331" s="1"/>
      <c r="B331" s="4" t="s">
        <v>6239</v>
      </c>
      <c r="D331" s="9"/>
      <c r="E331" s="17" t="s">
        <v>14</v>
      </c>
      <c r="F331" s="18" t="str">
        <f>HYPERLINK("https://youtu.be/EDo0dy4jcLQ?t=71",'Players&gt;List'!$B11 &amp; "++" &amp; 'Players&gt;List'!$B29)</f>
        <v>[CHB]++[SYS]</v>
      </c>
      <c r="H331" s="1"/>
      <c r="I331" s="1"/>
      <c r="J331" s="1"/>
      <c r="K331" s="1"/>
      <c r="L331" s="1"/>
      <c r="M331" s="1"/>
      <c r="N331" s="1"/>
    </row>
    <row r="332">
      <c r="A332" s="1"/>
      <c r="B332" s="14" t="s">
        <v>6241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"/>
    </row>
    <row r="333">
      <c r="A333" s="1"/>
      <c r="B333" s="4" t="s">
        <v>6244</v>
      </c>
      <c r="D333" s="9"/>
      <c r="E333" s="17" t="s">
        <v>14</v>
      </c>
      <c r="F333" s="18" t="str">
        <f>HYPERLINK("https://youtu.be/EDo0dy4jcLQ?t=114",'Players&gt;List'!$B11 &amp; "++" &amp; 'Players&gt;List'!$B29)</f>
        <v>[CHB]++[SYS]</v>
      </c>
      <c r="H333" s="1"/>
      <c r="I333" s="1"/>
      <c r="J333" s="1"/>
      <c r="K333" s="1"/>
      <c r="L333" s="1"/>
      <c r="M333" s="1"/>
      <c r="N333" s="1"/>
    </row>
    <row r="334">
      <c r="A334" s="1"/>
      <c r="B334" s="14" t="s">
        <v>6247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"/>
    </row>
    <row r="335">
      <c r="A335" s="1"/>
      <c r="B335" s="4" t="s">
        <v>6248</v>
      </c>
      <c r="D335" s="9"/>
      <c r="E335" s="17" t="s">
        <v>14</v>
      </c>
      <c r="F335" s="18" t="str">
        <f>HYPERLINK("https://youtu.be/EDo0dy4jcLQ?t=136",'Players&gt;List'!$B11 &amp; "++" &amp; 'Players&gt;List'!$B29)</f>
        <v>[CHB]++[SYS]</v>
      </c>
      <c r="H335" s="1"/>
      <c r="I335" s="1"/>
      <c r="J335" s="1"/>
      <c r="K335" s="1"/>
      <c r="L335" s="1"/>
      <c r="M335" s="1"/>
      <c r="N335" s="1"/>
    </row>
    <row r="336">
      <c r="A336" s="1"/>
      <c r="B336" s="14" t="s">
        <v>6252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"/>
    </row>
    <row r="337">
      <c r="A337" s="1"/>
      <c r="B337" s="4" t="s">
        <v>6253</v>
      </c>
      <c r="D337" s="9"/>
      <c r="E337" s="17" t="s">
        <v>14</v>
      </c>
      <c r="F337" s="18" t="str">
        <f>HYPERLINK("https://www.youtube.com/watch?v=8YpAX4GItbQ",'Players&gt;List'!$B11 &amp; "++" &amp; 'Players&gt;List'!$B29)</f>
        <v>[CHB]++[SYS]</v>
      </c>
      <c r="H337" s="1"/>
      <c r="I337" s="1"/>
      <c r="J337" s="1"/>
      <c r="K337" s="1"/>
      <c r="L337" s="1"/>
      <c r="M337" s="1"/>
      <c r="N337" s="1"/>
    </row>
    <row r="338">
      <c r="A338" s="1"/>
      <c r="B338" s="14" t="s">
        <v>6256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"/>
    </row>
    <row r="339">
      <c r="A339" s="1"/>
      <c r="B339" s="4" t="s">
        <v>6257</v>
      </c>
      <c r="D339" s="9"/>
      <c r="E339" s="17" t="s">
        <v>14</v>
      </c>
      <c r="F339" s="18" t="str">
        <f>HYPERLINK("https://youtu.be/8YpAX4GItbQ?t=31",'Players&gt;List'!$B11 &amp; "++" &amp; 'Players&gt;List'!$B29)</f>
        <v>[CHB]++[SYS]</v>
      </c>
      <c r="H339" s="1"/>
      <c r="I339" s="1"/>
      <c r="J339" s="1"/>
      <c r="K339" s="1"/>
      <c r="L339" s="1"/>
      <c r="M339" s="1"/>
      <c r="N339" s="1"/>
    </row>
    <row r="340">
      <c r="A340" s="1"/>
      <c r="B340" s="14" t="s">
        <v>6258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"/>
    </row>
    <row r="341">
      <c r="A341" s="1"/>
      <c r="B341" s="4" t="s">
        <v>6259</v>
      </c>
      <c r="D341" s="9"/>
      <c r="E341" s="17" t="s">
        <v>14</v>
      </c>
      <c r="F341" s="18" t="str">
        <f>HYPERLINK("https://youtu.be/8YpAX4GItbQ?t=64",'Players&gt;List'!$B11 &amp; "++" &amp; 'Players&gt;List'!$B29)</f>
        <v>[CHB]++[SYS]</v>
      </c>
      <c r="H341" s="1"/>
      <c r="I341" s="1"/>
      <c r="J341" s="1"/>
      <c r="K341" s="1"/>
      <c r="L341" s="1"/>
      <c r="M341" s="1"/>
      <c r="N341" s="1"/>
    </row>
    <row r="342">
      <c r="A342" s="1"/>
      <c r="B342" s="14" t="s">
        <v>6260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"/>
    </row>
    <row r="343">
      <c r="A343" s="1"/>
      <c r="B343" s="4" t="s">
        <v>6261</v>
      </c>
      <c r="D343" s="9"/>
      <c r="E343" s="17" t="s">
        <v>14</v>
      </c>
      <c r="F343" s="18" t="str">
        <f>HYPERLINK("https://youtu.be/8YpAX4GItbQ?t=99",'Players&gt;List'!$B11 &amp; "++" &amp; 'Players&gt;List'!$B29)</f>
        <v>[CHB]++[SYS]</v>
      </c>
      <c r="H343" s="1"/>
      <c r="I343" s="1"/>
      <c r="J343" s="1"/>
      <c r="K343" s="1"/>
      <c r="L343" s="1"/>
      <c r="M343" s="1"/>
      <c r="N343" s="1"/>
    </row>
    <row r="344">
      <c r="A344" s="1"/>
      <c r="B344" s="14" t="s">
        <v>6262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"/>
    </row>
    <row r="345">
      <c r="A345" s="1"/>
      <c r="B345" s="4" t="s">
        <v>6263</v>
      </c>
      <c r="D345" s="9"/>
      <c r="E345" s="17" t="s">
        <v>14</v>
      </c>
      <c r="F345" s="18" t="str">
        <f>HYPERLINK("https://youtu.be/8YpAX4GItbQ?t=156",'Players&gt;List'!$B11 &amp; "++" &amp; 'Players&gt;List'!$B29)</f>
        <v>[CHB]++[SYS]</v>
      </c>
      <c r="H345" s="1"/>
      <c r="I345" s="1"/>
      <c r="J345" s="1"/>
      <c r="K345" s="1"/>
      <c r="L345" s="1"/>
      <c r="M345" s="1"/>
      <c r="N345" s="1"/>
    </row>
    <row r="346">
      <c r="A346" s="1"/>
      <c r="B346" s="14" t="s">
        <v>6264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"/>
    </row>
    <row r="347">
      <c r="A347" s="1"/>
      <c r="B347" s="4" t="s">
        <v>6265</v>
      </c>
      <c r="D347" s="9"/>
      <c r="E347" s="17" t="s">
        <v>14</v>
      </c>
      <c r="F347" s="18" t="str">
        <f>HYPERLINK("https://youtu.be/rxiAG1005YM",'Players&gt;List'!$B11 &amp; "++" &amp; 'Players&gt;List'!$B29)</f>
        <v>[CHB]++[SYS]</v>
      </c>
      <c r="H347" s="1"/>
      <c r="I347" s="1"/>
      <c r="J347" s="1"/>
      <c r="K347" s="1"/>
      <c r="L347" s="1"/>
      <c r="M347" s="1"/>
      <c r="N347" s="1"/>
    </row>
    <row r="348">
      <c r="A348" s="1"/>
      <c r="B348" s="14" t="s">
        <v>6266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"/>
    </row>
    <row r="349">
      <c r="A349" s="1"/>
      <c r="B349" s="4" t="s">
        <v>6268</v>
      </c>
      <c r="D349" s="9"/>
      <c r="E349" s="17" t="s">
        <v>14</v>
      </c>
      <c r="F349" s="18" t="str">
        <f>HYPERLINK("https://youtu.be/rxiAG1005YM?t=21",'Players&gt;List'!$B11 &amp; "++" &amp; 'Players&gt;List'!$B29)</f>
        <v>[CHB]++[SYS]</v>
      </c>
      <c r="H349" s="1"/>
      <c r="I349" s="1"/>
      <c r="J349" s="1"/>
      <c r="K349" s="1"/>
      <c r="L349" s="1"/>
      <c r="M349" s="1"/>
      <c r="N349" s="1"/>
    </row>
    <row r="350">
      <c r="A350" s="1"/>
      <c r="B350" s="14" t="s">
        <v>6269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"/>
    </row>
    <row r="351">
      <c r="A351" s="1"/>
      <c r="B351" s="4" t="s">
        <v>6270</v>
      </c>
      <c r="D351" s="9"/>
      <c r="E351" s="17" t="s">
        <v>14</v>
      </c>
      <c r="F351" s="18" t="str">
        <f>HYPERLINK("https://youtu.be/4sUoqlpF4HE?t=336",'Players&gt;List'!$B32)</f>
        <v>[XEL]</v>
      </c>
      <c r="H351" s="18" t="str">
        <f>HYPERLINK("https://youtu.be/rxiAG1005YM?t=44",'Players&gt;List'!$B11 &amp; "++" &amp; 'Players&gt;List'!$B29)</f>
        <v>[CHB]++[SYS]</v>
      </c>
      <c r="J351" s="1"/>
      <c r="K351" s="1"/>
      <c r="L351" s="1"/>
      <c r="M351" s="1"/>
      <c r="N351" s="1"/>
    </row>
    <row r="352">
      <c r="A352" s="1"/>
      <c r="B352" s="14" t="s">
        <v>6271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"/>
    </row>
    <row r="353">
      <c r="A353" s="1"/>
      <c r="B353" s="4" t="s">
        <v>6273</v>
      </c>
      <c r="D353" s="9"/>
      <c r="E353" s="17" t="s">
        <v>14</v>
      </c>
      <c r="F353" s="18" t="str">
        <f>HYPERLINK("https://youtu.be/rxiAG1005YM?t=70",'Players&gt;List'!$B11 &amp; "++" &amp; 'Players&gt;List'!$B29)</f>
        <v>[CHB]++[SYS]</v>
      </c>
      <c r="H353" s="1"/>
      <c r="I353" s="1"/>
      <c r="J353" s="1"/>
      <c r="K353" s="1"/>
      <c r="L353" s="1"/>
      <c r="M353" s="1"/>
      <c r="N353" s="1"/>
    </row>
    <row r="354">
      <c r="A354" s="1"/>
      <c r="B354" s="14" t="s">
        <v>6275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"/>
    </row>
    <row r="355">
      <c r="A355" s="1"/>
      <c r="B355" s="4" t="s">
        <v>6276</v>
      </c>
      <c r="D355" s="9"/>
      <c r="E355" s="17" t="s">
        <v>14</v>
      </c>
      <c r="F355" s="18" t="str">
        <f>HYPERLINK("https://www.twitch.tv/videos/115847904",'Players&gt;List'!$B17 &amp; "++" &amp; 'Players&gt;List'!$B23)</f>
        <v>[GOL]++[MOL]</v>
      </c>
      <c r="H355" s="18" t="str">
        <f>HYPERLINK("https://www.youtube.com/watch?v=jEOq5kgJ3WY&amp;list=PLbU6uWaIKemqNvTeRxK-Ay6PRg9iwCKVi&amp;index=161&amp;t=0s",'Players&gt;List'!$B20 &amp; "++" &amp; 'Players&gt;List'!$B19)</f>
        <v>[KOS]++[HIT]</v>
      </c>
      <c r="J355" s="18" t="str">
        <f>HYPERLINK("https://youtu.be/rxiAG1005YM?t=88",'Players&gt;List'!$B11 &amp; "++" &amp; 'Players&gt;List'!$B29)</f>
        <v>[CHB]++[SYS]</v>
      </c>
      <c r="L355" s="1"/>
      <c r="M355" s="1"/>
      <c r="N355" s="1"/>
    </row>
    <row r="356">
      <c r="A356" s="1"/>
      <c r="B356" s="14" t="s">
        <v>6279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"/>
    </row>
    <row r="357">
      <c r="A357" s="1"/>
      <c r="B357" s="4" t="s">
        <v>6280</v>
      </c>
      <c r="D357" s="9"/>
      <c r="E357" s="17" t="s">
        <v>14</v>
      </c>
      <c r="F357" s="18" t="str">
        <f>HYPERLINK("https://youtu.be/D3J37XcaXqk?t=1s",'Players&gt;List'!$B11 &amp; "++" &amp; 'Players&gt;List'!$B29)</f>
        <v>[CHB]++[SYS]</v>
      </c>
      <c r="H357" s="1"/>
      <c r="I357" s="1"/>
      <c r="J357" s="1"/>
      <c r="K357" s="1"/>
      <c r="L357" s="1"/>
      <c r="M357" s="1"/>
      <c r="N357" s="1"/>
    </row>
    <row r="358">
      <c r="A358" s="1"/>
      <c r="B358" s="14" t="s">
        <v>6281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"/>
    </row>
    <row r="359">
      <c r="A359" s="1"/>
      <c r="B359" s="4" t="s">
        <v>6282</v>
      </c>
      <c r="D359" s="9"/>
      <c r="E359" s="17" t="s">
        <v>14</v>
      </c>
      <c r="F359" s="18" t="str">
        <f>HYPERLINK("https://youtu.be/D3J37XcaXqk?t=18s",'Players&gt;List'!$B11 &amp; "++" &amp; 'Players&gt;List'!$B29)</f>
        <v>[CHB]++[SYS]</v>
      </c>
      <c r="H359" s="1"/>
      <c r="I359" s="1"/>
      <c r="J359" s="1"/>
      <c r="K359" s="1"/>
      <c r="L359" s="1"/>
      <c r="M359" s="1"/>
      <c r="N359" s="1"/>
    </row>
    <row r="360">
      <c r="A360" s="1"/>
      <c r="B360" s="14" t="s">
        <v>6283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"/>
    </row>
    <row r="361">
      <c r="A361" s="1"/>
      <c r="B361" s="4" t="s">
        <v>6284</v>
      </c>
      <c r="D361" s="9"/>
      <c r="E361" s="17" t="s">
        <v>14</v>
      </c>
      <c r="F361" s="18" t="str">
        <f>HYPERLINK("https://youtu.be/D3J37XcaXqk?t=57s",'Players&gt;List'!$B11 &amp; "++" &amp; 'Players&gt;List'!$B29)</f>
        <v>[CHB]++[SYS]</v>
      </c>
      <c r="H361" s="1"/>
      <c r="I361" s="1"/>
      <c r="J361" s="1"/>
      <c r="K361" s="1"/>
      <c r="L361" s="1"/>
      <c r="M361" s="1"/>
      <c r="N361" s="1"/>
    </row>
    <row r="362">
      <c r="A362" s="1"/>
      <c r="B362" s="14" t="s">
        <v>6286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"/>
    </row>
    <row r="363">
      <c r="A363" s="1"/>
      <c r="B363" s="4" t="s">
        <v>6289</v>
      </c>
      <c r="D363" s="9"/>
      <c r="E363" s="17" t="s">
        <v>14</v>
      </c>
      <c r="F363" s="18" t="str">
        <f>HYPERLINK("https://youtu.be/D3J37XcaXqk?t=1m28s",'Players&gt;List'!$B11 &amp; "++" &amp; 'Players&gt;List'!$B29)</f>
        <v>[CHB]++[SYS]</v>
      </c>
      <c r="H363" s="1"/>
      <c r="I363" s="1"/>
      <c r="J363" s="1"/>
      <c r="K363" s="1"/>
      <c r="L363" s="1"/>
      <c r="M363" s="1"/>
      <c r="N363" s="1"/>
    </row>
    <row r="364">
      <c r="A364" s="1"/>
      <c r="B364" s="14" t="s">
        <v>6291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"/>
    </row>
    <row r="365">
      <c r="A365" s="1"/>
      <c r="B365" s="4" t="s">
        <v>6293</v>
      </c>
      <c r="D365" s="9"/>
      <c r="E365" s="17" t="s">
        <v>14</v>
      </c>
      <c r="F365" s="18" t="str">
        <f>HYPERLINK("https://youtu.be/D3J37XcaXqk?t=1m58s",'Players&gt;List'!$B11 &amp; "++" &amp; 'Players&gt;List'!$B29)</f>
        <v>[CHB]++[SYS]</v>
      </c>
      <c r="H365" s="1"/>
      <c r="I365" s="1"/>
      <c r="J365" s="1"/>
      <c r="K365" s="1"/>
      <c r="L365" s="1"/>
      <c r="M365" s="1"/>
      <c r="N365" s="1"/>
    </row>
    <row r="366">
      <c r="A366" s="1"/>
      <c r="B366" s="14" t="s">
        <v>6295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"/>
    </row>
    <row r="367">
      <c r="A367" s="1"/>
      <c r="B367" s="4" t="s">
        <v>6296</v>
      </c>
      <c r="D367" s="9"/>
      <c r="E367" s="17" t="s">
        <v>14</v>
      </c>
      <c r="F367" s="18" t="str">
        <f>HYPERLINK("https://youtu.be/muGKmkleBeg",'Players&gt;List'!$B11 &amp; "++" &amp; 'Players&gt;List'!$B29)</f>
        <v>[CHB]++[SYS]</v>
      </c>
      <c r="H367" s="1"/>
      <c r="I367" s="1"/>
      <c r="J367" s="1"/>
      <c r="K367" s="1"/>
      <c r="L367" s="1"/>
      <c r="M367" s="1"/>
      <c r="N367" s="1"/>
    </row>
    <row r="368">
      <c r="A368" s="1"/>
      <c r="B368" s="14" t="s">
        <v>6297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"/>
    </row>
    <row r="369">
      <c r="A369" s="1"/>
      <c r="B369" s="4" t="s">
        <v>6298</v>
      </c>
      <c r="D369" s="9"/>
      <c r="E369" s="17" t="s">
        <v>14</v>
      </c>
      <c r="F369" s="18" t="str">
        <f>HYPERLINK("https://youtu.be/muGKmkleBeg?t=15s",'Players&gt;List'!$B11 &amp; "++" &amp; 'Players&gt;List'!$B29)</f>
        <v>[CHB]++[SYS]</v>
      </c>
      <c r="H369" s="1"/>
      <c r="I369" s="1"/>
      <c r="J369" s="1"/>
      <c r="K369" s="1"/>
      <c r="L369" s="1"/>
      <c r="M369" s="1"/>
      <c r="N369" s="1"/>
    </row>
    <row r="370">
      <c r="A370" s="1"/>
      <c r="B370" s="14" t="s">
        <v>6300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"/>
    </row>
    <row r="371">
      <c r="A371" s="1"/>
      <c r="B371" s="4" t="s">
        <v>6301</v>
      </c>
      <c r="D371" s="9"/>
      <c r="E371" s="17" t="s">
        <v>14</v>
      </c>
      <c r="F371" s="18" t="str">
        <f>HYPERLINK("https://youtu.be/muGKmkleBeg?t=1m34s",'Players&gt;List'!$B11 &amp; "++" &amp; 'Players&gt;List'!$B29)</f>
        <v>[CHB]++[SYS]</v>
      </c>
      <c r="H371" s="1"/>
      <c r="I371" s="1"/>
      <c r="J371" s="1"/>
      <c r="K371" s="1"/>
      <c r="L371" s="1"/>
      <c r="M371" s="1"/>
      <c r="N371" s="1"/>
    </row>
    <row r="372">
      <c r="A372" s="1"/>
      <c r="B372" s="14" t="s">
        <v>6302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"/>
    </row>
    <row r="373">
      <c r="A373" s="1"/>
      <c r="B373" s="4" t="s">
        <v>6303</v>
      </c>
      <c r="D373" s="9"/>
      <c r="E373" s="17" t="s">
        <v>14</v>
      </c>
      <c r="F373" s="18" t="str">
        <f>HYPERLINK("https://youtu.be/muGKmkleBeg?t=2m14s",'Players&gt;List'!$B11 &amp; "++" &amp; 'Players&gt;List'!$B29)</f>
        <v>[CHB]++[SYS]</v>
      </c>
      <c r="H373" s="1"/>
      <c r="I373" s="1"/>
      <c r="J373" s="1"/>
      <c r="K373" s="1"/>
      <c r="L373" s="1"/>
      <c r="M373" s="1"/>
      <c r="N373" s="1"/>
    </row>
    <row r="374">
      <c r="A374" s="1"/>
      <c r="B374" s="14" t="s">
        <v>6304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"/>
    </row>
    <row r="375">
      <c r="A375" s="1"/>
      <c r="B375" s="4" t="s">
        <v>6305</v>
      </c>
      <c r="D375" s="9"/>
      <c r="E375" s="17" t="s">
        <v>14</v>
      </c>
      <c r="F375" s="18" t="str">
        <f>HYPERLINK("https://youtu.be/muGKmkleBeg?t=2m42s",'Players&gt;List'!$B11 &amp; "++" &amp; 'Players&gt;List'!$B29)</f>
        <v>[CHB]++[SYS]</v>
      </c>
      <c r="H375" s="1"/>
      <c r="I375" s="1"/>
      <c r="J375" s="1"/>
      <c r="K375" s="1"/>
      <c r="L375" s="1"/>
      <c r="M375" s="1"/>
      <c r="N375" s="1"/>
    </row>
    <row r="376">
      <c r="A376" s="1"/>
      <c r="B376" s="14" t="s">
        <v>6306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"/>
    </row>
    <row r="377">
      <c r="A377" s="1"/>
      <c r="B377" s="4" t="s">
        <v>6307</v>
      </c>
      <c r="D377" s="9"/>
      <c r="E377" s="17" t="s">
        <v>14</v>
      </c>
      <c r="F377" s="18" t="str">
        <f>HYPERLINK("https://youtu.be/5WUt6DVIID8",'Players&gt;List'!$B11 &amp; "++" &amp; 'Players&gt;List'!$B29)</f>
        <v>[CHB]++[SYS]</v>
      </c>
      <c r="H377" s="1"/>
      <c r="I377" s="1"/>
      <c r="J377" s="1"/>
      <c r="K377" s="1"/>
      <c r="L377" s="1"/>
      <c r="M377" s="1"/>
      <c r="N377" s="1"/>
    </row>
    <row r="378">
      <c r="A378" s="1"/>
      <c r="B378" s="14" t="s">
        <v>6308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"/>
    </row>
    <row r="379">
      <c r="A379" s="1"/>
      <c r="B379" s="4" t="s">
        <v>6309</v>
      </c>
      <c r="D379" s="9"/>
      <c r="E379" s="17" t="s">
        <v>14</v>
      </c>
      <c r="F379" s="18" t="str">
        <f>HYPERLINK("https://youtu.be/5WUt6DVIID8?t=30s",'Players&gt;List'!$B11 &amp; "++" &amp; 'Players&gt;List'!$B29)</f>
        <v>[CHB]++[SYS]</v>
      </c>
      <c r="H379" s="1"/>
      <c r="I379" s="1"/>
      <c r="J379" s="1"/>
      <c r="K379" s="1"/>
      <c r="L379" s="1"/>
      <c r="M379" s="1"/>
      <c r="N379" s="1"/>
    </row>
    <row r="380">
      <c r="A380" s="1"/>
      <c r="B380" s="14" t="s">
        <v>6310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"/>
    </row>
    <row r="381">
      <c r="A381" s="1"/>
      <c r="B381" s="4" t="s">
        <v>6311</v>
      </c>
      <c r="D381" s="9"/>
      <c r="E381" s="17" t="s">
        <v>14</v>
      </c>
      <c r="F381" s="18" t="str">
        <f>HYPERLINK("https://youtu.be/5WUt6DVIID8?t=1m14s",'Players&gt;List'!$B11 &amp; "++" &amp; 'Players&gt;List'!$B29)</f>
        <v>[CHB]++[SYS]</v>
      </c>
      <c r="H381" s="1"/>
      <c r="I381" s="1"/>
      <c r="J381" s="1"/>
      <c r="K381" s="1"/>
      <c r="L381" s="1"/>
      <c r="M381" s="1"/>
      <c r="N381" s="1"/>
    </row>
    <row r="382">
      <c r="A382" s="1"/>
      <c r="B382" s="14" t="s">
        <v>6312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"/>
    </row>
    <row r="383">
      <c r="A383" s="1"/>
      <c r="B383" s="4" t="s">
        <v>6313</v>
      </c>
      <c r="D383" s="9"/>
      <c r="E383" s="17" t="s">
        <v>14</v>
      </c>
      <c r="F383" s="18" t="str">
        <f>HYPERLINK("https://youtu.be/5WUt6DVIID8?t=1m53s",'Players&gt;List'!$B11 &amp; "++" &amp; 'Players&gt;List'!$B29)</f>
        <v>[CHB]++[SYS]</v>
      </c>
      <c r="H383" s="1"/>
      <c r="I383" s="1"/>
      <c r="J383" s="1"/>
      <c r="K383" s="1"/>
      <c r="L383" s="1"/>
      <c r="M383" s="1"/>
      <c r="N383" s="1"/>
    </row>
    <row r="384">
      <c r="A384" s="1"/>
      <c r="B384" s="14" t="s">
        <v>6315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"/>
    </row>
    <row r="385">
      <c r="A385" s="1"/>
      <c r="B385" s="4" t="s">
        <v>6316</v>
      </c>
      <c r="D385" s="9"/>
      <c r="E385" s="17" t="s">
        <v>14</v>
      </c>
      <c r="F385" s="18" t="str">
        <f>HYPERLINK("https://youtu.be/5WUt6DVIID8?t=2m23s",'Players&gt;List'!$B11 &amp; "++" &amp; 'Players&gt;List'!$B29)</f>
        <v>[CHB]++[SYS]</v>
      </c>
      <c r="H385" s="1"/>
      <c r="I385" s="1"/>
      <c r="J385" s="1"/>
      <c r="K385" s="1"/>
      <c r="L385" s="1"/>
      <c r="M385" s="1"/>
      <c r="N385" s="1"/>
    </row>
    <row r="386">
      <c r="A386" s="1"/>
      <c r="B386" s="14" t="s">
        <v>6319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"/>
    </row>
    <row r="387">
      <c r="A387" s="1"/>
      <c r="B387" s="4" t="s">
        <v>6320</v>
      </c>
      <c r="D387" s="9"/>
      <c r="E387" s="17" t="s">
        <v>14</v>
      </c>
      <c r="F387" s="18" t="str">
        <f>HYPERLINK("https://youtu.be/Tg38Kp0joSI",'Players&gt;List'!$B11 &amp; "++" &amp; 'Players&gt;List'!$B29)</f>
        <v>[CHB]++[SYS]</v>
      </c>
      <c r="H387" s="1"/>
      <c r="I387" s="1"/>
      <c r="J387" s="1"/>
      <c r="K387" s="1"/>
      <c r="L387" s="1"/>
      <c r="M387" s="1"/>
      <c r="N387" s="1"/>
    </row>
    <row r="388">
      <c r="A388" s="1"/>
      <c r="B388" s="14" t="s">
        <v>6321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"/>
    </row>
    <row r="389">
      <c r="A389" s="1"/>
      <c r="B389" s="4" t="s">
        <v>6322</v>
      </c>
      <c r="D389" s="9"/>
      <c r="E389" s="17" t="s">
        <v>14</v>
      </c>
      <c r="F389" s="18" t="str">
        <f>HYPERLINK("https://youtu.be/Tg38Kp0joSI?t=26s",'Players&gt;List'!$B11 &amp; "++" &amp; 'Players&gt;List'!$B29)</f>
        <v>[CHB]++[SYS]</v>
      </c>
      <c r="H389" s="1"/>
      <c r="I389" s="1"/>
      <c r="J389" s="1"/>
      <c r="K389" s="1"/>
      <c r="L389" s="1"/>
      <c r="M389" s="1"/>
      <c r="N389" s="1"/>
    </row>
    <row r="390">
      <c r="A390" s="1"/>
      <c r="B390" s="14" t="s">
        <v>6323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"/>
    </row>
    <row r="391">
      <c r="A391" s="1"/>
      <c r="B391" s="4" t="s">
        <v>6324</v>
      </c>
      <c r="D391" s="9"/>
      <c r="E391" s="17" t="s">
        <v>14</v>
      </c>
      <c r="F391" s="18" t="str">
        <f>HYPERLINK("https://youtu.be/Tg38Kp0joSI?t=1m41s",'Players&gt;List'!$B11 &amp; "++" &amp; 'Players&gt;List'!$B29)</f>
        <v>[CHB]++[SYS]</v>
      </c>
      <c r="H391" s="1"/>
      <c r="I391" s="1"/>
      <c r="J391" s="1"/>
      <c r="K391" s="1"/>
      <c r="L391" s="1"/>
      <c r="M391" s="1"/>
      <c r="N391" s="1"/>
    </row>
    <row r="392">
      <c r="A392" s="1"/>
      <c r="B392" s="14" t="s">
        <v>6325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"/>
    </row>
    <row r="393">
      <c r="A393" s="1"/>
      <c r="B393" s="4" t="s">
        <v>6326</v>
      </c>
      <c r="D393" s="9"/>
      <c r="E393" s="17" t="s">
        <v>14</v>
      </c>
      <c r="F393" s="18" t="str">
        <f>HYPERLINK("https://youtu.be/Tg38Kp0joSI?t=2m11s",'Players&gt;List'!$B11 &amp; "++" &amp; 'Players&gt;List'!$B29)</f>
        <v>[CHB]++[SYS]</v>
      </c>
      <c r="H393" s="1"/>
      <c r="I393" s="1"/>
      <c r="J393" s="1"/>
      <c r="K393" s="1"/>
      <c r="L393" s="1"/>
      <c r="M393" s="1"/>
      <c r="N393" s="1"/>
    </row>
    <row r="394">
      <c r="A394" s="1"/>
      <c r="B394" s="14" t="s">
        <v>6327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"/>
    </row>
    <row r="395">
      <c r="A395" s="1"/>
      <c r="B395" s="4" t="s">
        <v>6328</v>
      </c>
      <c r="D395" s="9"/>
      <c r="E395" s="17" t="s">
        <v>14</v>
      </c>
      <c r="F395" s="18" t="str">
        <f>HYPERLINK("https://youtu.be/Tg38Kp0joSI?t=2m53s",'Players&gt;List'!$B11 &amp; "++" &amp; 'Players&gt;List'!$B29)</f>
        <v>[CHB]++[SYS]</v>
      </c>
      <c r="H395" s="1"/>
      <c r="I395" s="1"/>
      <c r="J395" s="1"/>
      <c r="K395" s="1"/>
      <c r="L395" s="1"/>
      <c r="M395" s="1"/>
      <c r="N395" s="1"/>
    </row>
    <row r="396">
      <c r="A396" s="1"/>
      <c r="B396" s="14" t="s">
        <v>6329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"/>
    </row>
    <row r="397">
      <c r="A397" s="1"/>
      <c r="B397" s="4" t="s">
        <v>6330</v>
      </c>
      <c r="D397" s="9"/>
      <c r="E397" s="17" t="s">
        <v>14</v>
      </c>
      <c r="F397" s="18" t="str">
        <f>HYPERLINK("https://youtu.be/x63mfhMrGTw?t=1",'Players&gt;List'!$B11 &amp; "++" &amp; 'Players&gt;List'!$B29)</f>
        <v>[CHB]++[SYS]</v>
      </c>
      <c r="H397" s="1"/>
      <c r="I397" s="1"/>
      <c r="J397" s="1"/>
      <c r="K397" s="1"/>
      <c r="L397" s="1"/>
      <c r="M397" s="1"/>
      <c r="N397" s="1"/>
    </row>
    <row r="398">
      <c r="A398" s="1"/>
      <c r="B398" s="14" t="s">
        <v>6331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"/>
    </row>
    <row r="399">
      <c r="A399" s="1"/>
      <c r="B399" s="4" t="s">
        <v>6332</v>
      </c>
      <c r="D399" s="9"/>
      <c r="E399" s="17" t="s">
        <v>14</v>
      </c>
      <c r="F399" s="18" t="str">
        <f>HYPERLINK("https://youtu.be/x63mfhMrGTw?t=40",'Players&gt;List'!$B11 &amp; "++" &amp; 'Players&gt;List'!$B29)</f>
        <v>[CHB]++[SYS]</v>
      </c>
      <c r="H399" s="1"/>
      <c r="I399" s="1"/>
      <c r="J399" s="1"/>
      <c r="K399" s="1"/>
      <c r="L399" s="1"/>
      <c r="M399" s="1"/>
      <c r="N399" s="1"/>
    </row>
    <row r="400">
      <c r="A400" s="1"/>
      <c r="B400" s="14" t="s">
        <v>6334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"/>
    </row>
    <row r="401">
      <c r="A401" s="1"/>
      <c r="B401" s="4" t="s">
        <v>6335</v>
      </c>
      <c r="D401" s="9"/>
      <c r="E401" s="17" t="s">
        <v>14</v>
      </c>
      <c r="F401" s="18" t="str">
        <f>HYPERLINK("https://youtu.be/x63mfhMrGTw?t=119",'Players&gt;List'!$B11 &amp; "++" &amp; 'Players&gt;List'!$B29)</f>
        <v>[CHB]++[SYS]</v>
      </c>
      <c r="H401" s="1"/>
      <c r="I401" s="1"/>
      <c r="J401" s="1"/>
      <c r="K401" s="1"/>
      <c r="L401" s="1"/>
      <c r="M401" s="1"/>
      <c r="N401" s="1"/>
    </row>
    <row r="402">
      <c r="A402" s="1"/>
      <c r="B402" s="14" t="s">
        <v>6336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"/>
    </row>
    <row r="403">
      <c r="A403" s="1"/>
      <c r="B403" s="4" t="s">
        <v>6337</v>
      </c>
      <c r="D403" s="9"/>
      <c r="E403" s="17" t="s">
        <v>14</v>
      </c>
      <c r="F403" s="18" t="str">
        <f>HYPERLINK("https://youtu.be/x63mfhMrGTw?t=166",'Players&gt;List'!$B11 &amp; "++" &amp; 'Players&gt;List'!$B29)</f>
        <v>[CHB]++[SYS]</v>
      </c>
      <c r="H403" s="1"/>
      <c r="I403" s="1"/>
      <c r="J403" s="1"/>
      <c r="K403" s="1"/>
      <c r="L403" s="1"/>
      <c r="M403" s="1"/>
      <c r="N403" s="1"/>
    </row>
    <row r="404">
      <c r="A404" s="1"/>
      <c r="B404" s="14" t="s">
        <v>6338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"/>
    </row>
    <row r="405">
      <c r="A405" s="1"/>
      <c r="B405" s="4" t="s">
        <v>6339</v>
      </c>
      <c r="D405" s="9"/>
      <c r="E405" s="17" t="s">
        <v>14</v>
      </c>
      <c r="F405" s="18" t="str">
        <f>HYPERLINK("https://youtu.be/x63mfhMrGTw?t=222",'Players&gt;List'!$B11 &amp; "++" &amp; 'Players&gt;List'!$B29)</f>
        <v>[CHB]++[SYS]</v>
      </c>
      <c r="H405" s="1"/>
      <c r="I405" s="1"/>
      <c r="J405" s="1"/>
      <c r="K405" s="1"/>
      <c r="L405" s="1"/>
      <c r="M405" s="1"/>
      <c r="N405" s="1"/>
    </row>
    <row r="406">
      <c r="A406" s="1"/>
      <c r="B406" s="14" t="s">
        <v>6340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"/>
    </row>
    <row r="407">
      <c r="A407" s="1"/>
      <c r="B407" s="4" t="s">
        <v>6341</v>
      </c>
      <c r="D407" s="9"/>
      <c r="E407" s="17" t="s">
        <v>14</v>
      </c>
      <c r="F407" s="18" t="str">
        <f>HYPERLINK("https://youtu.be/rjVNDnwpi68",'Players&gt;List'!$B11 &amp; "++" &amp; 'Players&gt;List'!$B29)</f>
        <v>[CHB]++[SYS]</v>
      </c>
      <c r="H407" s="1"/>
      <c r="I407" s="1"/>
      <c r="J407" s="1"/>
      <c r="K407" s="1"/>
      <c r="L407" s="1"/>
      <c r="M407" s="1"/>
      <c r="N407" s="1"/>
    </row>
    <row r="408">
      <c r="A408" s="1"/>
      <c r="B408" s="14" t="s">
        <v>6342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"/>
    </row>
    <row r="409">
      <c r="A409" s="1"/>
      <c r="B409" s="4" t="s">
        <v>6343</v>
      </c>
      <c r="D409" s="9"/>
      <c r="E409" s="17" t="s">
        <v>14</v>
      </c>
      <c r="F409" s="18" t="str">
        <f>HYPERLINK("https://youtu.be/rjVNDnwpi68?t=20s",'Players&gt;List'!$B11 &amp; "++" &amp; 'Players&gt;List'!$B29)</f>
        <v>[CHB]++[SYS]</v>
      </c>
      <c r="H409" s="1"/>
      <c r="I409" s="1"/>
      <c r="J409" s="1"/>
      <c r="K409" s="1"/>
      <c r="L409" s="1"/>
      <c r="M409" s="1"/>
      <c r="N409" s="1"/>
    </row>
    <row r="410">
      <c r="A410" s="1"/>
      <c r="B410" s="14" t="s">
        <v>6344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"/>
    </row>
    <row r="411">
      <c r="A411" s="1"/>
      <c r="B411" s="4" t="s">
        <v>6345</v>
      </c>
      <c r="D411" s="9"/>
      <c r="E411" s="17" t="s">
        <v>14</v>
      </c>
      <c r="F411" s="18" t="str">
        <f>HYPERLINK("https://youtu.be/rjVNDnwpi68?t=1m12s",'Players&gt;List'!$B11 &amp; "++" &amp; 'Players&gt;List'!$B29)</f>
        <v>[CHB]++[SYS]</v>
      </c>
      <c r="H411" s="1"/>
      <c r="I411" s="1"/>
      <c r="J411" s="1"/>
      <c r="K411" s="1"/>
      <c r="L411" s="1"/>
      <c r="M411" s="1"/>
      <c r="N411" s="1"/>
    </row>
    <row r="412">
      <c r="A412" s="1"/>
      <c r="B412" s="14" t="s">
        <v>6347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"/>
    </row>
    <row r="413">
      <c r="A413" s="1"/>
      <c r="B413" s="4" t="s">
        <v>6348</v>
      </c>
      <c r="D413" s="9"/>
      <c r="E413" s="17" t="s">
        <v>14</v>
      </c>
      <c r="F413" s="18" t="str">
        <f>HYPERLINK("https://youtu.be/rjVNDnwpi68?t=1m56s",'Players&gt;List'!$B11 &amp; "++" &amp; 'Players&gt;List'!$B29)</f>
        <v>[CHB]++[SYS]</v>
      </c>
      <c r="H413" s="1"/>
      <c r="I413" s="1"/>
      <c r="J413" s="1"/>
      <c r="K413" s="1"/>
      <c r="L413" s="1"/>
      <c r="M413" s="1"/>
      <c r="N413" s="1"/>
    </row>
    <row r="414">
      <c r="A414" s="1"/>
      <c r="B414" s="14" t="s">
        <v>2372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"/>
    </row>
    <row r="415">
      <c r="A415" s="1"/>
      <c r="B415" s="4" t="s">
        <v>6349</v>
      </c>
      <c r="D415" s="9"/>
      <c r="E415" s="17" t="s">
        <v>14</v>
      </c>
      <c r="F415" s="18" t="str">
        <f>HYPERLINK("https://youtu.be/rjVNDnwpi68?t=2m36s",'Players&gt;List'!$B11 &amp; "++" &amp; 'Players&gt;List'!$B29)</f>
        <v>[CHB]++[SYS]</v>
      </c>
      <c r="H415" s="1"/>
      <c r="I415" s="1"/>
      <c r="J415" s="1"/>
      <c r="K415" s="1"/>
      <c r="L415" s="1"/>
      <c r="M415" s="1"/>
      <c r="N415" s="1"/>
    </row>
    <row r="416">
      <c r="A416" s="1"/>
      <c r="B416" s="14" t="s">
        <v>6350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"/>
    </row>
    <row r="417">
      <c r="A417" s="1"/>
      <c r="B417" s="4" t="s">
        <v>6351</v>
      </c>
      <c r="D417" s="9"/>
      <c r="E417" s="17" t="s">
        <v>14</v>
      </c>
      <c r="F417" s="18" t="str">
        <f>HYPERLINK("https://youtu.be/_1XaXIZhJDk",'Players&gt;List'!$B11 &amp; "++" &amp; 'Players&gt;List'!$B29)</f>
        <v>[CHB]++[SYS]</v>
      </c>
      <c r="H417" s="1"/>
      <c r="I417" s="1"/>
      <c r="J417" s="1"/>
      <c r="K417" s="1"/>
      <c r="L417" s="1"/>
      <c r="M417" s="1"/>
      <c r="N417" s="1"/>
    </row>
    <row r="418">
      <c r="A418" s="1"/>
      <c r="B418" s="14" t="s">
        <v>6352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"/>
    </row>
    <row r="419">
      <c r="A419" s="1"/>
      <c r="B419" s="4" t="s">
        <v>6353</v>
      </c>
      <c r="D419" s="9"/>
      <c r="E419" s="17" t="s">
        <v>14</v>
      </c>
      <c r="F419" s="18" t="str">
        <f>HYPERLINK("https://youtu.be/_1XaXIZhJDk?t=51s",'Players&gt;List'!$B11 &amp; "++" &amp; 'Players&gt;List'!$B29)</f>
        <v>[CHB]++[SYS]</v>
      </c>
      <c r="H419" s="1"/>
      <c r="I419" s="1"/>
      <c r="J419" s="1"/>
      <c r="K419" s="1"/>
      <c r="L419" s="1"/>
      <c r="M419" s="1"/>
      <c r="N419" s="1"/>
    </row>
    <row r="420">
      <c r="A420" s="1"/>
      <c r="B420" s="14" t="s">
        <v>6354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"/>
    </row>
    <row r="421">
      <c r="A421" s="1"/>
      <c r="B421" s="4" t="s">
        <v>6355</v>
      </c>
      <c r="D421" s="9"/>
      <c r="E421" s="17" t="s">
        <v>14</v>
      </c>
      <c r="F421" s="18" t="str">
        <f>HYPERLINK("https://youtu.be/_1XaXIZhJDk?t=1m7s",'Players&gt;List'!$B11 &amp; "++" &amp; 'Players&gt;List'!$B29)</f>
        <v>[CHB]++[SYS]</v>
      </c>
      <c r="H421" s="1"/>
      <c r="I421" s="1"/>
      <c r="J421" s="1"/>
      <c r="K421" s="1"/>
      <c r="L421" s="1"/>
      <c r="M421" s="1"/>
      <c r="N421" s="1"/>
    </row>
    <row r="422">
      <c r="A422" s="1"/>
      <c r="B422" s="14" t="s">
        <v>6356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"/>
    </row>
    <row r="423">
      <c r="A423" s="1"/>
      <c r="B423" s="4" t="s">
        <v>6357</v>
      </c>
      <c r="D423" s="9"/>
      <c r="E423" s="17" t="s">
        <v>14</v>
      </c>
      <c r="F423" s="18" t="str">
        <f>HYPERLINK("https://youtu.be/_1XaXIZhJDk?t=1m56s",'Players&gt;List'!$B11 &amp; "++" &amp; 'Players&gt;List'!$B29)</f>
        <v>[CHB]++[SYS]</v>
      </c>
      <c r="H423" s="1"/>
      <c r="I423" s="1"/>
      <c r="J423" s="1"/>
      <c r="K423" s="1"/>
      <c r="L423" s="1"/>
      <c r="M423" s="1"/>
      <c r="N423" s="1"/>
    </row>
    <row r="424">
      <c r="A424" s="1"/>
      <c r="B424" s="14" t="s">
        <v>6358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"/>
    </row>
    <row r="425">
      <c r="A425" s="1"/>
      <c r="B425" s="4" t="s">
        <v>6359</v>
      </c>
      <c r="D425" s="9"/>
      <c r="E425" s="17" t="s">
        <v>14</v>
      </c>
      <c r="F425" s="18" t="str">
        <f>HYPERLINK("https://youtu.be/_1XaXIZhJDk?t=2m11s",'Players&gt;List'!$B11 &amp; "++" &amp; 'Players&gt;List'!$B29)</f>
        <v>[CHB]++[SYS]</v>
      </c>
      <c r="H425" s="1"/>
      <c r="I425" s="1"/>
      <c r="J425" s="1"/>
      <c r="K425" s="1"/>
      <c r="L425" s="1"/>
      <c r="M425" s="1"/>
      <c r="N425" s="1"/>
    </row>
    <row r="426">
      <c r="A426" s="1"/>
      <c r="B426" s="14" t="s">
        <v>6360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"/>
    </row>
    <row r="427">
      <c r="A427" s="1"/>
      <c r="B427" s="4" t="s">
        <v>6361</v>
      </c>
      <c r="D427" s="9"/>
      <c r="E427" s="17" t="s">
        <v>14</v>
      </c>
      <c r="F427" s="18" t="str">
        <f>HYPERLINK("https://youtu.be/Vhq6Bo0hDuM",'Players&gt;List'!$B11 &amp; "++" &amp; 'Players&gt;List'!$B29)</f>
        <v>[CHB]++[SYS]</v>
      </c>
      <c r="H427" s="1"/>
      <c r="I427" s="1"/>
      <c r="J427" s="1"/>
      <c r="K427" s="1"/>
      <c r="L427" s="1"/>
      <c r="M427" s="1"/>
      <c r="N427" s="1"/>
    </row>
    <row r="428">
      <c r="A428" s="1"/>
      <c r="B428" s="14" t="s">
        <v>6362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"/>
    </row>
    <row r="429">
      <c r="A429" s="1"/>
      <c r="B429" s="4" t="s">
        <v>6363</v>
      </c>
      <c r="D429" s="9"/>
      <c r="E429" s="17" t="s">
        <v>14</v>
      </c>
      <c r="F429" s="18" t="str">
        <f>HYPERLINK("https://youtu.be/Vhq6Bo0hDuM?t=20s",'Players&gt;List'!$B11 &amp; "++" &amp; 'Players&gt;List'!$B29)</f>
        <v>[CHB]++[SYS]</v>
      </c>
      <c r="H429" s="1"/>
      <c r="I429" s="1"/>
      <c r="J429" s="1"/>
      <c r="K429" s="1"/>
      <c r="L429" s="1"/>
      <c r="M429" s="1"/>
      <c r="N429" s="1"/>
    </row>
    <row r="430">
      <c r="A430" s="1"/>
      <c r="B430" s="14" t="s">
        <v>6364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"/>
    </row>
    <row r="431">
      <c r="A431" s="1"/>
      <c r="B431" s="4" t="s">
        <v>6365</v>
      </c>
      <c r="D431" s="9"/>
      <c r="E431" s="17" t="s">
        <v>14</v>
      </c>
      <c r="F431" s="18" t="str">
        <f>HYPERLINK("https://youtu.be/Vhq6Bo0hDuM?t=52s",'Players&gt;List'!$B11 &amp; "++" &amp; 'Players&gt;List'!$B29)</f>
        <v>[CHB]++[SYS]</v>
      </c>
      <c r="H431" s="1"/>
      <c r="I431" s="1"/>
      <c r="J431" s="1"/>
      <c r="K431" s="1"/>
      <c r="L431" s="1"/>
      <c r="M431" s="1"/>
      <c r="N431" s="1"/>
    </row>
    <row r="432">
      <c r="A432" s="1"/>
      <c r="B432" s="14" t="s">
        <v>6366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"/>
    </row>
    <row r="433">
      <c r="A433" s="1"/>
      <c r="B433" s="4" t="s">
        <v>6367</v>
      </c>
      <c r="D433" s="9"/>
      <c r="E433" s="17" t="s">
        <v>14</v>
      </c>
      <c r="F433" s="18" t="str">
        <f>HYPERLINK("https://youtu.be/Vhq6Bo0hDuM?t=1m30s",'Players&gt;List'!$B11 &amp; "++" &amp; 'Players&gt;List'!$B29)</f>
        <v>[CHB]++[SYS]</v>
      </c>
      <c r="H433" s="1"/>
      <c r="I433" s="1"/>
      <c r="J433" s="1"/>
      <c r="K433" s="1"/>
      <c r="L433" s="1"/>
      <c r="M433" s="1"/>
      <c r="N433" s="1"/>
    </row>
    <row r="434">
      <c r="A434" s="1"/>
      <c r="B434" s="14" t="s">
        <v>6368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"/>
    </row>
    <row r="435">
      <c r="A435" s="1"/>
      <c r="B435" s="4" t="s">
        <v>6369</v>
      </c>
      <c r="D435" s="9"/>
      <c r="E435" s="17" t="s">
        <v>14</v>
      </c>
      <c r="F435" s="18" t="str">
        <f>HYPERLINK("https://youtu.be/Vhq6Bo0hDuM?t=2m13s",'Players&gt;List'!$B11 &amp; "++" &amp; 'Players&gt;List'!$B29)</f>
        <v>[CHB]++[SYS]</v>
      </c>
      <c r="H435" s="1"/>
      <c r="I435" s="1"/>
      <c r="J435" s="1"/>
      <c r="K435" s="1"/>
      <c r="L435" s="1"/>
      <c r="M435" s="1"/>
      <c r="N435" s="1"/>
    </row>
    <row r="436">
      <c r="A436" s="1"/>
      <c r="B436" s="14" t="s">
        <v>6370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"/>
    </row>
    <row r="437">
      <c r="A437" s="1"/>
      <c r="B437" s="4" t="s">
        <v>6371</v>
      </c>
      <c r="D437" s="9"/>
      <c r="E437" s="17" t="s">
        <v>14</v>
      </c>
      <c r="F437" s="18" t="str">
        <f>HYPERLINK("https://youtu.be/3Q8cJcQotMg?t=2s",'Players&gt;List'!$B11 &amp; "++" &amp; 'Players&gt;List'!$B29)</f>
        <v>[CHB]++[SYS]</v>
      </c>
      <c r="H437" s="1"/>
      <c r="I437" s="1"/>
      <c r="J437" s="1"/>
      <c r="K437" s="1"/>
      <c r="L437" s="1"/>
      <c r="M437" s="1"/>
      <c r="N437" s="1"/>
    </row>
    <row r="438">
      <c r="A438" s="1"/>
      <c r="B438" s="14" t="s">
        <v>6372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"/>
    </row>
    <row r="439">
      <c r="A439" s="1"/>
      <c r="B439" s="4" t="s">
        <v>6373</v>
      </c>
      <c r="D439" s="9"/>
      <c r="E439" s="17" t="s">
        <v>14</v>
      </c>
      <c r="F439" s="18" t="str">
        <f>HYPERLINK("https://youtu.be/3Q8cJcQotMg?t=34s",'Players&gt;List'!$B11 &amp; "++" &amp; 'Players&gt;List'!$B29)</f>
        <v>[CHB]++[SYS]</v>
      </c>
      <c r="H439" s="1"/>
      <c r="I439" s="1"/>
      <c r="J439" s="1"/>
      <c r="K439" s="1"/>
      <c r="L439" s="1"/>
      <c r="M439" s="1"/>
      <c r="N439" s="1"/>
    </row>
    <row r="440">
      <c r="A440" s="1"/>
      <c r="B440" s="14" t="s">
        <v>6374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"/>
    </row>
    <row r="441">
      <c r="A441" s="1"/>
      <c r="B441" s="4" t="s">
        <v>6375</v>
      </c>
      <c r="D441" s="9"/>
      <c r="E441" s="17" t="s">
        <v>14</v>
      </c>
      <c r="F441" s="18" t="str">
        <f>HYPERLINK("https://youtu.be/3Q8cJcQotMg?t=1m9s",'Players&gt;List'!$B11 &amp; "++" &amp; 'Players&gt;List'!$B29)</f>
        <v>[CHB]++[SYS]</v>
      </c>
      <c r="H441" s="1"/>
      <c r="I441" s="1"/>
      <c r="J441" s="1"/>
      <c r="K441" s="1"/>
      <c r="L441" s="1"/>
      <c r="M441" s="1"/>
      <c r="N441" s="1"/>
    </row>
    <row r="442">
      <c r="A442" s="1"/>
      <c r="B442" s="14" t="s">
        <v>6376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"/>
    </row>
    <row r="443">
      <c r="A443" s="1"/>
      <c r="B443" s="4" t="s">
        <v>6377</v>
      </c>
      <c r="D443" s="9"/>
      <c r="E443" s="17" t="s">
        <v>14</v>
      </c>
      <c r="F443" s="18" t="str">
        <f>HYPERLINK("https://youtu.be/3Q8cJcQotMg?t=1m55s",'Players&gt;List'!$B11 &amp; "++" &amp; 'Players&gt;List'!$B29)</f>
        <v>[CHB]++[SYS]</v>
      </c>
      <c r="H443" s="1"/>
      <c r="I443" s="1"/>
      <c r="J443" s="1"/>
      <c r="K443" s="1"/>
      <c r="L443" s="1"/>
      <c r="M443" s="1"/>
      <c r="N443" s="1"/>
    </row>
    <row r="444">
      <c r="A444" s="1"/>
      <c r="B444" s="14" t="s">
        <v>6378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"/>
    </row>
    <row r="445">
      <c r="A445" s="1"/>
      <c r="B445" s="4" t="s">
        <v>6379</v>
      </c>
      <c r="D445" s="9"/>
      <c r="E445" s="17" t="s">
        <v>14</v>
      </c>
      <c r="F445" s="18" t="str">
        <f>HYPERLINK("https://youtu.be/3Q8cJcQotMg?t=2m13s",'Players&gt;List'!$B11 &amp; "++" &amp; 'Players&gt;List'!$B29)</f>
        <v>[CHB]++[SYS]</v>
      </c>
      <c r="H445" s="1"/>
      <c r="I445" s="1"/>
      <c r="J445" s="1"/>
      <c r="K445" s="1"/>
      <c r="L445" s="1"/>
      <c r="M445" s="1"/>
      <c r="N445" s="1"/>
    </row>
    <row r="446">
      <c r="A446" s="1"/>
      <c r="B446" s="14" t="s">
        <v>6380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"/>
    </row>
    <row r="447">
      <c r="A447" s="1"/>
      <c r="B447" s="4" t="s">
        <v>6381</v>
      </c>
      <c r="D447" s="9"/>
      <c r="E447" s="17" t="s">
        <v>14</v>
      </c>
      <c r="F447" s="18" t="str">
        <f>HYPERLINK("https://youtu.be/MXxceg60bMo",'Players&gt;List'!$B11 &amp; "++" &amp; 'Players&gt;List'!$B29)</f>
        <v>[CHB]++[SYS]</v>
      </c>
      <c r="H447" s="1"/>
      <c r="I447" s="1"/>
      <c r="J447" s="1"/>
      <c r="K447" s="1"/>
      <c r="L447" s="1"/>
      <c r="M447" s="1"/>
      <c r="N447" s="1"/>
    </row>
    <row r="448">
      <c r="A448" s="1"/>
      <c r="B448" s="14" t="s">
        <v>6382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"/>
    </row>
    <row r="449">
      <c r="A449" s="1"/>
      <c r="B449" s="4" t="s">
        <v>6383</v>
      </c>
      <c r="D449" s="9"/>
      <c r="E449" s="17" t="s">
        <v>14</v>
      </c>
      <c r="F449" s="18" t="str">
        <f>HYPERLINK("https://youtu.be/4sUoqlpF4HE?t=372",'Players&gt;List'!$B32)</f>
        <v>[XEL]</v>
      </c>
      <c r="H449" s="18" t="str">
        <f>HYPERLINK("https://youtu.be/MXxceg60bMo?t=35",'Players&gt;List'!$B11 &amp; "++" &amp; 'Players&gt;List'!$B29)</f>
        <v>[CHB]++[SYS]</v>
      </c>
      <c r="J449" s="1"/>
      <c r="K449" s="1"/>
      <c r="L449" s="1"/>
      <c r="M449" s="1"/>
      <c r="N449" s="1"/>
    </row>
    <row r="450">
      <c r="A450" s="1"/>
      <c r="B450" s="14" t="s">
        <v>6384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"/>
    </row>
    <row r="451">
      <c r="A451" s="1"/>
      <c r="B451" s="4" t="s">
        <v>6385</v>
      </c>
      <c r="D451" s="9"/>
      <c r="E451" s="17" t="s">
        <v>14</v>
      </c>
      <c r="F451" s="18" t="str">
        <f>HYPERLINK("https://youtu.be/4sUoqlpF4HE?t=1038",'Players&gt;List'!$B32)</f>
        <v>[XEL]</v>
      </c>
      <c r="H451" s="18" t="str">
        <f>HYPERLINK("https://youtu.be/MXxceg60bMo?t=85",'Players&gt;List'!$B11 &amp; "++" &amp; 'Players&gt;List'!$B29)</f>
        <v>[CHB]++[SYS]</v>
      </c>
      <c r="J451" s="1"/>
      <c r="K451" s="1"/>
      <c r="L451" s="1"/>
      <c r="M451" s="1"/>
      <c r="N451" s="1"/>
    </row>
    <row r="452">
      <c r="A452" s="1"/>
      <c r="B452" s="14" t="s">
        <v>6386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"/>
    </row>
    <row r="453">
      <c r="A453" s="1"/>
      <c r="B453" s="4" t="s">
        <v>6387</v>
      </c>
      <c r="D453" s="9"/>
      <c r="E453" s="17" t="s">
        <v>14</v>
      </c>
      <c r="F453" s="18" t="str">
        <f>HYPERLINK("https://youtu.be/MXxceg60bMo?t=168",'Players&gt;List'!$B11 &amp; "++" &amp; 'Players&gt;List'!$B29)</f>
        <v>[CHB]++[SYS]</v>
      </c>
      <c r="H453" s="1"/>
      <c r="I453" s="1"/>
      <c r="J453" s="1"/>
      <c r="K453" s="1"/>
      <c r="L453" s="1"/>
      <c r="M453" s="1"/>
      <c r="N453" s="1"/>
    </row>
    <row r="454">
      <c r="A454" s="1"/>
      <c r="B454" s="14" t="s">
        <v>6388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"/>
    </row>
    <row r="455">
      <c r="A455" s="1"/>
      <c r="B455" s="4" t="s">
        <v>6389</v>
      </c>
      <c r="D455" s="9"/>
      <c r="E455" s="17" t="s">
        <v>14</v>
      </c>
      <c r="F455" s="18" t="str">
        <f>HYPERLINK("https://youtu.be/MXxceg60bMo?t=214",'Players&gt;List'!$B11 &amp; "++" &amp; 'Players&gt;List'!$B29)</f>
        <v>[CHB]++[SYS]</v>
      </c>
      <c r="H455" s="1"/>
      <c r="I455" s="1"/>
      <c r="J455" s="1"/>
      <c r="K455" s="1"/>
      <c r="L455" s="1"/>
      <c r="M455" s="1"/>
      <c r="N455" s="1"/>
    </row>
    <row r="456">
      <c r="A456" s="1"/>
      <c r="B456" s="14" t="s">
        <v>6390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"/>
    </row>
    <row r="457">
      <c r="A457" s="1"/>
      <c r="B457" s="4" t="s">
        <v>6391</v>
      </c>
      <c r="D457" s="9"/>
      <c r="E457" s="17" t="s">
        <v>14</v>
      </c>
      <c r="F457" s="18" t="str">
        <f>HYPERLINK("https://youtu.be/qzNX1XfHCyI",'Players&gt;List'!$B11 &amp; "++" &amp; 'Players&gt;List'!$B29)</f>
        <v>[CHB]++[SYS]</v>
      </c>
      <c r="H457" s="1"/>
      <c r="I457" s="1"/>
      <c r="J457" s="1"/>
      <c r="K457" s="1"/>
      <c r="L457" s="1"/>
      <c r="M457" s="1"/>
      <c r="N457" s="1"/>
    </row>
    <row r="458">
      <c r="A458" s="1"/>
      <c r="B458" s="14" t="s">
        <v>6392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"/>
    </row>
    <row r="459">
      <c r="A459" s="1"/>
      <c r="B459" s="4" t="s">
        <v>6393</v>
      </c>
      <c r="D459" s="9"/>
      <c r="E459" s="17" t="s">
        <v>14</v>
      </c>
      <c r="F459" s="18" t="str">
        <f>HYPERLINK("https://youtu.be/qzNX1XfHCyI?t=32s",'Players&gt;List'!$B11 &amp; "++" &amp; 'Players&gt;List'!$B29)</f>
        <v>[CHB]++[SYS]</v>
      </c>
      <c r="H459" s="1"/>
      <c r="I459" s="1"/>
      <c r="J459" s="1"/>
      <c r="K459" s="1"/>
      <c r="L459" s="1"/>
      <c r="M459" s="1"/>
      <c r="N459" s="1"/>
    </row>
    <row r="460">
      <c r="A460" s="1"/>
      <c r="B460" s="14" t="s">
        <v>6394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"/>
    </row>
    <row r="461">
      <c r="A461" s="1"/>
      <c r="B461" s="4" t="s">
        <v>6395</v>
      </c>
      <c r="D461" s="9"/>
      <c r="E461" s="17" t="s">
        <v>14</v>
      </c>
      <c r="F461" s="18" t="str">
        <f>HYPERLINK("https://youtu.be/qzNX1XfHCyI?t=45s",'Players&gt;List'!$B11 &amp; "++" &amp; 'Players&gt;List'!$B29)</f>
        <v>[CHB]++[SYS]</v>
      </c>
      <c r="H461" s="1"/>
      <c r="I461" s="1"/>
      <c r="J461" s="1"/>
      <c r="K461" s="1"/>
      <c r="L461" s="1"/>
      <c r="M461" s="1"/>
      <c r="N461" s="1"/>
    </row>
    <row r="462">
      <c r="A462" s="1"/>
      <c r="B462" s="14" t="s">
        <v>6396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"/>
    </row>
    <row r="463">
      <c r="A463" s="1"/>
      <c r="B463" s="4" t="s">
        <v>6397</v>
      </c>
      <c r="D463" s="9"/>
      <c r="E463" s="17" t="s">
        <v>14</v>
      </c>
      <c r="F463" s="18" t="str">
        <f>HYPERLINK("https://youtu.be/qzNX1XfHCyI?t=1m32s",'Players&gt;List'!$B11 &amp; "++" &amp; 'Players&gt;List'!$B29)</f>
        <v>[CHB]++[SYS]</v>
      </c>
      <c r="H463" s="1"/>
      <c r="I463" s="1"/>
      <c r="J463" s="1"/>
      <c r="K463" s="1"/>
      <c r="L463" s="1"/>
      <c r="M463" s="1"/>
      <c r="N463" s="1"/>
    </row>
    <row r="464">
      <c r="A464" s="1"/>
      <c r="B464" s="14" t="s">
        <v>6398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"/>
    </row>
    <row r="465">
      <c r="A465" s="1"/>
      <c r="B465" s="4" t="s">
        <v>6399</v>
      </c>
      <c r="D465" s="9"/>
      <c r="E465" s="17" t="s">
        <v>14</v>
      </c>
      <c r="F465" s="18" t="str">
        <f>HYPERLINK("https://youtu.be/qzNX1XfHCyI?t=2m25s",'Players&gt;List'!$B11 &amp; "++" &amp; 'Players&gt;List'!$B29)</f>
        <v>[CHB]++[SYS]</v>
      </c>
      <c r="H465" s="1"/>
      <c r="I465" s="1"/>
      <c r="J465" s="1"/>
      <c r="K465" s="1"/>
      <c r="L465" s="1"/>
      <c r="M465" s="1"/>
      <c r="N465" s="1"/>
    </row>
    <row r="466">
      <c r="A466" s="1"/>
      <c r="B466" s="14" t="s">
        <v>6400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"/>
    </row>
    <row r="467">
      <c r="A467" s="1"/>
      <c r="B467" s="4" t="s">
        <v>6401</v>
      </c>
      <c r="D467" s="9"/>
      <c r="E467" s="17" t="s">
        <v>14</v>
      </c>
      <c r="F467" s="18" t="str">
        <f>HYPERLINK("https://youtu.be/M9_nf7caTjk",'Players&gt;List'!$B11 &amp; "++" &amp; 'Players&gt;List'!$B29)</f>
        <v>[CHB]++[SYS]</v>
      </c>
      <c r="H467" s="1"/>
      <c r="I467" s="1"/>
      <c r="J467" s="1"/>
      <c r="K467" s="1"/>
      <c r="L467" s="1"/>
      <c r="M467" s="1"/>
      <c r="N467" s="1"/>
    </row>
    <row r="468">
      <c r="A468" s="1"/>
      <c r="B468" s="14" t="s">
        <v>6402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"/>
    </row>
    <row r="469">
      <c r="A469" s="1"/>
      <c r="B469" s="4" t="s">
        <v>6403</v>
      </c>
      <c r="D469" s="9"/>
      <c r="E469" s="17" t="s">
        <v>14</v>
      </c>
      <c r="F469" s="18" t="str">
        <f>HYPERLINK("https://youtu.be/M9_nf7caTjk?t=14s",'Players&gt;List'!$B11 &amp; "++" &amp; 'Players&gt;List'!$B29)</f>
        <v>[CHB]++[SYS]</v>
      </c>
      <c r="H469" s="1"/>
      <c r="I469" s="1"/>
      <c r="J469" s="1"/>
      <c r="K469" s="1"/>
      <c r="L469" s="1"/>
      <c r="M469" s="1"/>
      <c r="N469" s="1"/>
    </row>
    <row r="470">
      <c r="A470" s="1"/>
      <c r="B470" s="14" t="s">
        <v>6404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"/>
    </row>
    <row r="471">
      <c r="A471" s="1"/>
      <c r="B471" s="4" t="s">
        <v>6405</v>
      </c>
      <c r="D471" s="9"/>
      <c r="E471" s="17" t="s">
        <v>14</v>
      </c>
      <c r="F471" s="18" t="str">
        <f>HYPERLINK("https://youtu.be/M9_nf7caTjk?t=44s",'Players&gt;List'!$B11 &amp; "++" &amp; 'Players&gt;List'!$B29)</f>
        <v>[CHB]++[SYS]</v>
      </c>
      <c r="H471" s="1"/>
      <c r="I471" s="1"/>
      <c r="J471" s="1"/>
      <c r="K471" s="1"/>
      <c r="L471" s="1"/>
      <c r="M471" s="1"/>
      <c r="N471" s="1"/>
    </row>
    <row r="472">
      <c r="A472" s="1"/>
      <c r="B472" s="14" t="s">
        <v>6406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"/>
    </row>
    <row r="473">
      <c r="A473" s="1"/>
      <c r="B473" s="4" t="s">
        <v>6407</v>
      </c>
      <c r="D473" s="9"/>
      <c r="E473" s="17" t="s">
        <v>14</v>
      </c>
      <c r="F473" s="18" t="str">
        <f>HYPERLINK("https://youtu.be/M9_nf7caTjk?t=1m17s",'Players&gt;List'!$B11 &amp; "++" &amp; 'Players&gt;List'!$B29)</f>
        <v>[CHB]++[SYS]</v>
      </c>
      <c r="H473" s="1"/>
      <c r="I473" s="1"/>
      <c r="J473" s="1"/>
      <c r="K473" s="1"/>
      <c r="L473" s="1"/>
      <c r="M473" s="1"/>
      <c r="N473" s="1"/>
    </row>
    <row r="474">
      <c r="A474" s="1"/>
      <c r="B474" s="14" t="s">
        <v>6408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"/>
    </row>
    <row r="475">
      <c r="A475" s="1"/>
      <c r="B475" s="4" t="s">
        <v>6409</v>
      </c>
      <c r="D475" s="9"/>
      <c r="E475" s="17" t="s">
        <v>14</v>
      </c>
      <c r="F475" s="18" t="str">
        <f>HYPERLINK("https://youtu.be/4sUoqlpF4HE?t=527",'Players&gt;List'!$B32)</f>
        <v>[XEL]</v>
      </c>
      <c r="H475" s="18" t="str">
        <f>HYPERLINK("https://youtu.be/M9_nf7caTjk?t=2m8s",'Players&gt;List'!$B11 &amp; "++" &amp; 'Players&gt;List'!$B29)</f>
        <v>[CHB]++[SYS]</v>
      </c>
      <c r="J475" s="1"/>
      <c r="K475" s="1"/>
      <c r="L475" s="1"/>
      <c r="M475" s="1"/>
      <c r="N475" s="1"/>
    </row>
    <row r="476">
      <c r="A476" s="1"/>
      <c r="B476" s="14" t="s">
        <v>6410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"/>
    </row>
    <row r="477">
      <c r="A477" s="1"/>
      <c r="B477" s="4" t="s">
        <v>6411</v>
      </c>
      <c r="D477" s="9"/>
      <c r="E477" s="17" t="s">
        <v>14</v>
      </c>
      <c r="F477" s="18" t="str">
        <f>HYPERLINK("https://youtu.be/XVWK9De5KT4",'Players&gt;List'!$B11 &amp; "++" &amp; 'Players&gt;List'!$B29)</f>
        <v>[CHB]++[SYS]</v>
      </c>
      <c r="H477" s="1"/>
      <c r="I477" s="1"/>
      <c r="J477" s="1"/>
      <c r="K477" s="1"/>
      <c r="L477" s="1"/>
      <c r="M477" s="1"/>
      <c r="N477" s="1"/>
    </row>
    <row r="478">
      <c r="A478" s="1"/>
      <c r="B478" s="14" t="s">
        <v>6412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"/>
    </row>
    <row r="479">
      <c r="A479" s="1"/>
      <c r="B479" s="4" t="s">
        <v>6413</v>
      </c>
      <c r="D479" s="9"/>
      <c r="E479" s="17" t="s">
        <v>14</v>
      </c>
      <c r="F479" s="18" t="str">
        <f>HYPERLINK("https://youtu.be/XVWK9De5KT4?t=25s",'Players&gt;List'!$B11 &amp; "++" &amp; 'Players&gt;List'!$B29)</f>
        <v>[CHB]++[SYS]</v>
      </c>
      <c r="H479" s="1"/>
      <c r="I479" s="1"/>
      <c r="J479" s="1"/>
      <c r="K479" s="1"/>
      <c r="L479" s="1"/>
      <c r="M479" s="1"/>
      <c r="N479" s="1"/>
    </row>
    <row r="480">
      <c r="A480" s="1"/>
      <c r="B480" s="14" t="s">
        <v>6414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"/>
    </row>
    <row r="481">
      <c r="A481" s="1"/>
      <c r="B481" s="4" t="s">
        <v>6415</v>
      </c>
      <c r="D481" s="9"/>
      <c r="E481" s="17" t="s">
        <v>14</v>
      </c>
      <c r="F481" s="18" t="str">
        <f>HYPERLINK("https://youtu.be/XVWK9De5KT4?t=2m",'Players&gt;List'!$B11 &amp; "++" &amp; 'Players&gt;List'!$B29)</f>
        <v>[CHB]++[SYS]</v>
      </c>
      <c r="H481" s="1"/>
      <c r="I481" s="1"/>
      <c r="J481" s="1"/>
      <c r="K481" s="1"/>
      <c r="L481" s="1"/>
      <c r="M481" s="1"/>
      <c r="N481" s="1"/>
    </row>
    <row r="482">
      <c r="A482" s="1"/>
      <c r="B482" s="14" t="s">
        <v>6416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"/>
    </row>
    <row r="483">
      <c r="A483" s="1"/>
      <c r="B483" s="4" t="s">
        <v>6417</v>
      </c>
      <c r="D483" s="9"/>
      <c r="E483" s="17" t="s">
        <v>14</v>
      </c>
      <c r="F483" s="18" t="str">
        <f>HYPERLINK("https://youtu.be/XVWK9De5KT4?t=2m38s",'Players&gt;List'!$B11 &amp; "++" &amp; 'Players&gt;List'!$B29)</f>
        <v>[CHB]++[SYS]</v>
      </c>
      <c r="H483" s="1"/>
      <c r="I483" s="1"/>
      <c r="J483" s="1"/>
      <c r="K483" s="1"/>
      <c r="L483" s="1"/>
      <c r="M483" s="1"/>
      <c r="N483" s="1"/>
    </row>
    <row r="484">
      <c r="A484" s="1"/>
      <c r="B484" s="14" t="s">
        <v>6418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"/>
    </row>
    <row r="485">
      <c r="A485" s="1"/>
      <c r="B485" s="4" t="s">
        <v>6419</v>
      </c>
      <c r="D485" s="9"/>
      <c r="E485" s="17" t="s">
        <v>14</v>
      </c>
      <c r="F485" s="18" t="str">
        <f>HYPERLINK("https://youtu.be/XVWK9De5KT4?t=3m30s",'Players&gt;List'!$B11 &amp; "++" &amp; 'Players&gt;List'!$B29)</f>
        <v>[CHB]++[SYS]</v>
      </c>
      <c r="H485" s="1"/>
      <c r="I485" s="1"/>
      <c r="J485" s="1"/>
      <c r="K485" s="1"/>
      <c r="L485" s="1"/>
      <c r="M485" s="1"/>
      <c r="N485" s="1"/>
    </row>
    <row r="486">
      <c r="A486" s="1"/>
      <c r="B486" s="14" t="s">
        <v>6420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"/>
    </row>
    <row r="487">
      <c r="A487" s="1"/>
      <c r="B487" s="4" t="s">
        <v>6421</v>
      </c>
      <c r="D487" s="9"/>
      <c r="E487" s="17" t="s">
        <v>14</v>
      </c>
      <c r="F487" s="18" t="str">
        <f>HYPERLINK("https://youtu.be/s9d5-NM2B3s",'Players&gt;List'!$B11 &amp; "++" &amp; 'Players&gt;List'!$B29)</f>
        <v>[CHB]++[SYS]</v>
      </c>
      <c r="H487" s="1"/>
      <c r="I487" s="1"/>
      <c r="J487" s="1"/>
      <c r="K487" s="1"/>
      <c r="L487" s="1"/>
      <c r="M487" s="1"/>
      <c r="N487" s="1"/>
    </row>
    <row r="488">
      <c r="A488" s="1"/>
      <c r="B488" s="14" t="s">
        <v>6422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"/>
    </row>
    <row r="489">
      <c r="A489" s="1"/>
      <c r="B489" s="4" t="s">
        <v>6423</v>
      </c>
      <c r="D489" s="9"/>
      <c r="E489" s="17" t="s">
        <v>14</v>
      </c>
      <c r="F489" s="18" t="str">
        <f>HYPERLINK("https://youtu.be/s9d5-NM2B3s?t=19s",'Players&gt;List'!$B11 &amp; "++" &amp; 'Players&gt;List'!$B29)</f>
        <v>[CHB]++[SYS]</v>
      </c>
      <c r="H489" s="1"/>
      <c r="I489" s="1"/>
      <c r="J489" s="1"/>
      <c r="K489" s="1"/>
      <c r="L489" s="1"/>
      <c r="M489" s="1"/>
      <c r="N489" s="1"/>
    </row>
    <row r="490">
      <c r="A490" s="1"/>
      <c r="B490" s="14" t="s">
        <v>6424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"/>
    </row>
    <row r="491">
      <c r="A491" s="1"/>
      <c r="B491" s="4" t="s">
        <v>6425</v>
      </c>
      <c r="D491" s="9"/>
      <c r="E491" s="17" t="s">
        <v>14</v>
      </c>
      <c r="F491" s="18" t="str">
        <f>HYPERLINK("https://www.twitch.tv/videos/87076478",'Players&gt;List'!$B32 &amp; "++" &amp; 'Players&gt;List'!$B31)</f>
        <v>[XEL]++[WHA]</v>
      </c>
      <c r="H491" s="18" t="str">
        <f>HYPERLINK("https://www.twitch.tv/videos/115838412",'Players&gt;List'!$B17 &amp; "++" &amp; 'Players&gt;List'!$B23)</f>
        <v>[GOL]++[MOL]</v>
      </c>
      <c r="J491" s="18" t="str">
        <f>HYPERLINK("https://youtu.be/s9d5-NM2B3s?t=1m14s",'Players&gt;List'!$B11 &amp; "++" &amp; 'Players&gt;List'!$B29)</f>
        <v>[CHB]++[SYS]</v>
      </c>
      <c r="L491" s="1"/>
      <c r="M491" s="1"/>
      <c r="N491" s="1"/>
    </row>
    <row r="492">
      <c r="A492" s="1"/>
      <c r="B492" s="14" t="s">
        <v>6426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"/>
    </row>
    <row r="493">
      <c r="A493" s="1"/>
      <c r="B493" s="4" t="s">
        <v>6427</v>
      </c>
      <c r="D493" s="9"/>
      <c r="E493" s="17" t="s">
        <v>14</v>
      </c>
      <c r="F493" s="18" t="str">
        <f>HYPERLINK("https://youtu.be/4sUoqlpF4HE?t=1445",'Players&gt;List'!$B32)</f>
        <v>[XEL]</v>
      </c>
      <c r="H493" s="18" t="str">
        <f>HYPERLINK("https://youtu.be/s9d5-NM2B3s?t=1m59s",'Players&gt;List'!$B11 &amp; "++" &amp; 'Players&gt;List'!$B29)</f>
        <v>[CHB]++[SYS]</v>
      </c>
      <c r="J493" s="1"/>
      <c r="K493" s="1"/>
      <c r="L493" s="1"/>
      <c r="M493" s="1"/>
      <c r="N493" s="1"/>
    </row>
    <row r="494">
      <c r="A494" s="1"/>
      <c r="B494" s="14" t="s">
        <v>6428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"/>
    </row>
    <row r="495">
      <c r="A495" s="1"/>
      <c r="B495" s="4" t="s">
        <v>6429</v>
      </c>
      <c r="D495" s="9"/>
      <c r="E495" s="17" t="s">
        <v>14</v>
      </c>
      <c r="F495" s="18" t="str">
        <f>HYPERLINK("https://youtu.be/s9d5-NM2B3s?t=2m20s",'Players&gt;List'!$B11 &amp; "++" &amp; 'Players&gt;List'!$B29)</f>
        <v>[CHB]++[SYS]</v>
      </c>
      <c r="H495" s="1"/>
      <c r="I495" s="1"/>
      <c r="J495" s="1"/>
      <c r="K495" s="1"/>
      <c r="L495" s="1"/>
      <c r="M495" s="1"/>
      <c r="N495" s="1"/>
    </row>
    <row r="496">
      <c r="A496" s="1"/>
      <c r="B496" s="14" t="s">
        <v>6430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"/>
    </row>
    <row r="497">
      <c r="A497" s="1"/>
      <c r="B497" s="4" t="s">
        <v>6431</v>
      </c>
      <c r="D497" s="9"/>
      <c r="E497" s="17" t="s">
        <v>14</v>
      </c>
      <c r="F497" s="18" t="str">
        <f>HYPERLINK("https://youtu.be/DUqhRKNYyDc?t=1",'Players&gt;List'!$B11 &amp; "++" &amp; 'Players&gt;List'!$B29)</f>
        <v>[CHB]++[SYS]</v>
      </c>
      <c r="H497" s="1"/>
      <c r="I497" s="1"/>
      <c r="J497" s="1"/>
      <c r="K497" s="1"/>
      <c r="L497" s="1"/>
      <c r="M497" s="1"/>
      <c r="N497" s="1"/>
    </row>
    <row r="498">
      <c r="A498" s="1"/>
      <c r="B498" s="14" t="s">
        <v>6432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"/>
    </row>
    <row r="499">
      <c r="A499" s="1"/>
      <c r="B499" s="4" t="s">
        <v>6433</v>
      </c>
      <c r="D499" s="9"/>
      <c r="E499" s="17" t="s">
        <v>14</v>
      </c>
      <c r="F499" s="18" t="str">
        <f>HYPERLINK("https://youtu.be/DUqhRKNYyDc?t=38",'Players&gt;List'!$B11 &amp; "++" &amp; 'Players&gt;List'!$B29)</f>
        <v>[CHB]++[SYS]</v>
      </c>
      <c r="H499" s="1"/>
      <c r="I499" s="1"/>
      <c r="J499" s="1"/>
      <c r="K499" s="1"/>
      <c r="L499" s="1"/>
      <c r="M499" s="1"/>
      <c r="N499" s="1"/>
    </row>
    <row r="500">
      <c r="A500" s="1"/>
      <c r="B500" s="14" t="s">
        <v>6434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"/>
    </row>
    <row r="501">
      <c r="A501" s="1"/>
      <c r="B501" s="4" t="s">
        <v>6435</v>
      </c>
      <c r="D501" s="9"/>
      <c r="E501" s="17" t="s">
        <v>14</v>
      </c>
      <c r="F501" s="18" t="str">
        <f>HYPERLINK("https://youtu.be/4sUoqlpF4HE?t=271",'Players&gt;List'!$B32)</f>
        <v>[XEL]</v>
      </c>
      <c r="H501" s="18" t="str">
        <f>HYPERLINK("https://youtu.be/DUqhRKNYyDc?t=72",'Players&gt;List'!$B11 &amp; "++" &amp; 'Players&gt;List'!$B29)</f>
        <v>[CHB]++[SYS]</v>
      </c>
      <c r="J501" s="1"/>
      <c r="K501" s="1"/>
      <c r="L501" s="1"/>
      <c r="M501" s="1"/>
      <c r="N501" s="1"/>
    </row>
    <row r="502">
      <c r="A502" s="1"/>
      <c r="B502" s="14" t="s">
        <v>6436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"/>
    </row>
    <row r="503">
      <c r="A503" s="1"/>
      <c r="B503" s="4" t="s">
        <v>6437</v>
      </c>
      <c r="D503" s="9"/>
      <c r="E503" s="17" t="s">
        <v>14</v>
      </c>
      <c r="F503" s="18" t="str">
        <f>HYPERLINK("https://www.twitch.tv/videos/115839288",'Players&gt;List'!$B17 &amp; "++" &amp; 'Players&gt;List'!$B23)</f>
        <v>[GOL]++[MOL]</v>
      </c>
      <c r="H503" s="18" t="str">
        <f>HYPERLINK("https://www.youtube.com/watch?v=1uEGK-jMc9w&amp;list=PLbU6uWaIKemqNvTeRxK-Ay6PRg9iwCKVi&amp;index=162&amp;t=0s",'Players&gt;List'!$B20 &amp; "++" &amp; 'Players&gt;List'!$B19)</f>
        <v>[KOS]++[HIT]</v>
      </c>
      <c r="J503" s="18" t="str">
        <f>HYPERLINK("https://youtu.be/DUqhRKNYyDc?t=115",'Players&gt;List'!$B11 &amp; "++" &amp; 'Players&gt;List'!$B29)</f>
        <v>[CHB]++[SYS]</v>
      </c>
      <c r="L503" s="1"/>
      <c r="M503" s="1"/>
      <c r="N503" s="1"/>
    </row>
    <row r="504">
      <c r="A504" s="1"/>
      <c r="B504" s="14" t="s">
        <v>6438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"/>
    </row>
    <row r="505">
      <c r="A505" s="1"/>
      <c r="B505" s="4" t="s">
        <v>6439</v>
      </c>
      <c r="D505" s="9"/>
      <c r="E505" s="17" t="s">
        <v>14</v>
      </c>
      <c r="F505" s="18" t="str">
        <f>HYPERLINK("https://www.twitch.tv/videos/115840206",'Players&gt;List'!$B17 &amp; "++" &amp; 'Players&gt;List'!$B23)</f>
        <v>[GOL]++[MOL]</v>
      </c>
      <c r="H505" s="18" t="str">
        <f>HYPERLINK("https://www.youtube.com/watch?v=PPwM6VqEgtU&amp;list=PLbU6uWaIKemqNvTeRxK-Ay6PRg9iwCKVi&amp;index=163&amp;t=0s",'Players&gt;List'!$B20 &amp; "++" &amp; 'Players&gt;List'!$B19)</f>
        <v>[KOS]++[HIT]</v>
      </c>
      <c r="J505" s="18" t="str">
        <f>HYPERLINK("https://youtu.be/DUqhRKNYyDc?t=151",'Players&gt;List'!$B11 &amp; "++" &amp; 'Players&gt;List'!$B29)</f>
        <v>[CHB]++[SYS]</v>
      </c>
      <c r="L505" s="1"/>
      <c r="M505" s="1"/>
      <c r="N505" s="1"/>
    </row>
    <row r="506">
      <c r="A506" s="1"/>
      <c r="B506" s="14" t="s">
        <v>6440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"/>
    </row>
    <row r="507">
      <c r="A507" s="1"/>
      <c r="B507" s="4" t="s">
        <v>6441</v>
      </c>
      <c r="D507" s="9"/>
      <c r="E507" s="17" t="s">
        <v>14</v>
      </c>
      <c r="F507" s="18" t="str">
        <f>HYPERLINK("https://youtu.be/hgSSuxwai1E?t=1",'Players&gt;List'!$B11 &amp; "++" &amp; 'Players&gt;List'!$B29)</f>
        <v>[CHB]++[SYS]</v>
      </c>
      <c r="H507" s="1"/>
      <c r="I507" s="1"/>
      <c r="J507" s="1"/>
      <c r="K507" s="1"/>
      <c r="L507" s="1"/>
      <c r="M507" s="1"/>
      <c r="N507" s="1"/>
    </row>
    <row r="508">
      <c r="A508" s="1"/>
      <c r="B508" s="14" t="s">
        <v>6442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"/>
    </row>
    <row r="509">
      <c r="A509" s="1"/>
      <c r="B509" s="4" t="s">
        <v>6443</v>
      </c>
      <c r="D509" s="9"/>
      <c r="E509" s="17" t="s">
        <v>14</v>
      </c>
      <c r="F509" s="18" t="str">
        <f>HYPERLINK("https://youtu.be/hgSSuxwai1E?t=19",'Players&gt;List'!$B11 &amp; "++" &amp; 'Players&gt;List'!$B29)</f>
        <v>[CHB]++[SYS]</v>
      </c>
      <c r="H509" s="1"/>
      <c r="I509" s="1"/>
      <c r="J509" s="1"/>
      <c r="K509" s="1"/>
      <c r="L509" s="1"/>
      <c r="M509" s="1"/>
      <c r="N509" s="1"/>
    </row>
    <row r="510">
      <c r="A510" s="1"/>
      <c r="B510" s="14" t="s">
        <v>6444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"/>
    </row>
    <row r="511">
      <c r="A511" s="1"/>
      <c r="B511" s="4" t="s">
        <v>6445</v>
      </c>
      <c r="D511" s="9"/>
      <c r="E511" s="17" t="s">
        <v>14</v>
      </c>
      <c r="F511" s="18" t="str">
        <f>HYPERLINK("https://youtu.be/hgSSuxwai1E?t=48",'Players&gt;List'!$B11 &amp; "++" &amp; 'Players&gt;List'!$B29)</f>
        <v>[CHB]++[SYS]</v>
      </c>
      <c r="H511" s="1"/>
      <c r="I511" s="1"/>
      <c r="J511" s="1"/>
      <c r="K511" s="1"/>
      <c r="L511" s="1"/>
      <c r="M511" s="1"/>
      <c r="N511" s="1"/>
    </row>
    <row r="512">
      <c r="A512" s="1"/>
      <c r="B512" s="14" t="s">
        <v>6446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"/>
    </row>
    <row r="513">
      <c r="A513" s="1"/>
      <c r="B513" s="4" t="s">
        <v>6447</v>
      </c>
      <c r="D513" s="9"/>
      <c r="E513" s="17" t="s">
        <v>14</v>
      </c>
      <c r="F513" s="18" t="str">
        <f>HYPERLINK("https://youtu.be/hgSSuxwai1E?t=61",'Players&gt;List'!$B11 &amp; "++" &amp; 'Players&gt;List'!$B29)</f>
        <v>[CHB]++[SYS]</v>
      </c>
      <c r="H513" s="1"/>
      <c r="I513" s="1"/>
      <c r="J513" s="1"/>
      <c r="K513" s="1"/>
      <c r="L513" s="1"/>
      <c r="M513" s="1"/>
      <c r="N513" s="1"/>
    </row>
    <row r="514">
      <c r="A514" s="1"/>
      <c r="B514" s="14" t="s">
        <v>6448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"/>
    </row>
    <row r="515">
      <c r="A515" s="1"/>
      <c r="B515" s="4" t="s">
        <v>6449</v>
      </c>
      <c r="D515" s="9"/>
      <c r="E515" s="17" t="s">
        <v>14</v>
      </c>
      <c r="F515" s="18" t="str">
        <f>HYPERLINK("https://youtu.be/hgSSuxwai1E?t=118",'Players&gt;List'!$B11 &amp; "++" &amp; 'Players&gt;List'!$B29)</f>
        <v>[CHB]++[SYS]</v>
      </c>
      <c r="H515" s="1"/>
      <c r="I515" s="1"/>
      <c r="J515" s="1"/>
      <c r="K515" s="1"/>
      <c r="L515" s="1"/>
      <c r="M515" s="1"/>
      <c r="N515" s="1"/>
    </row>
    <row r="516">
      <c r="A516" s="1"/>
      <c r="B516" s="14" t="s">
        <v>6450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"/>
    </row>
    <row r="517">
      <c r="A517" s="1"/>
      <c r="B517" s="4" t="s">
        <v>6451</v>
      </c>
      <c r="D517" s="9"/>
      <c r="E517" s="17" t="s">
        <v>14</v>
      </c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4" t="s">
        <v>1000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"/>
    </row>
    <row r="519">
      <c r="A519" s="1"/>
      <c r="B519" s="4" t="s">
        <v>6452</v>
      </c>
      <c r="D519" s="9"/>
      <c r="E519" s="17" t="s">
        <v>14</v>
      </c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4" t="s">
        <v>6453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"/>
    </row>
    <row r="521">
      <c r="A521" s="1"/>
      <c r="B521" s="4" t="s">
        <v>6454</v>
      </c>
      <c r="D521" s="9"/>
      <c r="E521" s="17" t="s">
        <v>14</v>
      </c>
      <c r="F521" s="18" t="str">
        <f>HYPERLINK("https://youtu.be/4sUoqlpF4HE?t=30",'Players&gt;List'!$B32)</f>
        <v>[XEL]</v>
      </c>
      <c r="H521" s="1"/>
      <c r="I521" s="1"/>
      <c r="J521" s="1"/>
      <c r="K521" s="1"/>
      <c r="L521" s="1"/>
      <c r="M521" s="1"/>
      <c r="N521" s="1"/>
    </row>
    <row r="522">
      <c r="A522" s="1"/>
      <c r="B522" s="14" t="s">
        <v>6455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"/>
    </row>
    <row r="523">
      <c r="A523" s="1"/>
      <c r="B523" s="4" t="s">
        <v>6456</v>
      </c>
      <c r="D523" s="9"/>
      <c r="E523" s="17" t="s">
        <v>14</v>
      </c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4" t="s">
        <v>6457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"/>
    </row>
    <row r="525">
      <c r="A525" s="1"/>
      <c r="B525" s="4" t="s">
        <v>6458</v>
      </c>
      <c r="D525" s="9"/>
      <c r="E525" s="17" t="s">
        <v>14</v>
      </c>
      <c r="F525" s="18" t="str">
        <f>HYPERLINK("https://youtu.be/4sUoqlpF4HE?t=440",'Players&gt;List'!$B32)</f>
        <v>[XEL]</v>
      </c>
      <c r="H525" s="1"/>
      <c r="I525" s="1"/>
      <c r="J525" s="1"/>
      <c r="K525" s="1"/>
      <c r="L525" s="1"/>
      <c r="M525" s="1"/>
      <c r="N525" s="1"/>
    </row>
    <row r="526">
      <c r="A526" s="1"/>
      <c r="B526" s="14" t="s">
        <v>6460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"/>
    </row>
    <row r="527">
      <c r="A527" s="1"/>
      <c r="B527" s="4" t="s">
        <v>6461</v>
      </c>
      <c r="D527" s="9"/>
      <c r="E527" s="17" t="s">
        <v>14</v>
      </c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4" t="s">
        <v>6462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"/>
    </row>
    <row r="529">
      <c r="A529" s="1"/>
      <c r="B529" s="4" t="s">
        <v>6463</v>
      </c>
      <c r="D529" s="9"/>
      <c r="E529" s="17" t="s">
        <v>14</v>
      </c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4" t="s">
        <v>6464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"/>
    </row>
    <row r="531">
      <c r="A531" s="1"/>
      <c r="B531" s="4" t="s">
        <v>6465</v>
      </c>
      <c r="D531" s="9"/>
      <c r="E531" s="17" t="s">
        <v>14</v>
      </c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4" t="s">
        <v>6466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"/>
    </row>
    <row r="533">
      <c r="A533" s="1"/>
      <c r="B533" s="4" t="s">
        <v>6467</v>
      </c>
      <c r="D533" s="9"/>
      <c r="E533" s="17" t="s">
        <v>14</v>
      </c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4" t="s">
        <v>6468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"/>
    </row>
    <row r="535">
      <c r="A535" s="1"/>
      <c r="B535" s="4" t="s">
        <v>6469</v>
      </c>
      <c r="D535" s="9"/>
      <c r="E535" s="17" t="s">
        <v>14</v>
      </c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4" t="s">
        <v>6470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"/>
    </row>
    <row r="537">
      <c r="A537" s="1"/>
      <c r="B537" s="4" t="s">
        <v>6471</v>
      </c>
      <c r="D537" s="9"/>
      <c r="E537" s="17" t="s">
        <v>14</v>
      </c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4" t="s">
        <v>6472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"/>
    </row>
    <row r="539">
      <c r="A539" s="1"/>
      <c r="B539" s="4" t="s">
        <v>6473</v>
      </c>
      <c r="D539" s="9"/>
      <c r="E539" s="17" t="s">
        <v>14</v>
      </c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4" t="s">
        <v>6474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"/>
    </row>
    <row r="541">
      <c r="A541" s="1"/>
      <c r="B541" s="4" t="s">
        <v>6475</v>
      </c>
      <c r="D541" s="9"/>
      <c r="E541" s="17" t="s">
        <v>14</v>
      </c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4" t="s">
        <v>6476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"/>
    </row>
    <row r="543">
      <c r="A543" s="1"/>
      <c r="B543" s="4" t="s">
        <v>6477</v>
      </c>
      <c r="D543" s="9"/>
      <c r="E543" s="17" t="s">
        <v>14</v>
      </c>
      <c r="F543" s="18" t="str">
        <f>HYPERLINK("https://youtu.be/4sUoqlpF4HE?t=96",'Players&gt;List'!$B32)</f>
        <v>[XEL]</v>
      </c>
      <c r="H543" s="1"/>
      <c r="I543" s="1"/>
      <c r="J543" s="1"/>
      <c r="K543" s="1"/>
      <c r="L543" s="1"/>
      <c r="M543" s="1"/>
      <c r="N543" s="1"/>
    </row>
    <row r="544">
      <c r="A544" s="1"/>
      <c r="B544" s="14" t="s">
        <v>6478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"/>
    </row>
    <row r="545">
      <c r="A545" s="1"/>
      <c r="B545" s="4" t="s">
        <v>6479</v>
      </c>
      <c r="D545" s="9"/>
      <c r="E545" s="17" t="s">
        <v>14</v>
      </c>
      <c r="F545" s="18" t="str">
        <f>HYPERLINK("https://www.twitch.tv/videos/115841262",'Players&gt;List'!$B17 &amp; "++" &amp; 'Players&gt;List'!$B23)</f>
        <v>[GOL]++[MOL]</v>
      </c>
      <c r="H545" s="18" t="str">
        <f>HYPERLINK("https://youtu.be/4sUoqlpF4HE?t=1123",'Players&gt;List'!$B32)</f>
        <v>[XEL]</v>
      </c>
      <c r="J545" s="18" t="str">
        <f>HYPERLINK("https://www.youtube.com/watch?v=sdvIqyrNSDc&amp;list=PLbU6uWaIKemqNvTeRxK-Ay6PRg9iwCKVi&amp;index=164&amp;t=0s",'Players&gt;List'!$B20 &amp; "++" &amp; 'Players&gt;List'!$B19)</f>
        <v>[KOS]++[HIT]</v>
      </c>
      <c r="L545" s="1"/>
      <c r="M545" s="1"/>
      <c r="N545" s="1"/>
    </row>
    <row r="546">
      <c r="A546" s="1"/>
      <c r="B546" s="14" t="s">
        <v>6480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"/>
    </row>
    <row r="547">
      <c r="A547" s="1"/>
      <c r="B547" s="4" t="s">
        <v>6481</v>
      </c>
      <c r="D547" s="9"/>
      <c r="E547" s="17" t="s">
        <v>14</v>
      </c>
      <c r="F547" s="18" t="str">
        <f>HYPERLINK("https://www.youtube.com/watch?v=5U0d_aYn3Ps&amp;list=PLbU6uWaIKemqNvTeRxK-Ay6PRg9iwCKVi&amp;index=165&amp;t=0s",'Players&gt;List'!$B20 &amp; "++" &amp; 'Players&gt;List'!$B19)</f>
        <v>[KOS]++[HIT]</v>
      </c>
      <c r="H547" s="1"/>
      <c r="I547" s="1"/>
      <c r="J547" s="1"/>
      <c r="K547" s="1"/>
      <c r="L547" s="1"/>
      <c r="M547" s="1"/>
      <c r="N547" s="1"/>
    </row>
    <row r="548">
      <c r="A548" s="1"/>
      <c r="B548" s="14" t="s">
        <v>6482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"/>
    </row>
    <row r="549">
      <c r="A549" s="1"/>
      <c r="B549" s="4" t="s">
        <v>6483</v>
      </c>
      <c r="D549" s="9"/>
      <c r="E549" s="17" t="s">
        <v>14</v>
      </c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4" t="s">
        <v>6484</v>
      </c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"/>
    </row>
    <row r="551">
      <c r="A551" s="1"/>
      <c r="B551" s="4" t="s">
        <v>6485</v>
      </c>
      <c r="D551" s="9"/>
      <c r="E551" s="17" t="s">
        <v>14</v>
      </c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4" t="s">
        <v>6486</v>
      </c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"/>
    </row>
    <row r="553">
      <c r="A553" s="1"/>
      <c r="B553" s="4" t="s">
        <v>6488</v>
      </c>
      <c r="D553" s="9"/>
      <c r="E553" s="17" t="s">
        <v>14</v>
      </c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4" t="s">
        <v>6489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"/>
    </row>
    <row r="555">
      <c r="A555" s="1"/>
      <c r="B555" s="4" t="s">
        <v>6490</v>
      </c>
      <c r="D555" s="9"/>
      <c r="E555" s="17" t="s">
        <v>14</v>
      </c>
      <c r="F555" s="18" t="str">
        <f>HYPERLINK("https://www.youtube.com/watch?v=E_D1yLx72J8&amp;list=PLbU6uWaIKemqNvTeRxK-Ay6PRg9iwCKVi&amp;index=166&amp;t=0s",'Players&gt;List'!$B20 &amp; "++" &amp; 'Players&gt;List'!$B19)</f>
        <v>[KOS]++[HIT]</v>
      </c>
      <c r="H555" s="1"/>
      <c r="I555" s="1"/>
      <c r="J555" s="1"/>
      <c r="K555" s="1"/>
      <c r="L555" s="1"/>
      <c r="M555" s="1"/>
      <c r="N555" s="1"/>
    </row>
    <row r="556">
      <c r="A556" s="1"/>
      <c r="B556" s="14" t="s">
        <v>6491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"/>
    </row>
    <row r="557">
      <c r="A557" s="1"/>
      <c r="B557" s="4" t="s">
        <v>6492</v>
      </c>
      <c r="D557" s="9"/>
      <c r="E557" s="17" t="s">
        <v>14</v>
      </c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4" t="s">
        <v>6493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"/>
    </row>
    <row r="559">
      <c r="A559" s="1"/>
      <c r="B559" s="4" t="s">
        <v>6494</v>
      </c>
      <c r="D559" s="9"/>
      <c r="E559" s="17" t="s">
        <v>14</v>
      </c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4" t="s">
        <v>6495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"/>
    </row>
    <row r="561">
      <c r="A561" s="1"/>
      <c r="B561" s="4" t="s">
        <v>6496</v>
      </c>
      <c r="D561" s="9"/>
      <c r="E561" s="17" t="s">
        <v>14</v>
      </c>
      <c r="F561" s="18" t="str">
        <f>HYPERLINK("https://youtu.be/4sUoqlpF4HE?t=935",'Players&gt;List'!$B32)</f>
        <v>[XEL]</v>
      </c>
      <c r="H561" s="1"/>
      <c r="I561" s="1"/>
      <c r="J561" s="1"/>
      <c r="K561" s="1"/>
      <c r="L561" s="1"/>
      <c r="M561" s="1"/>
      <c r="N561" s="1"/>
    </row>
    <row r="562">
      <c r="A562" s="1"/>
      <c r="B562" s="14" t="s">
        <v>6497</v>
      </c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"/>
    </row>
    <row r="563">
      <c r="A563" s="1"/>
      <c r="B563" s="4" t="s">
        <v>6498</v>
      </c>
      <c r="D563" s="9"/>
      <c r="E563" s="17" t="s">
        <v>14</v>
      </c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4" t="s">
        <v>6499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"/>
    </row>
    <row r="565">
      <c r="A565" s="1"/>
      <c r="B565" s="4" t="s">
        <v>6500</v>
      </c>
      <c r="D565" s="9"/>
      <c r="E565" s="17" t="s">
        <v>14</v>
      </c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4" t="s">
        <v>6501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"/>
    </row>
    <row r="567">
      <c r="A567" s="1"/>
      <c r="B567" s="4" t="s">
        <v>6502</v>
      </c>
      <c r="D567" s="9"/>
      <c r="E567" s="17" t="s">
        <v>14</v>
      </c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4" t="s">
        <v>6503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"/>
    </row>
    <row r="569">
      <c r="A569" s="1"/>
      <c r="B569" s="4" t="s">
        <v>6504</v>
      </c>
      <c r="D569" s="9"/>
      <c r="E569" s="17" t="s">
        <v>14</v>
      </c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4" t="s">
        <v>6505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"/>
    </row>
    <row r="571">
      <c r="A571" s="1"/>
      <c r="B571" s="4" t="s">
        <v>6506</v>
      </c>
      <c r="D571" s="9"/>
      <c r="E571" s="17" t="s">
        <v>14</v>
      </c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4" t="s">
        <v>6507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"/>
    </row>
    <row r="573">
      <c r="A573" s="1"/>
      <c r="B573" s="4" t="s">
        <v>6508</v>
      </c>
      <c r="D573" s="9"/>
      <c r="E573" s="17" t="s">
        <v>14</v>
      </c>
      <c r="F573" s="18" t="str">
        <f>HYPERLINK("https://www.twitch.tv/videos/115842135",'Players&gt;List'!$B17 &amp; "++" &amp; 'Players&gt;List'!$B23)</f>
        <v>[GOL]++[MOL]</v>
      </c>
      <c r="H573" s="18" t="str">
        <f>HYPERLINK("https://youtu.be/4sUoqlpF4HE?t=1367",'Players&gt;List'!$B32)</f>
        <v>[XEL]</v>
      </c>
      <c r="J573" s="18" t="str">
        <f>HYPERLINK("https://www.youtube.com/watch?v=wr6sR87ygHw&amp;list=PLbU6uWaIKemqNvTeRxK-Ay6PRg9iwCKVi&amp;index=167&amp;t=0s",'Players&gt;List'!$B20 &amp; "++" &amp; 'Players&gt;List'!$B19)</f>
        <v>[KOS]++[HIT]</v>
      </c>
      <c r="L573" s="1"/>
      <c r="M573" s="1"/>
      <c r="N573" s="1"/>
    </row>
    <row r="574">
      <c r="A574" s="1"/>
      <c r="B574" s="14" t="s">
        <v>6509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"/>
    </row>
    <row r="575">
      <c r="A575" s="1"/>
      <c r="B575" s="4" t="s">
        <v>6510</v>
      </c>
      <c r="D575" s="9"/>
      <c r="E575" s="17" t="s">
        <v>14</v>
      </c>
      <c r="F575" s="18" t="str">
        <f>HYPERLINK("https://www.twitch.tv/videos/115843151",'Players&gt;List'!$B17 &amp; "++" &amp; 'Players&gt;List'!$B23)</f>
        <v>[GOL]++[MOL]</v>
      </c>
      <c r="H575" s="1"/>
      <c r="I575" s="1"/>
      <c r="J575" s="1"/>
      <c r="K575" s="1"/>
      <c r="L575" s="1"/>
      <c r="M575" s="1"/>
      <c r="N575" s="1"/>
    </row>
    <row r="576">
      <c r="A576" s="1"/>
      <c r="B576" s="14" t="s">
        <v>6511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"/>
    </row>
    <row r="577">
      <c r="A577" s="1"/>
      <c r="B577" s="4" t="s">
        <v>6512</v>
      </c>
      <c r="D577" s="9"/>
      <c r="E577" s="17" t="s">
        <v>14</v>
      </c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4" t="s">
        <v>6513</v>
      </c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"/>
    </row>
    <row r="579">
      <c r="A579" s="1"/>
      <c r="B579" s="4" t="s">
        <v>6514</v>
      </c>
      <c r="D579" s="9"/>
      <c r="E579" s="17" t="s">
        <v>14</v>
      </c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4" t="s">
        <v>6515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"/>
    </row>
    <row r="581">
      <c r="A581" s="1"/>
      <c r="B581" s="4" t="s">
        <v>6516</v>
      </c>
      <c r="D581" s="9"/>
      <c r="E581" s="17" t="s">
        <v>14</v>
      </c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4" t="s">
        <v>6517</v>
      </c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"/>
    </row>
    <row r="583">
      <c r="A583" s="1"/>
      <c r="B583" s="4" t="s">
        <v>6518</v>
      </c>
      <c r="D583" s="9"/>
      <c r="E583" s="17" t="s">
        <v>14</v>
      </c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4" t="s">
        <v>6519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"/>
    </row>
    <row r="585">
      <c r="A585" s="1"/>
      <c r="B585" s="4" t="s">
        <v>6520</v>
      </c>
      <c r="D585" s="9"/>
      <c r="E585" s="17" t="s">
        <v>14</v>
      </c>
      <c r="F585" s="18" t="str">
        <f>HYPERLINK("https://www.twitch.tv/videos/115843850",'Players&gt;List'!$B17 &amp; "++" &amp; 'Players&gt;List'!$B23)</f>
        <v>[GOL]++[MOL]</v>
      </c>
      <c r="H585" s="18" t="str">
        <f>HYPERLINK("https://youtu.be/4sUoqlpF4HE?t=1259",'Players&gt;List'!$B32)</f>
        <v>[XEL]</v>
      </c>
      <c r="J585" s="1"/>
      <c r="K585" s="1"/>
      <c r="L585" s="1"/>
      <c r="M585" s="1"/>
      <c r="N585" s="1"/>
    </row>
    <row r="586">
      <c r="A586" s="1"/>
      <c r="B586" s="14" t="s">
        <v>6521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"/>
    </row>
    <row r="587">
      <c r="A587" s="1"/>
      <c r="B587" s="4" t="s">
        <v>6522</v>
      </c>
      <c r="D587" s="9"/>
      <c r="E587" s="17" t="s">
        <v>14</v>
      </c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4" t="s">
        <v>6523</v>
      </c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"/>
    </row>
    <row r="589">
      <c r="A589" s="1"/>
      <c r="B589" s="4" t="s">
        <v>6524</v>
      </c>
      <c r="D589" s="9"/>
      <c r="E589" s="17" t="s">
        <v>14</v>
      </c>
      <c r="F589" s="18" t="str">
        <f>HYPERLINK("https://www.youtube.com/watch?v=DAuGebbxc74&amp;list=PLbU6uWaIKemqNvTeRxK-Ay6PRg9iwCKVi&amp;index=168&amp;t=0s",'Players&gt;List'!$B20 &amp; "++" &amp; 'Players&gt;List'!$B19)</f>
        <v>[KOS]++[HIT]</v>
      </c>
      <c r="H589" s="1"/>
      <c r="I589" s="1"/>
      <c r="J589" s="1"/>
      <c r="K589" s="1"/>
      <c r="L589" s="1"/>
      <c r="M589" s="1"/>
      <c r="N589" s="1"/>
    </row>
    <row r="590">
      <c r="A590" s="1"/>
      <c r="B590" s="14" t="s">
        <v>6525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"/>
    </row>
    <row r="591">
      <c r="A591" s="1"/>
      <c r="B591" s="4" t="s">
        <v>6526</v>
      </c>
      <c r="D591" s="9"/>
      <c r="E591" s="17" t="s">
        <v>14</v>
      </c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4" t="s">
        <v>6527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"/>
    </row>
    <row r="593">
      <c r="A593" s="1"/>
      <c r="B593" s="4" t="s">
        <v>6528</v>
      </c>
      <c r="D593" s="9"/>
      <c r="E593" s="17" t="s">
        <v>14</v>
      </c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4" t="s">
        <v>6529</v>
      </c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"/>
    </row>
    <row r="595">
      <c r="A595" s="1"/>
      <c r="B595" s="4" t="s">
        <v>6530</v>
      </c>
      <c r="D595" s="9"/>
      <c r="E595" s="17" t="s">
        <v>14</v>
      </c>
      <c r="F595" s="18" t="str">
        <f>HYPERLINK("https://youtu.be/4sUoqlpF4HE?t=215",'Players&gt;List'!$B32)</f>
        <v>[XEL]</v>
      </c>
      <c r="H595" s="1"/>
      <c r="I595" s="1"/>
      <c r="J595" s="1"/>
      <c r="K595" s="1"/>
      <c r="L595" s="1"/>
      <c r="M595" s="1"/>
      <c r="N595" s="1"/>
    </row>
    <row r="596">
      <c r="A596" s="1"/>
      <c r="B596" s="14" t="s">
        <v>6531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"/>
    </row>
    <row r="597">
      <c r="A597" s="1"/>
      <c r="B597" s="4" t="s">
        <v>6532</v>
      </c>
      <c r="D597" s="9"/>
      <c r="E597" s="17" t="s">
        <v>14</v>
      </c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4" t="s">
        <v>6533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"/>
    </row>
    <row r="599">
      <c r="A599" s="1"/>
      <c r="B599" s="4" t="s">
        <v>6534</v>
      </c>
      <c r="D599" s="9"/>
      <c r="E599" s="17" t="s">
        <v>14</v>
      </c>
      <c r="F599" s="18" t="str">
        <f>HYPERLINK("https://www.youtube.com/watch?v=CCgYKo1yJf8&amp;list=PLbU6uWaIKemqNvTeRxK-Ay6PRg9iwCKVi&amp;index=169&amp;t=0s",'Players&gt;List'!$B20 &amp; "++" &amp; 'Players&gt;List'!$B19)</f>
        <v>[KOS]++[HIT]</v>
      </c>
      <c r="H599" s="1"/>
      <c r="I599" s="1"/>
      <c r="J599" s="1"/>
      <c r="K599" s="1"/>
      <c r="L599" s="1"/>
      <c r="M599" s="1"/>
      <c r="N599" s="1"/>
    </row>
    <row r="600">
      <c r="A600" s="1"/>
      <c r="B600" s="14" t="s">
        <v>6535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"/>
    </row>
    <row r="601">
      <c r="A601" s="1"/>
      <c r="B601" s="4" t="s">
        <v>6536</v>
      </c>
      <c r="D601" s="9"/>
      <c r="E601" s="17" t="s">
        <v>14</v>
      </c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4" t="s">
        <v>6537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"/>
    </row>
    <row r="603">
      <c r="A603" s="1"/>
      <c r="B603" s="4" t="s">
        <v>6538</v>
      </c>
      <c r="D603" s="9"/>
      <c r="E603" s="17" t="s">
        <v>14</v>
      </c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4" t="s">
        <v>6539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"/>
    </row>
    <row r="605">
      <c r="A605" s="1"/>
      <c r="B605" s="4" t="s">
        <v>6540</v>
      </c>
      <c r="D605" s="9"/>
      <c r="E605" s="17" t="s">
        <v>14</v>
      </c>
      <c r="F605" s="18" t="str">
        <f>HYPERLINK("https://www.twitch.tv/videos/115845455",'Players&gt;List'!$B17 &amp; "++" &amp; 'Players&gt;List'!$B23)</f>
        <v>[GOL]++[MOL]</v>
      </c>
      <c r="H605" s="18" t="str">
        <f>HYPERLINK("https://youtu.be/4sUoqlpF4HE?t=611",'Players&gt;List'!$B32)</f>
        <v>[XEL]</v>
      </c>
      <c r="J605" s="18" t="str">
        <f>HYPERLINK("https://www.youtube.com/watch?v=6RvAGijkwBY&amp;list=PLbU6uWaIKemqNvTeRxK-Ay6PRg9iwCKVi&amp;index=170&amp;t=0s",'Players&gt;List'!$B20 &amp; "++" &amp; 'Players&gt;List'!$B19)</f>
        <v>[KOS]++[HIT]</v>
      </c>
      <c r="L605" s="1"/>
      <c r="M605" s="1"/>
      <c r="N605" s="1"/>
    </row>
    <row r="606">
      <c r="A606" s="1"/>
      <c r="B606" s="14" t="s">
        <v>6541</v>
      </c>
      <c r="C606" s="16"/>
      <c r="D606" s="16"/>
      <c r="E606" s="49" t="s">
        <v>9</v>
      </c>
      <c r="F606" s="49" t="s">
        <v>10</v>
      </c>
      <c r="G606" s="14"/>
      <c r="H606" s="14"/>
      <c r="I606" s="14"/>
      <c r="J606" s="14"/>
      <c r="K606" s="14"/>
      <c r="L606" s="14"/>
      <c r="M606" s="14"/>
      <c r="N606" s="1"/>
    </row>
    <row r="607">
      <c r="A607" s="1"/>
      <c r="B607" s="4" t="s">
        <v>6542</v>
      </c>
      <c r="D607" s="9"/>
      <c r="E607" s="17" t="s">
        <v>14</v>
      </c>
      <c r="F607" s="18" t="str">
        <f>HYPERLINK("https://youtu.be/GOR35FB7t1s",'Players&gt;List'!$B11 &amp; "++" &amp; 'Players&gt;List'!$B29)</f>
        <v>[CHB]++[SYS]</v>
      </c>
      <c r="H607" s="1"/>
      <c r="I607" s="1"/>
      <c r="J607" s="1"/>
      <c r="K607" s="1"/>
      <c r="L607" s="1"/>
      <c r="M607" s="1"/>
      <c r="N607" s="1"/>
    </row>
    <row r="608">
      <c r="A608" s="1"/>
      <c r="B608" s="14" t="s">
        <v>6543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"/>
    </row>
    <row r="609">
      <c r="A609" s="1"/>
      <c r="B609" s="4" t="s">
        <v>6544</v>
      </c>
      <c r="D609" s="9"/>
      <c r="E609" s="17" t="s">
        <v>14</v>
      </c>
      <c r="F609" s="18" t="str">
        <f>HYPERLINK("https://youtu.be/GOR35FB7t1s?t=1m39s",'Players&gt;List'!$B11 &amp; "++" &amp; 'Players&gt;List'!$B29)</f>
        <v>[CHB]++[SYS]</v>
      </c>
      <c r="H609" s="1"/>
      <c r="I609" s="1"/>
      <c r="J609" s="1"/>
      <c r="K609" s="1"/>
      <c r="L609" s="1"/>
      <c r="M609" s="1"/>
      <c r="N609" s="1"/>
    </row>
    <row r="610">
      <c r="A610" s="1"/>
      <c r="B610" s="14" t="s">
        <v>6545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"/>
    </row>
    <row r="611">
      <c r="A611" s="1"/>
      <c r="B611" s="4" t="s">
        <v>6546</v>
      </c>
      <c r="D611" s="9"/>
      <c r="E611" s="17" t="s">
        <v>14</v>
      </c>
      <c r="F611" s="18" t="str">
        <f>HYPERLINK("https://youtu.be/GOR35FB7t1s?t=2m17s",'Players&gt;List'!$B11 &amp; "++" &amp; 'Players&gt;List'!$B29)</f>
        <v>[CHB]++[SYS]</v>
      </c>
      <c r="H611" s="1"/>
      <c r="I611" s="1"/>
      <c r="J611" s="1"/>
      <c r="K611" s="1"/>
      <c r="L611" s="1"/>
      <c r="M611" s="1"/>
      <c r="N611" s="1"/>
    </row>
    <row r="612">
      <c r="A612" s="1"/>
      <c r="B612" s="14" t="s">
        <v>6547</v>
      </c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"/>
    </row>
    <row r="613">
      <c r="A613" s="1"/>
      <c r="B613" s="4" t="s">
        <v>6548</v>
      </c>
      <c r="D613" s="9"/>
      <c r="E613" s="17" t="s">
        <v>14</v>
      </c>
      <c r="F613" s="18" t="str">
        <f>HYPERLINK("https://youtu.be/GOR35FB7t1s?t=2m48s",'Players&gt;List'!$B11 &amp; "++" &amp; 'Players&gt;List'!$B29)</f>
        <v>[CHB]++[SYS]</v>
      </c>
      <c r="H613" s="1"/>
      <c r="I613" s="1"/>
      <c r="J613" s="1"/>
      <c r="K613" s="1"/>
      <c r="L613" s="1"/>
      <c r="M613" s="1"/>
      <c r="N613" s="1"/>
    </row>
    <row r="614">
      <c r="A614" s="1"/>
      <c r="B614" s="14" t="s">
        <v>6549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"/>
    </row>
    <row r="615">
      <c r="A615" s="1"/>
      <c r="B615" s="4" t="s">
        <v>6550</v>
      </c>
      <c r="D615" s="9"/>
      <c r="E615" s="17" t="s">
        <v>14</v>
      </c>
      <c r="F615" s="18" t="str">
        <f>HYPERLINK("https://youtu.be/GOR35FB7t1s?t=3m32s",'Players&gt;List'!$B11 &amp; "++" &amp; 'Players&gt;List'!$B29)</f>
        <v>[CHB]++[SYS]</v>
      </c>
      <c r="H615" s="1"/>
      <c r="I615" s="1"/>
      <c r="J615" s="1"/>
      <c r="K615" s="1"/>
      <c r="L615" s="1"/>
      <c r="M615" s="1"/>
      <c r="N615" s="1"/>
    </row>
    <row r="616">
      <c r="A616" s="1"/>
      <c r="B616" s="14" t="s">
        <v>6551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"/>
    </row>
    <row r="617">
      <c r="A617" s="1"/>
      <c r="B617" s="4" t="s">
        <v>6552</v>
      </c>
      <c r="D617" s="9"/>
      <c r="E617" s="17" t="s">
        <v>14</v>
      </c>
      <c r="F617" s="18" t="str">
        <f>HYPERLINK("https://youtu.be/vdj0Cf72Hqo",'Players&gt;List'!$B11 &amp; "++" &amp; 'Players&gt;List'!$B29)</f>
        <v>[CHB]++[SYS]</v>
      </c>
      <c r="H617" s="1"/>
      <c r="I617" s="1"/>
      <c r="J617" s="1"/>
      <c r="K617" s="1"/>
      <c r="L617" s="1"/>
      <c r="M617" s="1"/>
      <c r="N617" s="1"/>
    </row>
    <row r="618">
      <c r="A618" s="1"/>
      <c r="B618" s="14" t="s">
        <v>6553</v>
      </c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"/>
    </row>
    <row r="619">
      <c r="A619" s="1"/>
      <c r="B619" s="4" t="s">
        <v>6554</v>
      </c>
      <c r="D619" s="9"/>
      <c r="E619" s="17" t="s">
        <v>14</v>
      </c>
      <c r="F619" s="18" t="str">
        <f>HYPERLINK("https://youtu.be/vdj0Cf72Hqo?t=54s",'Players&gt;List'!$B11 &amp; "++" &amp; 'Players&gt;List'!$B29)</f>
        <v>[CHB]++[SYS]</v>
      </c>
      <c r="H619" s="1"/>
      <c r="I619" s="1"/>
      <c r="J619" s="1"/>
      <c r="K619" s="1"/>
      <c r="L619" s="1"/>
      <c r="M619" s="1"/>
      <c r="N619" s="1"/>
    </row>
    <row r="620">
      <c r="A620" s="1"/>
      <c r="B620" s="14" t="s">
        <v>6555</v>
      </c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"/>
    </row>
    <row r="621">
      <c r="A621" s="1"/>
      <c r="B621" s="4" t="s">
        <v>6556</v>
      </c>
      <c r="D621" s="9"/>
      <c r="E621" s="17" t="s">
        <v>14</v>
      </c>
      <c r="F621" s="18" t="str">
        <f>HYPERLINK("https://youtu.be/vdj0Cf72Hqo?t=1m31s",'Players&gt;List'!$B11 &amp; "++" &amp; 'Players&gt;List'!$B29)</f>
        <v>[CHB]++[SYS]</v>
      </c>
      <c r="H621" s="1"/>
      <c r="I621" s="1"/>
      <c r="J621" s="1"/>
      <c r="K621" s="1"/>
      <c r="L621" s="1"/>
      <c r="M621" s="1"/>
      <c r="N621" s="1"/>
    </row>
    <row r="622">
      <c r="A622" s="1"/>
      <c r="B622" s="14" t="s">
        <v>6557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"/>
    </row>
    <row r="623">
      <c r="A623" s="1"/>
      <c r="B623" s="4" t="s">
        <v>6558</v>
      </c>
      <c r="D623" s="9"/>
      <c r="E623" s="17" t="s">
        <v>14</v>
      </c>
      <c r="F623" s="18" t="str">
        <f>HYPERLINK("https://youtu.be/vdj0Cf72Hqo?t=1m54s",'Players&gt;List'!$B11 &amp; "++" &amp; 'Players&gt;List'!$B29)</f>
        <v>[CHB]++[SYS]</v>
      </c>
      <c r="H623" s="1"/>
      <c r="I623" s="1"/>
      <c r="J623" s="1"/>
      <c r="K623" s="1"/>
      <c r="L623" s="1"/>
      <c r="M623" s="1"/>
      <c r="N623" s="1"/>
    </row>
    <row r="624">
      <c r="A624" s="1"/>
      <c r="B624" s="14" t="s">
        <v>6559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"/>
    </row>
    <row r="625">
      <c r="A625" s="1"/>
      <c r="B625" s="4" t="s">
        <v>6560</v>
      </c>
      <c r="D625" s="9"/>
      <c r="E625" s="17" t="s">
        <v>14</v>
      </c>
      <c r="F625" s="18" t="str">
        <f>HYPERLINK("https://youtu.be/vdj0Cf72Hqo?t=2m18s",'Players&gt;List'!$B11 &amp; "++" &amp; 'Players&gt;List'!$B29)</f>
        <v>[CHB]++[SYS]</v>
      </c>
      <c r="H625" s="1"/>
      <c r="I625" s="1"/>
      <c r="J625" s="1"/>
      <c r="K625" s="1"/>
      <c r="L625" s="1"/>
      <c r="M625" s="1"/>
      <c r="N625" s="1"/>
    </row>
    <row r="626">
      <c r="A626" s="1"/>
      <c r="B626" s="14" t="s">
        <v>6561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"/>
    </row>
    <row r="627">
      <c r="A627" s="1"/>
      <c r="B627" s="4" t="s">
        <v>6562</v>
      </c>
      <c r="D627" s="9"/>
      <c r="E627" s="17" t="s">
        <v>14</v>
      </c>
      <c r="F627" s="18" t="str">
        <f>HYPERLINK("https://youtu.be/aZjbMoUlaTM",'Players&gt;List'!$B11 &amp; "++" &amp; 'Players&gt;List'!$B29)</f>
        <v>[CHB]++[SYS]</v>
      </c>
      <c r="H627" s="1"/>
      <c r="I627" s="1"/>
      <c r="J627" s="1"/>
      <c r="K627" s="1"/>
      <c r="L627" s="1"/>
      <c r="M627" s="1"/>
      <c r="N627" s="1"/>
    </row>
    <row r="628">
      <c r="A628" s="1"/>
      <c r="B628" s="14" t="s">
        <v>6563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"/>
    </row>
    <row r="629">
      <c r="A629" s="1"/>
      <c r="B629" s="4" t="s">
        <v>6564</v>
      </c>
      <c r="D629" s="9"/>
      <c r="E629" s="17" t="s">
        <v>14</v>
      </c>
      <c r="F629" s="18" t="str">
        <f>HYPERLINK("https://youtu.be/aZjbMoUlaTM?t=22s",'Players&gt;List'!$B11 &amp; "++" &amp; 'Players&gt;List'!$B29)</f>
        <v>[CHB]++[SYS]</v>
      </c>
      <c r="H629" s="1"/>
      <c r="I629" s="1"/>
      <c r="J629" s="1"/>
      <c r="K629" s="1"/>
      <c r="L629" s="1"/>
      <c r="M629" s="1"/>
      <c r="N629" s="1"/>
    </row>
    <row r="630">
      <c r="A630" s="1"/>
      <c r="B630" s="14" t="s">
        <v>6565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"/>
    </row>
    <row r="631">
      <c r="A631" s="1"/>
      <c r="B631" s="4" t="s">
        <v>6566</v>
      </c>
      <c r="D631" s="9"/>
      <c r="E631" s="17" t="s">
        <v>14</v>
      </c>
      <c r="F631" s="18" t="str">
        <f>HYPERLINK("https://youtu.be/aZjbMoUlaTM?t=1m1s",'Players&gt;List'!$B11 &amp; "++" &amp; 'Players&gt;List'!$B29)</f>
        <v>[CHB]++[SYS]</v>
      </c>
      <c r="H631" s="1"/>
      <c r="I631" s="1"/>
      <c r="J631" s="1"/>
      <c r="K631" s="1"/>
      <c r="L631" s="1"/>
      <c r="M631" s="1"/>
      <c r="N631" s="1"/>
    </row>
    <row r="632">
      <c r="A632" s="1"/>
      <c r="B632" s="14" t="s">
        <v>6567</v>
      </c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"/>
    </row>
    <row r="633">
      <c r="A633" s="1"/>
      <c r="B633" s="4" t="s">
        <v>6568</v>
      </c>
      <c r="D633" s="9"/>
      <c r="E633" s="17" t="s">
        <v>14</v>
      </c>
      <c r="F633" s="18" t="str">
        <f>HYPERLINK("https://youtu.be/aZjbMoUlaTM?t=1m44s",'Players&gt;List'!$B11 &amp; "++" &amp; 'Players&gt;List'!$B29)</f>
        <v>[CHB]++[SYS]</v>
      </c>
      <c r="H633" s="1"/>
      <c r="I633" s="1"/>
      <c r="J633" s="1"/>
      <c r="K633" s="1"/>
      <c r="L633" s="1"/>
      <c r="M633" s="1"/>
      <c r="N633" s="1"/>
    </row>
    <row r="634">
      <c r="A634" s="1"/>
      <c r="B634" s="14" t="s">
        <v>6569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"/>
    </row>
    <row r="635">
      <c r="A635" s="1"/>
      <c r="B635" s="4" t="s">
        <v>6570</v>
      </c>
      <c r="D635" s="9"/>
      <c r="E635" s="17" t="s">
        <v>14</v>
      </c>
      <c r="F635" s="18" t="str">
        <f>HYPERLINK("https://youtu.be/aZjbMoUlaTM?t=2m10s",'Players&gt;List'!$B11 &amp; "++" &amp; 'Players&gt;List'!$B29)</f>
        <v>[CHB]++[SYS]</v>
      </c>
      <c r="H635" s="1"/>
      <c r="I635" s="1"/>
      <c r="J635" s="1"/>
      <c r="K635" s="1"/>
      <c r="L635" s="1"/>
      <c r="M635" s="1"/>
      <c r="N635" s="1"/>
    </row>
    <row r="636">
      <c r="A636" s="1"/>
      <c r="B636" s="14" t="s">
        <v>6571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"/>
    </row>
    <row r="637">
      <c r="A637" s="1"/>
      <c r="B637" s="4" t="s">
        <v>6572</v>
      </c>
      <c r="D637" s="9"/>
      <c r="E637" s="17" t="s">
        <v>14</v>
      </c>
      <c r="F637" s="18" t="str">
        <f>HYPERLINK("https://youtu.be/uOk1jLB2G8Y",'Players&gt;List'!$B11 &amp; "++" &amp; 'Players&gt;List'!$B29)</f>
        <v>[CHB]++[SYS]</v>
      </c>
      <c r="H637" s="1"/>
      <c r="I637" s="1"/>
      <c r="J637" s="1"/>
      <c r="K637" s="1"/>
      <c r="L637" s="1"/>
      <c r="M637" s="1"/>
      <c r="N637" s="1"/>
    </row>
    <row r="638">
      <c r="A638" s="1"/>
      <c r="B638" s="14" t="s">
        <v>6573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"/>
    </row>
    <row r="639">
      <c r="A639" s="1"/>
      <c r="B639" s="4" t="s">
        <v>6574</v>
      </c>
      <c r="D639" s="9"/>
      <c r="E639" s="17" t="s">
        <v>14</v>
      </c>
      <c r="F639" s="18" t="str">
        <f>HYPERLINK("https://youtu.be/uOk1jLB2G8Y?t=53s",'Players&gt;List'!$B11 &amp; "++" &amp; 'Players&gt;List'!$B29)</f>
        <v>[CHB]++[SYS]</v>
      </c>
      <c r="H639" s="1"/>
      <c r="I639" s="1"/>
      <c r="J639" s="1"/>
      <c r="K639" s="1"/>
      <c r="L639" s="1"/>
      <c r="M639" s="1"/>
      <c r="N639" s="1"/>
    </row>
    <row r="640">
      <c r="A640" s="1"/>
      <c r="B640" s="14" t="s">
        <v>6575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"/>
    </row>
    <row r="641">
      <c r="A641" s="1"/>
      <c r="B641" s="4" t="s">
        <v>6576</v>
      </c>
      <c r="D641" s="9"/>
      <c r="E641" s="17" t="s">
        <v>14</v>
      </c>
      <c r="F641" s="18" t="str">
        <f>HYPERLINK("https://youtu.be/uOk1jLB2G8Y?t=1m37s",'Players&gt;List'!$B11 &amp; "++" &amp; 'Players&gt;List'!$B29)</f>
        <v>[CHB]++[SYS]</v>
      </c>
      <c r="H641" s="1"/>
      <c r="I641" s="1"/>
      <c r="J641" s="1"/>
      <c r="K641" s="1"/>
      <c r="L641" s="1"/>
      <c r="M641" s="1"/>
      <c r="N641" s="1"/>
    </row>
    <row r="642">
      <c r="A642" s="1"/>
      <c r="B642" s="14" t="s">
        <v>6577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"/>
    </row>
    <row r="643">
      <c r="A643" s="1"/>
      <c r="B643" s="4" t="s">
        <v>6578</v>
      </c>
      <c r="D643" s="9"/>
      <c r="E643" s="17" t="s">
        <v>14</v>
      </c>
      <c r="F643" s="18" t="str">
        <f>HYPERLINK("https://youtu.be/uOk1jLB2G8Y?t=2m13s",'Players&gt;List'!$B11 &amp; "++" &amp; 'Players&gt;List'!$B29)</f>
        <v>[CHB]++[SYS]</v>
      </c>
      <c r="H643" s="1"/>
      <c r="I643" s="1"/>
      <c r="J643" s="1"/>
      <c r="K643" s="1"/>
      <c r="L643" s="1"/>
      <c r="M643" s="1"/>
      <c r="N643" s="1"/>
    </row>
    <row r="644">
      <c r="A644" s="1"/>
      <c r="B644" s="14" t="s">
        <v>6580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"/>
    </row>
    <row r="645">
      <c r="A645" s="1"/>
      <c r="B645" s="4" t="s">
        <v>6582</v>
      </c>
      <c r="D645" s="9"/>
      <c r="E645" s="17" t="s">
        <v>14</v>
      </c>
      <c r="F645" s="18" t="str">
        <f>HYPERLINK("https://youtu.be/uOk1jLB2G8Y?t=2m42s",'Players&gt;List'!$B11 &amp; "++" &amp; 'Players&gt;List'!$B29)</f>
        <v>[CHB]++[SYS]</v>
      </c>
      <c r="H645" s="1"/>
      <c r="I645" s="1"/>
      <c r="J645" s="1"/>
      <c r="K645" s="1"/>
      <c r="L645" s="1"/>
      <c r="M645" s="1"/>
      <c r="N645" s="1"/>
    </row>
    <row r="646">
      <c r="A646" s="1"/>
      <c r="B646" s="14" t="s">
        <v>6584</v>
      </c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"/>
    </row>
    <row r="647">
      <c r="A647" s="1"/>
      <c r="B647" s="4" t="s">
        <v>6585</v>
      </c>
      <c r="D647" s="9"/>
      <c r="E647" s="17" t="s">
        <v>14</v>
      </c>
      <c r="F647" s="18" t="str">
        <f>HYPERLINK("https://youtu.be/nbROEsnoq20?t=2",'Players&gt;List'!$B11 &amp; "++" &amp; 'Players&gt;List'!$B29)</f>
        <v>[CHB]++[SYS]</v>
      </c>
      <c r="H647" s="1"/>
      <c r="I647" s="1"/>
      <c r="J647" s="1"/>
      <c r="K647" s="1"/>
      <c r="L647" s="1"/>
      <c r="M647" s="1"/>
      <c r="N647" s="1"/>
    </row>
    <row r="648">
      <c r="A648" s="1"/>
      <c r="B648" s="14" t="s">
        <v>6588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"/>
    </row>
    <row r="649">
      <c r="A649" s="1"/>
      <c r="B649" s="4" t="s">
        <v>6589</v>
      </c>
      <c r="D649" s="9"/>
      <c r="E649" s="17" t="s">
        <v>14</v>
      </c>
      <c r="F649" s="18" t="str">
        <f>HYPERLINK("https://youtu.be/nbROEsnoq20?t=82",'Players&gt;List'!$B11 &amp; "++" &amp; 'Players&gt;List'!$B29)</f>
        <v>[CHB]++[SYS]</v>
      </c>
      <c r="H649" s="1"/>
      <c r="I649" s="1"/>
      <c r="J649" s="1"/>
      <c r="K649" s="1"/>
      <c r="L649" s="1"/>
      <c r="M649" s="1"/>
      <c r="N649" s="1"/>
    </row>
    <row r="650">
      <c r="A650" s="1"/>
      <c r="B650" s="14" t="s">
        <v>6590</v>
      </c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"/>
    </row>
    <row r="651">
      <c r="A651" s="1"/>
      <c r="B651" s="4" t="s">
        <v>6592</v>
      </c>
      <c r="D651" s="9"/>
      <c r="E651" s="17" t="s">
        <v>14</v>
      </c>
      <c r="F651" s="18" t="str">
        <f>HYPERLINK("https://youtu.be/nbROEsnoq20?t=127",'Players&gt;List'!$B11 &amp; "++" &amp; 'Players&gt;List'!$B29)</f>
        <v>[CHB]++[SYS]</v>
      </c>
      <c r="H651" s="1"/>
      <c r="I651" s="1"/>
      <c r="J651" s="1"/>
      <c r="K651" s="1"/>
      <c r="L651" s="1"/>
      <c r="M651" s="1"/>
      <c r="N651" s="1"/>
    </row>
    <row r="652">
      <c r="A652" s="1"/>
      <c r="B652" s="14" t="s">
        <v>6594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"/>
    </row>
    <row r="653">
      <c r="A653" s="1"/>
      <c r="B653" s="4" t="s">
        <v>6595</v>
      </c>
      <c r="D653" s="9"/>
      <c r="E653" s="17" t="s">
        <v>14</v>
      </c>
      <c r="F653" s="18" t="str">
        <f>HYPERLINK("https://youtu.be/nbROEsnoq20?t=161",'Players&gt;List'!$B11 &amp; "++" &amp; 'Players&gt;List'!$B29)</f>
        <v>[CHB]++[SYS]</v>
      </c>
      <c r="H653" s="1"/>
      <c r="I653" s="1"/>
      <c r="J653" s="1"/>
      <c r="K653" s="1"/>
      <c r="L653" s="1"/>
      <c r="M653" s="1"/>
      <c r="N653" s="1"/>
    </row>
    <row r="654">
      <c r="A654" s="1"/>
      <c r="B654" s="14" t="s">
        <v>6596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"/>
    </row>
    <row r="655">
      <c r="A655" s="1"/>
      <c r="B655" s="4" t="s">
        <v>6597</v>
      </c>
      <c r="D655" s="9"/>
      <c r="E655" s="17" t="s">
        <v>14</v>
      </c>
      <c r="F655" s="18" t="str">
        <f>HYPERLINK("https://www.youtube.com/watch?v=fMHZaBhaBog&amp;list=PLbU6uWaIKemqNvTeRxK-Ay6PRg9iwCKVi&amp;index=176&amp;t=0s",'Players&gt;List'!$B20 &amp; "++" &amp; 'Players&gt;List'!$B19)</f>
        <v>[KOS]++[HIT]</v>
      </c>
      <c r="H655" s="18" t="str">
        <f>HYPERLINK("https://www.twitch.tv/videos/240175193",'Players&gt;List'!$B17 &amp; "++" &amp; 'Players&gt;List'!$B8)</f>
        <v>[GOL]++[ABA]</v>
      </c>
      <c r="J655" s="18" t="str">
        <f>HYPERLINK("https://youtu.be/nbROEsnoq20?t=199",'Players&gt;List'!$B11 &amp; "++" &amp; 'Players&gt;List'!$B29)</f>
        <v>[CHB]++[SYS]</v>
      </c>
      <c r="L655" s="1"/>
      <c r="M655" s="1"/>
      <c r="N655" s="1"/>
    </row>
    <row r="656">
      <c r="A656" s="1"/>
      <c r="B656" s="14" t="s">
        <v>6598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"/>
    </row>
    <row r="657">
      <c r="A657" s="1"/>
      <c r="B657" s="4" t="s">
        <v>6599</v>
      </c>
      <c r="D657" s="9"/>
      <c r="E657" s="17" t="s">
        <v>14</v>
      </c>
      <c r="F657" s="18" t="str">
        <f>HYPERLINK("https://youtu.be/mvg5uaDcYUU",'Players&gt;List'!$B11 &amp; "++" &amp; 'Players&gt;List'!$B29)</f>
        <v>[CHB]++[SYS]</v>
      </c>
      <c r="H657" s="1"/>
      <c r="I657" s="1"/>
      <c r="J657" s="1"/>
      <c r="K657" s="1"/>
      <c r="L657" s="1"/>
      <c r="M657" s="1"/>
      <c r="N657" s="1"/>
    </row>
    <row r="658">
      <c r="A658" s="1"/>
      <c r="B658" s="14" t="s">
        <v>6600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"/>
    </row>
    <row r="659">
      <c r="A659" s="1"/>
      <c r="B659" s="4" t="s">
        <v>6601</v>
      </c>
      <c r="D659" s="9"/>
      <c r="E659" s="17" t="s">
        <v>14</v>
      </c>
      <c r="F659" s="18" t="str">
        <f>HYPERLINK("https://youtu.be/mvg5uaDcYUU?t=32s",'Players&gt;List'!$B11 &amp; "++" &amp; 'Players&gt;List'!$B29)</f>
        <v>[CHB]++[SYS]</v>
      </c>
      <c r="H659" s="1"/>
      <c r="I659" s="1"/>
      <c r="J659" s="1"/>
      <c r="K659" s="1"/>
      <c r="L659" s="1"/>
      <c r="M659" s="1"/>
      <c r="N659" s="1"/>
    </row>
    <row r="660">
      <c r="A660" s="1"/>
      <c r="B660" s="14" t="s">
        <v>6602</v>
      </c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"/>
    </row>
    <row r="661">
      <c r="A661" s="1"/>
      <c r="B661" s="4" t="s">
        <v>6603</v>
      </c>
      <c r="D661" s="9"/>
      <c r="E661" s="17" t="s">
        <v>14</v>
      </c>
      <c r="F661" s="18" t="str">
        <f>HYPERLINK("https://youtu.be/mvg5uaDcYUU?t=1m12s",'Players&gt;List'!$B11 &amp; "++" &amp; 'Players&gt;List'!$B29)</f>
        <v>[CHB]++[SYS]</v>
      </c>
      <c r="H661" s="1"/>
      <c r="I661" s="1"/>
      <c r="J661" s="1"/>
      <c r="K661" s="1"/>
      <c r="L661" s="1"/>
      <c r="M661" s="1"/>
      <c r="N661" s="1"/>
    </row>
    <row r="662">
      <c r="A662" s="1"/>
      <c r="B662" s="14" t="s">
        <v>6604</v>
      </c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"/>
    </row>
    <row r="663">
      <c r="A663" s="1"/>
      <c r="B663" s="4" t="s">
        <v>6605</v>
      </c>
      <c r="D663" s="9"/>
      <c r="E663" s="17" t="s">
        <v>14</v>
      </c>
      <c r="F663" s="18" t="str">
        <f>HYPERLINK("https://youtu.be/mvg5uaDcYUU?t=1m38s",'Players&gt;List'!$B11 &amp; "++" &amp; 'Players&gt;List'!$B29)</f>
        <v>[CHB]++[SYS]</v>
      </c>
      <c r="H663" s="1"/>
      <c r="I663" s="1"/>
      <c r="J663" s="1"/>
      <c r="K663" s="1"/>
      <c r="L663" s="1"/>
      <c r="M663" s="1"/>
      <c r="N663" s="1"/>
    </row>
    <row r="664">
      <c r="A664" s="1"/>
      <c r="B664" s="14" t="s">
        <v>6606</v>
      </c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"/>
    </row>
    <row r="665">
      <c r="A665" s="1"/>
      <c r="B665" s="4" t="s">
        <v>6607</v>
      </c>
      <c r="D665" s="9"/>
      <c r="E665" s="17" t="s">
        <v>14</v>
      </c>
      <c r="F665" s="18" t="str">
        <f>HYPERLINK("https://youtu.be/mvg5uaDcYUU?t=2m25s",'Players&gt;List'!$B11 &amp; "++" &amp; 'Players&gt;List'!$B29)</f>
        <v>[CHB]++[SYS]</v>
      </c>
      <c r="H665" s="1"/>
      <c r="I665" s="1"/>
      <c r="J665" s="1"/>
      <c r="K665" s="1"/>
      <c r="L665" s="1"/>
      <c r="M665" s="1"/>
      <c r="N665" s="1"/>
    </row>
    <row r="666">
      <c r="A666" s="1"/>
      <c r="B666" s="14" t="s">
        <v>6608</v>
      </c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"/>
    </row>
    <row r="667">
      <c r="A667" s="1"/>
      <c r="B667" s="4" t="s">
        <v>6609</v>
      </c>
      <c r="D667" s="9"/>
      <c r="E667" s="17" t="s">
        <v>14</v>
      </c>
      <c r="F667" s="18" t="str">
        <f>HYPERLINK("https://youtu.be/prhTVodE9v0",'Players&gt;List'!$B11 &amp; "++" &amp; 'Players&gt;List'!$B29)</f>
        <v>[CHB]++[SYS]</v>
      </c>
      <c r="H667" s="1"/>
      <c r="I667" s="1"/>
      <c r="J667" s="1"/>
      <c r="K667" s="1"/>
      <c r="L667" s="1"/>
      <c r="M667" s="1"/>
      <c r="N667" s="1"/>
    </row>
    <row r="668">
      <c r="A668" s="1"/>
      <c r="B668" s="14" t="s">
        <v>6610</v>
      </c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"/>
    </row>
    <row r="669">
      <c r="A669" s="1"/>
      <c r="B669" s="4" t="s">
        <v>6611</v>
      </c>
      <c r="D669" s="9"/>
      <c r="E669" s="17" t="s">
        <v>14</v>
      </c>
      <c r="F669" s="18" t="str">
        <f>HYPERLINK("https://youtu.be/prhTVodE9v0?t=32s",'Players&gt;List'!$B11 &amp; "++" &amp; 'Players&gt;List'!$B29)</f>
        <v>[CHB]++[SYS]</v>
      </c>
      <c r="H669" s="1"/>
      <c r="I669" s="1"/>
      <c r="J669" s="1"/>
      <c r="K669" s="1"/>
      <c r="L669" s="1"/>
      <c r="M669" s="1"/>
      <c r="N669" s="1"/>
    </row>
    <row r="670">
      <c r="A670" s="1"/>
      <c r="B670" s="14" t="s">
        <v>6612</v>
      </c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"/>
    </row>
    <row r="671">
      <c r="A671" s="1"/>
      <c r="B671" s="4" t="s">
        <v>6613</v>
      </c>
      <c r="D671" s="9"/>
      <c r="E671" s="17" t="s">
        <v>14</v>
      </c>
      <c r="F671" s="18" t="str">
        <f>HYPERLINK("https://youtu.be/prhTVodE9v0?t=1m24s",'Players&gt;List'!$B11 &amp; "++" &amp; 'Players&gt;List'!$B29)</f>
        <v>[CHB]++[SYS]</v>
      </c>
      <c r="H671" s="1"/>
      <c r="I671" s="1"/>
      <c r="J671" s="1"/>
      <c r="K671" s="1"/>
      <c r="L671" s="1"/>
      <c r="M671" s="1"/>
      <c r="N671" s="1"/>
    </row>
    <row r="672">
      <c r="A672" s="1"/>
      <c r="B672" s="14" t="s">
        <v>6614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"/>
    </row>
    <row r="673">
      <c r="A673" s="1"/>
      <c r="B673" s="4" t="s">
        <v>6615</v>
      </c>
      <c r="D673" s="9"/>
      <c r="E673" s="17" t="s">
        <v>14</v>
      </c>
      <c r="F673" s="18" t="str">
        <f>HYPERLINK("https://youtu.be/prhTVodE9v0?t=2m10s",'Players&gt;List'!$B11 &amp; "++" &amp; 'Players&gt;List'!$B29)</f>
        <v>[CHB]++[SYS]</v>
      </c>
      <c r="H673" s="1"/>
      <c r="I673" s="1"/>
      <c r="J673" s="1"/>
      <c r="K673" s="1"/>
      <c r="L673" s="1"/>
      <c r="M673" s="1"/>
      <c r="N673" s="1"/>
    </row>
    <row r="674">
      <c r="A674" s="1"/>
      <c r="B674" s="14" t="s">
        <v>6616</v>
      </c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"/>
    </row>
    <row r="675">
      <c r="A675" s="1"/>
      <c r="B675" s="4" t="s">
        <v>6617</v>
      </c>
      <c r="D675" s="9"/>
      <c r="E675" s="17" t="s">
        <v>14</v>
      </c>
      <c r="F675" s="18" t="str">
        <f>HYPERLINK("https://youtu.be/prhTVodE9v0?t=2m39s",'Players&gt;List'!$B11 &amp; "++" &amp; 'Players&gt;List'!$B29)</f>
        <v>[CHB]++[SYS]</v>
      </c>
      <c r="H675" s="1"/>
      <c r="I675" s="1"/>
      <c r="J675" s="1"/>
      <c r="K675" s="1"/>
      <c r="L675" s="1"/>
      <c r="M675" s="1"/>
      <c r="N675" s="1"/>
    </row>
    <row r="676">
      <c r="A676" s="1"/>
      <c r="B676" s="14" t="s">
        <v>6618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"/>
    </row>
    <row r="677">
      <c r="A677" s="1"/>
      <c r="B677" s="4" t="s">
        <v>6619</v>
      </c>
      <c r="D677" s="9"/>
      <c r="E677" s="17" t="s">
        <v>14</v>
      </c>
      <c r="F677" s="18" t="str">
        <f>HYPERLINK("https://youtu.be/mdnZkn9sADo?t=1s",'Players&gt;List'!$B11 &amp; "++" &amp; 'Players&gt;List'!$B29)</f>
        <v>[CHB]++[SYS]</v>
      </c>
      <c r="H677" s="1"/>
      <c r="I677" s="1"/>
      <c r="J677" s="1"/>
      <c r="K677" s="1"/>
      <c r="L677" s="1"/>
      <c r="M677" s="1"/>
      <c r="N677" s="1"/>
    </row>
    <row r="678">
      <c r="A678" s="1"/>
      <c r="B678" s="14" t="s">
        <v>6620</v>
      </c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"/>
    </row>
    <row r="679">
      <c r="A679" s="1"/>
      <c r="B679" s="4" t="s">
        <v>6621</v>
      </c>
      <c r="D679" s="9"/>
      <c r="E679" s="17" t="s">
        <v>14</v>
      </c>
      <c r="F679" s="18" t="str">
        <f>HYPERLINK("https://youtu.be/mdnZkn9sADo?t=15s",'Players&gt;List'!$B11 &amp; "++" &amp; 'Players&gt;List'!$B29)</f>
        <v>[CHB]++[SYS]</v>
      </c>
      <c r="H679" s="1"/>
      <c r="I679" s="1"/>
      <c r="J679" s="1"/>
      <c r="K679" s="1"/>
      <c r="L679" s="1"/>
      <c r="M679" s="1"/>
      <c r="N679" s="1"/>
    </row>
    <row r="680">
      <c r="A680" s="1"/>
      <c r="B680" s="14" t="s">
        <v>6622</v>
      </c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"/>
    </row>
    <row r="681">
      <c r="A681" s="1"/>
      <c r="B681" s="4" t="s">
        <v>6623</v>
      </c>
      <c r="D681" s="9"/>
      <c r="E681" s="17" t="s">
        <v>14</v>
      </c>
      <c r="F681" s="18" t="str">
        <f>HYPERLINK("https://youtu.be/mdnZkn9sADo?t=1m1s",'Players&gt;List'!$B11 &amp; "++" &amp; 'Players&gt;List'!$B29)</f>
        <v>[CHB]++[SYS]</v>
      </c>
      <c r="H681" s="1"/>
      <c r="I681" s="1"/>
      <c r="J681" s="1"/>
      <c r="K681" s="1"/>
      <c r="L681" s="1"/>
      <c r="M681" s="1"/>
      <c r="N681" s="1"/>
    </row>
    <row r="682">
      <c r="A682" s="1"/>
      <c r="B682" s="14" t="s">
        <v>6624</v>
      </c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"/>
    </row>
    <row r="683">
      <c r="A683" s="1"/>
      <c r="B683" s="4" t="s">
        <v>6625</v>
      </c>
      <c r="D683" s="9"/>
      <c r="E683" s="17" t="s">
        <v>14</v>
      </c>
      <c r="F683" s="18" t="str">
        <f>HYPERLINK("https://youtu.be/mdnZkn9sADo?t=1m36s",'Players&gt;List'!$B11 &amp; "++" &amp; 'Players&gt;List'!$B29)</f>
        <v>[CHB]++[SYS]</v>
      </c>
      <c r="H683" s="1"/>
      <c r="I683" s="1"/>
      <c r="J683" s="1"/>
      <c r="K683" s="1"/>
      <c r="L683" s="1"/>
      <c r="M683" s="1"/>
      <c r="N683" s="1"/>
    </row>
    <row r="684">
      <c r="A684" s="1"/>
      <c r="B684" s="14" t="s">
        <v>6626</v>
      </c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"/>
    </row>
    <row r="685">
      <c r="A685" s="1"/>
      <c r="B685" s="4" t="s">
        <v>6627</v>
      </c>
      <c r="D685" s="9"/>
      <c r="E685" s="17" t="s">
        <v>14</v>
      </c>
      <c r="F685" s="18" t="str">
        <f>HYPERLINK("https://youtu.be/mdnZkn9sADo?t=2m41s",'Players&gt;List'!$B11 &amp; "++" &amp; 'Players&gt;List'!$B29)</f>
        <v>[CHB]++[SYS]</v>
      </c>
      <c r="H685" s="1"/>
      <c r="I685" s="1"/>
      <c r="J685" s="1"/>
      <c r="K685" s="1"/>
      <c r="L685" s="1"/>
      <c r="M685" s="1"/>
      <c r="N685" s="1"/>
    </row>
    <row r="686">
      <c r="A686" s="1"/>
      <c r="B686" s="14" t="s">
        <v>6628</v>
      </c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"/>
    </row>
    <row r="687">
      <c r="A687" s="1"/>
      <c r="B687" s="4" t="s">
        <v>6629</v>
      </c>
      <c r="D687" s="9"/>
      <c r="E687" s="17" t="s">
        <v>14</v>
      </c>
      <c r="F687" s="18" t="str">
        <f>HYPERLINK("https://youtu.be/orrV69Ib1Xc",'Players&gt;List'!$B11 &amp; "++" &amp; 'Players&gt;List'!$B29)</f>
        <v>[CHB]++[SYS]</v>
      </c>
      <c r="H687" s="1"/>
      <c r="I687" s="1"/>
      <c r="J687" s="1"/>
      <c r="K687" s="1"/>
      <c r="L687" s="1"/>
      <c r="M687" s="1"/>
      <c r="N687" s="1"/>
    </row>
    <row r="688">
      <c r="A688" s="1"/>
      <c r="B688" s="14" t="s">
        <v>6630</v>
      </c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"/>
    </row>
    <row r="689">
      <c r="A689" s="1"/>
      <c r="B689" s="4" t="s">
        <v>6631</v>
      </c>
      <c r="D689" s="9"/>
      <c r="E689" s="17" t="s">
        <v>14</v>
      </c>
      <c r="F689" s="18" t="str">
        <f>HYPERLINK("https://youtu.be/orrV69Ib1Xc?t=32s",'Players&gt;List'!$B11 &amp; "++" &amp; 'Players&gt;List'!$B29)</f>
        <v>[CHB]++[SYS]</v>
      </c>
      <c r="H689" s="1"/>
      <c r="I689" s="1"/>
      <c r="J689" s="1"/>
      <c r="K689" s="1"/>
      <c r="L689" s="1"/>
      <c r="M689" s="1"/>
      <c r="N689" s="1"/>
    </row>
    <row r="690">
      <c r="A690" s="1"/>
      <c r="B690" s="14" t="s">
        <v>6633</v>
      </c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"/>
    </row>
    <row r="691">
      <c r="A691" s="1"/>
      <c r="B691" s="4" t="s">
        <v>6634</v>
      </c>
      <c r="D691" s="9"/>
      <c r="E691" s="17" t="s">
        <v>14</v>
      </c>
      <c r="F691" s="18" t="str">
        <f>HYPERLINK("https://youtu.be/orrV69Ib1Xc?t=1m5s",'Players&gt;List'!$B11 &amp; "++" &amp; 'Players&gt;List'!$B29)</f>
        <v>[CHB]++[SYS]</v>
      </c>
      <c r="H691" s="1"/>
      <c r="I691" s="1"/>
      <c r="J691" s="1"/>
      <c r="K691" s="1"/>
      <c r="L691" s="1"/>
      <c r="M691" s="1"/>
      <c r="N691" s="1"/>
    </row>
    <row r="692">
      <c r="A692" s="1"/>
      <c r="B692" s="14" t="s">
        <v>6635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"/>
    </row>
    <row r="693">
      <c r="A693" s="1"/>
      <c r="B693" s="4" t="s">
        <v>6636</v>
      </c>
      <c r="D693" s="9"/>
      <c r="E693" s="17" t="s">
        <v>14</v>
      </c>
      <c r="F693" s="18" t="str">
        <f>HYPERLINK("https://youtu.be/orrV69Ib1Xc?t=2m23s",'Players&gt;List'!$B11 &amp; "++" &amp; 'Players&gt;List'!$B29)</f>
        <v>[CHB]++[SYS]</v>
      </c>
      <c r="H693" s="1"/>
      <c r="I693" s="1"/>
      <c r="J693" s="1"/>
      <c r="K693" s="1"/>
      <c r="L693" s="1"/>
      <c r="M693" s="1"/>
      <c r="N693" s="1"/>
    </row>
    <row r="694">
      <c r="A694" s="1"/>
      <c r="B694" s="14" t="s">
        <v>6637</v>
      </c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"/>
    </row>
    <row r="695">
      <c r="A695" s="1"/>
      <c r="B695" s="4" t="s">
        <v>6638</v>
      </c>
      <c r="D695" s="9"/>
      <c r="E695" s="17" t="s">
        <v>14</v>
      </c>
      <c r="F695" s="18" t="str">
        <f>HYPERLINK("https://youtu.be/orrV69Ib1Xc?t=3m11s",'Players&gt;List'!$B11 &amp; "++" &amp; 'Players&gt;List'!$B29)</f>
        <v>[CHB]++[SYS]</v>
      </c>
      <c r="H695" s="1"/>
      <c r="I695" s="1"/>
      <c r="J695" s="1"/>
      <c r="K695" s="1"/>
      <c r="L695" s="1"/>
      <c r="M695" s="1"/>
      <c r="N695" s="1"/>
    </row>
    <row r="696">
      <c r="A696" s="1"/>
      <c r="B696" s="14" t="s">
        <v>6639</v>
      </c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"/>
    </row>
    <row r="697">
      <c r="A697" s="1"/>
      <c r="B697" s="4" t="s">
        <v>6640</v>
      </c>
      <c r="D697" s="9"/>
      <c r="E697" s="17" t="s">
        <v>14</v>
      </c>
      <c r="F697" s="18" t="str">
        <f>HYPERLINK("https://youtu.be/QcwK0_bqpcM?t=4s",'Players&gt;List'!$B11 &amp; "++" &amp; 'Players&gt;List'!$B29)</f>
        <v>[CHB]++[SYS]</v>
      </c>
      <c r="H697" s="1"/>
      <c r="I697" s="1"/>
      <c r="J697" s="1"/>
      <c r="K697" s="1"/>
      <c r="L697" s="1"/>
      <c r="M697" s="1"/>
      <c r="N697" s="1"/>
    </row>
    <row r="698">
      <c r="A698" s="1"/>
      <c r="B698" s="14" t="s">
        <v>6641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"/>
    </row>
    <row r="699">
      <c r="A699" s="1"/>
      <c r="B699" s="4" t="s">
        <v>6642</v>
      </c>
      <c r="D699" s="9"/>
      <c r="E699" s="17" t="s">
        <v>14</v>
      </c>
      <c r="F699" s="18" t="str">
        <f>HYPERLINK("https://youtu.be/QcwK0_bqpcM?t=23s",'Players&gt;List'!$B11 &amp; "++" &amp; 'Players&gt;List'!$B29)</f>
        <v>[CHB]++[SYS]</v>
      </c>
      <c r="H699" s="1"/>
      <c r="I699" s="1"/>
      <c r="J699" s="1"/>
      <c r="K699" s="1"/>
      <c r="L699" s="1"/>
      <c r="M699" s="1"/>
      <c r="N699" s="1"/>
    </row>
    <row r="700">
      <c r="A700" s="1"/>
      <c r="B700" s="14" t="s">
        <v>6643</v>
      </c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"/>
    </row>
    <row r="701">
      <c r="A701" s="1"/>
      <c r="B701" s="4" t="s">
        <v>6644</v>
      </c>
      <c r="D701" s="9"/>
      <c r="E701" s="17" t="s">
        <v>14</v>
      </c>
      <c r="F701" s="18" t="str">
        <f>HYPERLINK("https://youtu.be/QcwK0_bqpcM?t=45s",'Players&gt;List'!$B11 &amp; "++" &amp; 'Players&gt;List'!$B29)</f>
        <v>[CHB]++[SYS]</v>
      </c>
      <c r="H701" s="1"/>
      <c r="I701" s="1"/>
      <c r="J701" s="1"/>
      <c r="K701" s="1"/>
      <c r="L701" s="1"/>
      <c r="M701" s="1"/>
      <c r="N701" s="1"/>
    </row>
    <row r="702">
      <c r="A702" s="1"/>
      <c r="B702" s="14" t="s">
        <v>6645</v>
      </c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"/>
    </row>
    <row r="703">
      <c r="A703" s="1"/>
      <c r="B703" s="4" t="s">
        <v>6646</v>
      </c>
      <c r="D703" s="9"/>
      <c r="E703" s="17" t="s">
        <v>14</v>
      </c>
      <c r="F703" s="18" t="str">
        <f>HYPERLINK("https://youtu.be/QcwK0_bqpcM?t=1m26s",'Players&gt;List'!$B11 &amp; "++" &amp; 'Players&gt;List'!$B29)</f>
        <v>[CHB]++[SYS]</v>
      </c>
      <c r="H703" s="1"/>
      <c r="I703" s="1"/>
      <c r="J703" s="1"/>
      <c r="K703" s="1"/>
      <c r="L703" s="1"/>
      <c r="M703" s="1"/>
      <c r="N703" s="1"/>
    </row>
    <row r="704">
      <c r="A704" s="1"/>
      <c r="B704" s="14" t="s">
        <v>6647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"/>
    </row>
    <row r="705">
      <c r="A705" s="1"/>
      <c r="B705" s="4" t="s">
        <v>6648</v>
      </c>
      <c r="D705" s="9"/>
      <c r="E705" s="17" t="s">
        <v>14</v>
      </c>
      <c r="F705" s="18" t="str">
        <f>HYPERLINK("https://youtu.be/QcwK0_bqpcM?t=2m30s",'Players&gt;List'!$B11 &amp; "++" &amp; 'Players&gt;List'!$B29)</f>
        <v>[CHB]++[SYS]</v>
      </c>
      <c r="H705" s="1"/>
      <c r="I705" s="1"/>
      <c r="J705" s="1"/>
      <c r="K705" s="1"/>
      <c r="L705" s="1"/>
      <c r="M705" s="1"/>
      <c r="N705" s="1"/>
    </row>
    <row r="706">
      <c r="A706" s="1"/>
      <c r="B706" s="14" t="s">
        <v>6649</v>
      </c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"/>
    </row>
    <row r="707">
      <c r="A707" s="1"/>
      <c r="B707" s="4" t="s">
        <v>6650</v>
      </c>
      <c r="D707" s="9"/>
      <c r="E707" s="17" t="s">
        <v>14</v>
      </c>
      <c r="F707" s="18" t="str">
        <f>HYPERLINK("https://youtu.be/UK8MWni8PA0",'Players&gt;List'!$B11 &amp; "++" &amp; 'Players&gt;List'!$B29)</f>
        <v>[CHB]++[SYS]</v>
      </c>
      <c r="H707" s="1"/>
      <c r="I707" s="1"/>
      <c r="J707" s="1"/>
      <c r="K707" s="1"/>
      <c r="L707" s="1"/>
      <c r="M707" s="1"/>
      <c r="N707" s="1"/>
    </row>
    <row r="708">
      <c r="A708" s="1"/>
      <c r="B708" s="14" t="s">
        <v>6651</v>
      </c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"/>
    </row>
    <row r="709">
      <c r="A709" s="1"/>
      <c r="B709" s="4" t="s">
        <v>6652</v>
      </c>
      <c r="D709" s="9"/>
      <c r="E709" s="17" t="s">
        <v>14</v>
      </c>
      <c r="F709" s="18" t="str">
        <f>HYPERLINK("https://youtu.be/UK8MWni8PA0?t=1m2s",'Players&gt;List'!$B11 &amp; "++" &amp; 'Players&gt;List'!$B29)</f>
        <v>[CHB]++[SYS]</v>
      </c>
      <c r="H709" s="1"/>
      <c r="I709" s="1"/>
      <c r="J709" s="1"/>
      <c r="K709" s="1"/>
      <c r="L709" s="1"/>
      <c r="M709" s="1"/>
      <c r="N709" s="1"/>
    </row>
    <row r="710">
      <c r="A710" s="1"/>
      <c r="B710" s="14" t="s">
        <v>6653</v>
      </c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"/>
    </row>
    <row r="711">
      <c r="A711" s="1"/>
      <c r="B711" s="4" t="s">
        <v>6654</v>
      </c>
      <c r="D711" s="9"/>
      <c r="E711" s="17" t="s">
        <v>14</v>
      </c>
      <c r="F711" s="18" t="str">
        <f>HYPERLINK("https://youtu.be/UK8MWni8PA0?t=1m34s",'Players&gt;List'!$B11 &amp; "++" &amp; 'Players&gt;List'!$B29)</f>
        <v>[CHB]++[SYS]</v>
      </c>
      <c r="H711" s="1"/>
      <c r="I711" s="1"/>
      <c r="J711" s="1"/>
      <c r="K711" s="1"/>
      <c r="L711" s="1"/>
      <c r="M711" s="1"/>
      <c r="N711" s="1"/>
    </row>
    <row r="712">
      <c r="A712" s="1"/>
      <c r="B712" s="14" t="s">
        <v>6655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"/>
    </row>
    <row r="713">
      <c r="A713" s="1"/>
      <c r="B713" s="4" t="s">
        <v>6656</v>
      </c>
      <c r="D713" s="9"/>
      <c r="E713" s="17" t="s">
        <v>14</v>
      </c>
      <c r="F713" s="18" t="str">
        <f>HYPERLINK("https://youtu.be/UK8MWni8PA0?t=2m19s",'Players&gt;List'!$B11 &amp; "++" &amp; 'Players&gt;List'!$B29)</f>
        <v>[CHB]++[SYS]</v>
      </c>
      <c r="H713" s="1"/>
      <c r="I713" s="1"/>
      <c r="J713" s="1"/>
      <c r="K713" s="1"/>
      <c r="L713" s="1"/>
      <c r="M713" s="1"/>
      <c r="N713" s="1"/>
    </row>
    <row r="714">
      <c r="A714" s="1"/>
      <c r="B714" s="14" t="s">
        <v>6657</v>
      </c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"/>
    </row>
    <row r="715">
      <c r="A715" s="1"/>
      <c r="B715" s="4" t="s">
        <v>6658</v>
      </c>
      <c r="D715" s="9"/>
      <c r="E715" s="17" t="s">
        <v>14</v>
      </c>
      <c r="F715" s="18" t="str">
        <f>HYPERLINK("https://youtu.be/UK8MWni8PA0?t=2m50s",'Players&gt;List'!$B11 &amp; "++" &amp; 'Players&gt;List'!$B29)</f>
        <v>[CHB]++[SYS]</v>
      </c>
      <c r="H715" s="1"/>
      <c r="I715" s="1"/>
      <c r="J715" s="1"/>
      <c r="K715" s="1"/>
      <c r="L715" s="1"/>
      <c r="M715" s="1"/>
      <c r="N715" s="1"/>
    </row>
    <row r="716">
      <c r="A716" s="1"/>
      <c r="B716" s="14" t="s">
        <v>6659</v>
      </c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"/>
    </row>
    <row r="717">
      <c r="A717" s="1"/>
      <c r="B717" s="4" t="s">
        <v>6660</v>
      </c>
      <c r="D717" s="9"/>
      <c r="E717" s="17" t="s">
        <v>14</v>
      </c>
      <c r="F717" s="18" t="str">
        <f>HYPERLINK("https://youtu.be/mfhGCcRysrg",'Players&gt;List'!$B11 &amp; "++" &amp; 'Players&gt;List'!$B29)</f>
        <v>[CHB]++[SYS]</v>
      </c>
      <c r="H717" s="1"/>
      <c r="I717" s="1"/>
      <c r="J717" s="1"/>
      <c r="K717" s="1"/>
      <c r="L717" s="1"/>
      <c r="M717" s="1"/>
      <c r="N717" s="1"/>
    </row>
    <row r="718">
      <c r="A718" s="1"/>
      <c r="B718" s="14" t="s">
        <v>6661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"/>
    </row>
    <row r="719">
      <c r="A719" s="1"/>
      <c r="B719" s="4" t="s">
        <v>6662</v>
      </c>
      <c r="D719" s="9"/>
      <c r="E719" s="17" t="s">
        <v>14</v>
      </c>
      <c r="F719" s="18" t="str">
        <f>HYPERLINK("https://youtu.be/mfhGCcRysrg?t=42s",'Players&gt;List'!$B11 &amp; "++" &amp; 'Players&gt;List'!$B29)</f>
        <v>[CHB]++[SYS]</v>
      </c>
      <c r="H719" s="1"/>
      <c r="I719" s="1"/>
      <c r="J719" s="1"/>
      <c r="K719" s="1"/>
      <c r="L719" s="1"/>
      <c r="M719" s="1"/>
      <c r="N719" s="1"/>
    </row>
    <row r="720">
      <c r="A720" s="1"/>
      <c r="B720" s="14" t="s">
        <v>6663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"/>
    </row>
    <row r="721">
      <c r="A721" s="1"/>
      <c r="B721" s="4" t="s">
        <v>6664</v>
      </c>
      <c r="D721" s="9"/>
      <c r="E721" s="17" t="s">
        <v>14</v>
      </c>
      <c r="F721" s="18" t="str">
        <f>HYPERLINK("https://youtu.be/mfhGCcRysrg?t=1m12s",'Players&gt;List'!$B11 &amp; "++" &amp; 'Players&gt;List'!$B29)</f>
        <v>[CHB]++[SYS]</v>
      </c>
      <c r="H721" s="1"/>
      <c r="I721" s="1"/>
      <c r="J721" s="1"/>
      <c r="K721" s="1"/>
      <c r="L721" s="1"/>
      <c r="M721" s="1"/>
      <c r="N721" s="1"/>
    </row>
    <row r="722">
      <c r="A722" s="1"/>
      <c r="B722" s="14" t="s">
        <v>6665</v>
      </c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"/>
    </row>
    <row r="723">
      <c r="A723" s="1"/>
      <c r="B723" s="4" t="s">
        <v>6666</v>
      </c>
      <c r="D723" s="9"/>
      <c r="E723" s="17" t="s">
        <v>14</v>
      </c>
      <c r="F723" s="18" t="str">
        <f>HYPERLINK("https://youtu.be/mfhGCcRysrg?t=1m43s",'Players&gt;List'!$B11 &amp; "++" &amp; 'Players&gt;List'!$B29)</f>
        <v>[CHB]++[SYS]</v>
      </c>
      <c r="H723" s="1"/>
      <c r="I723" s="1"/>
      <c r="J723" s="1"/>
      <c r="K723" s="1"/>
      <c r="L723" s="1"/>
      <c r="M723" s="1"/>
      <c r="N723" s="1"/>
    </row>
    <row r="724">
      <c r="A724" s="1"/>
      <c r="B724" s="14" t="s">
        <v>6668</v>
      </c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"/>
    </row>
    <row r="725">
      <c r="A725" s="1"/>
      <c r="B725" s="4" t="s">
        <v>6669</v>
      </c>
      <c r="D725" s="9"/>
      <c r="E725" s="17" t="s">
        <v>14</v>
      </c>
      <c r="F725" s="18" t="str">
        <f>HYPERLINK("https://youtu.be/mfhGCcRysrg?t=4m3s",'Players&gt;List'!$B11 &amp; "++" &amp; 'Players&gt;List'!$B29)</f>
        <v>[CHB]++[SYS]</v>
      </c>
      <c r="H725" s="1"/>
      <c r="I725" s="1"/>
      <c r="J725" s="1"/>
      <c r="K725" s="1"/>
      <c r="L725" s="1"/>
      <c r="M725" s="1"/>
      <c r="N725" s="1"/>
    </row>
    <row r="726">
      <c r="A726" s="1"/>
      <c r="B726" s="14" t="s">
        <v>6670</v>
      </c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"/>
    </row>
    <row r="727">
      <c r="A727" s="1"/>
      <c r="B727" s="4" t="s">
        <v>6671</v>
      </c>
      <c r="D727" s="9"/>
      <c r="E727" s="17" t="s">
        <v>14</v>
      </c>
      <c r="F727" s="18" t="str">
        <f>HYPERLINK("https://youtu.be/u6ZcRE9YGbg",'Players&gt;List'!$B11 &amp; "++" &amp; 'Players&gt;List'!$B29)</f>
        <v>[CHB]++[SYS]</v>
      </c>
      <c r="H727" s="1"/>
      <c r="I727" s="1"/>
      <c r="J727" s="1"/>
      <c r="K727" s="1"/>
      <c r="L727" s="1"/>
      <c r="M727" s="1"/>
      <c r="N727" s="1"/>
    </row>
    <row r="728">
      <c r="A728" s="1"/>
      <c r="B728" s="14" t="s">
        <v>6672</v>
      </c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"/>
    </row>
    <row r="729">
      <c r="A729" s="1"/>
      <c r="B729" s="4" t="s">
        <v>6673</v>
      </c>
      <c r="D729" s="9"/>
      <c r="E729" s="17" t="s">
        <v>14</v>
      </c>
      <c r="F729" s="18" t="str">
        <f>HYPERLINK("https://youtu.be/u6ZcRE9YGbg?t=22s",'Players&gt;List'!$B11 &amp; "++" &amp; 'Players&gt;List'!$B29)</f>
        <v>[CHB]++[SYS]</v>
      </c>
      <c r="H729" s="1"/>
      <c r="I729" s="1"/>
      <c r="J729" s="1"/>
      <c r="K729" s="1"/>
      <c r="L729" s="1"/>
      <c r="M729" s="1"/>
      <c r="N729" s="1"/>
    </row>
    <row r="730">
      <c r="A730" s="1"/>
      <c r="B730" s="14" t="s">
        <v>6674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"/>
    </row>
    <row r="731">
      <c r="A731" s="1"/>
      <c r="B731" s="4" t="s">
        <v>6675</v>
      </c>
      <c r="D731" s="9"/>
      <c r="E731" s="17" t="s">
        <v>14</v>
      </c>
      <c r="F731" s="18" t="str">
        <f>HYPERLINK("https://youtu.be/u6ZcRE9YGbg?t=52s",'Players&gt;List'!$B11 &amp; "++" &amp; 'Players&gt;List'!$B29)</f>
        <v>[CHB]++[SYS]</v>
      </c>
      <c r="H731" s="1"/>
      <c r="I731" s="1"/>
      <c r="J731" s="1"/>
      <c r="K731" s="1"/>
      <c r="L731" s="1"/>
      <c r="M731" s="1"/>
      <c r="N731" s="1"/>
    </row>
    <row r="732">
      <c r="A732" s="1"/>
      <c r="B732" s="14" t="s">
        <v>6677</v>
      </c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"/>
    </row>
    <row r="733">
      <c r="A733" s="1"/>
      <c r="B733" s="4" t="s">
        <v>6678</v>
      </c>
      <c r="D733" s="9"/>
      <c r="E733" s="17" t="s">
        <v>14</v>
      </c>
      <c r="F733" s="18" t="str">
        <f>HYPERLINK("https://youtu.be/u6ZcRE9YGbg?t=1m43s",'Players&gt;List'!$B11 &amp; "++" &amp; 'Players&gt;List'!$B29)</f>
        <v>[CHB]++[SYS]</v>
      </c>
      <c r="H733" s="1"/>
      <c r="I733" s="1"/>
      <c r="J733" s="1"/>
      <c r="K733" s="1"/>
      <c r="L733" s="1"/>
      <c r="M733" s="1"/>
      <c r="N733" s="1"/>
    </row>
    <row r="734">
      <c r="A734" s="1"/>
      <c r="B734" s="14" t="s">
        <v>6679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"/>
    </row>
    <row r="735">
      <c r="A735" s="1"/>
      <c r="B735" s="4" t="s">
        <v>6680</v>
      </c>
      <c r="D735" s="9"/>
      <c r="E735" s="17" t="s">
        <v>14</v>
      </c>
      <c r="F735" s="18" t="str">
        <f>HYPERLINK("https://youtu.be/u6ZcRE9YGbg?t=2m7s",'Players&gt;List'!$B11 &amp; "++" &amp; 'Players&gt;List'!$B29)</f>
        <v>[CHB]++[SYS]</v>
      </c>
      <c r="H735" s="1"/>
      <c r="I735" s="1"/>
      <c r="J735" s="1"/>
      <c r="K735" s="1"/>
      <c r="L735" s="1"/>
      <c r="M735" s="1"/>
      <c r="N735" s="1"/>
    </row>
    <row r="736">
      <c r="A736" s="1"/>
      <c r="B736" s="14" t="s">
        <v>6681</v>
      </c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"/>
    </row>
    <row r="737">
      <c r="A737" s="1"/>
      <c r="B737" s="4" t="s">
        <v>6682</v>
      </c>
      <c r="D737" s="9"/>
      <c r="E737" s="17" t="s">
        <v>14</v>
      </c>
      <c r="F737" s="18" t="str">
        <f>HYPERLINK("https://youtu.be/1nsZHL_G_fc?t=1s",'Players&gt;List'!$B11 &amp; "++" &amp; 'Players&gt;List'!$B29)</f>
        <v>[CHB]++[SYS]</v>
      </c>
      <c r="H737" s="1"/>
      <c r="I737" s="1"/>
      <c r="J737" s="1"/>
      <c r="K737" s="1"/>
      <c r="L737" s="1"/>
      <c r="M737" s="1"/>
      <c r="N737" s="1"/>
    </row>
    <row r="738">
      <c r="A738" s="1"/>
      <c r="B738" s="14" t="s">
        <v>6687</v>
      </c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"/>
    </row>
    <row r="739">
      <c r="A739" s="1"/>
      <c r="B739" s="4" t="s">
        <v>6689</v>
      </c>
      <c r="D739" s="9"/>
      <c r="E739" s="17" t="s">
        <v>14</v>
      </c>
      <c r="F739" s="18" t="str">
        <f>HYPERLINK("https://youtu.be/1nsZHL_G_fc?t=41s",'Players&gt;List'!$B11 &amp; "++" &amp; 'Players&gt;List'!$B29)</f>
        <v>[CHB]++[SYS]</v>
      </c>
      <c r="H739" s="1"/>
      <c r="I739" s="1"/>
      <c r="J739" s="1"/>
      <c r="K739" s="1"/>
      <c r="L739" s="1"/>
      <c r="M739" s="1"/>
      <c r="N739" s="1"/>
    </row>
    <row r="740">
      <c r="A740" s="1"/>
      <c r="B740" s="14" t="s">
        <v>6693</v>
      </c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"/>
    </row>
    <row r="741">
      <c r="A741" s="1"/>
      <c r="B741" s="4" t="s">
        <v>6695</v>
      </c>
      <c r="D741" s="9"/>
      <c r="E741" s="17" t="s">
        <v>14</v>
      </c>
      <c r="F741" s="18" t="str">
        <f>HYPERLINK("https://youtu.be/1nsZHL_G_fc?t=1m23s",'Players&gt;List'!$B11 &amp; "++" &amp; 'Players&gt;List'!$B29)</f>
        <v>[CHB]++[SYS]</v>
      </c>
      <c r="H741" s="1"/>
      <c r="I741" s="1"/>
      <c r="J741" s="1"/>
      <c r="K741" s="1"/>
      <c r="L741" s="1"/>
      <c r="M741" s="1"/>
      <c r="N741" s="1"/>
    </row>
    <row r="742">
      <c r="A742" s="1"/>
      <c r="B742" s="14" t="s">
        <v>6696</v>
      </c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"/>
    </row>
    <row r="743">
      <c r="A743" s="1"/>
      <c r="B743" s="4" t="s">
        <v>6697</v>
      </c>
      <c r="D743" s="9"/>
      <c r="E743" s="17" t="s">
        <v>14</v>
      </c>
      <c r="F743" s="18" t="str">
        <f>HYPERLINK("https://youtu.be/1nsZHL_G_fc?t=2m22s",'Players&gt;List'!$B11 &amp; "++" &amp; 'Players&gt;List'!$B29)</f>
        <v>[CHB]++[SYS]</v>
      </c>
      <c r="H743" s="1"/>
      <c r="I743" s="1"/>
      <c r="J743" s="1"/>
      <c r="K743" s="1"/>
      <c r="L743" s="1"/>
      <c r="M743" s="1"/>
      <c r="N743" s="1"/>
    </row>
    <row r="744">
      <c r="A744" s="1"/>
      <c r="B744" s="14" t="s">
        <v>6698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"/>
    </row>
    <row r="745">
      <c r="A745" s="1"/>
      <c r="B745" s="4" t="s">
        <v>6699</v>
      </c>
      <c r="D745" s="9"/>
      <c r="E745" s="17" t="s">
        <v>14</v>
      </c>
      <c r="F745" s="18" t="str">
        <f>HYPERLINK("https://youtu.be/1nsZHL_G_fc?t=2m42s",'Players&gt;List'!$B11 &amp; "++" &amp; 'Players&gt;List'!$B29)</f>
        <v>[CHB]++[SYS]</v>
      </c>
      <c r="H745" s="1"/>
      <c r="I745" s="1"/>
      <c r="J745" s="1"/>
      <c r="K745" s="1"/>
      <c r="L745" s="1"/>
      <c r="M745" s="1"/>
      <c r="N745" s="1"/>
    </row>
    <row r="746">
      <c r="A746" s="1"/>
      <c r="B746" s="14" t="s">
        <v>6700</v>
      </c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"/>
    </row>
    <row r="747">
      <c r="A747" s="1"/>
      <c r="B747" s="4" t="s">
        <v>6701</v>
      </c>
      <c r="D747" s="9"/>
      <c r="E747" s="17" t="s">
        <v>14</v>
      </c>
      <c r="F747" s="18" t="str">
        <f>HYPERLINK("https://youtu.be/kz3gaNsehGY?t=1",'Players&gt;List'!$B11 &amp; "++" &amp; 'Players&gt;List'!$B29)</f>
        <v>[CHB]++[SYS]</v>
      </c>
      <c r="H747" s="1"/>
      <c r="I747" s="1"/>
      <c r="J747" s="1"/>
      <c r="K747" s="1"/>
      <c r="L747" s="1"/>
      <c r="M747" s="1"/>
      <c r="N747" s="1"/>
    </row>
    <row r="748">
      <c r="A748" s="1"/>
      <c r="B748" s="14" t="s">
        <v>6702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"/>
    </row>
    <row r="749">
      <c r="A749" s="1"/>
      <c r="B749" s="4" t="s">
        <v>6703</v>
      </c>
      <c r="D749" s="9"/>
      <c r="E749" s="17" t="s">
        <v>14</v>
      </c>
      <c r="F749" s="18" t="str">
        <f>HYPERLINK("https://youtu.be/kz3gaNsehGY?t=37",'Players&gt;List'!$B11 &amp; "++" &amp; 'Players&gt;List'!$B29)</f>
        <v>[CHB]++[SYS]</v>
      </c>
      <c r="H749" s="1"/>
      <c r="I749" s="1"/>
      <c r="J749" s="1"/>
      <c r="K749" s="1"/>
      <c r="L749" s="1"/>
      <c r="M749" s="1"/>
      <c r="N749" s="1"/>
    </row>
    <row r="750">
      <c r="A750" s="1"/>
      <c r="B750" s="14" t="s">
        <v>6704</v>
      </c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"/>
    </row>
    <row r="751">
      <c r="A751" s="1"/>
      <c r="B751" s="4" t="s">
        <v>6705</v>
      </c>
      <c r="D751" s="9"/>
      <c r="E751" s="17" t="s">
        <v>14</v>
      </c>
      <c r="F751" s="18" t="str">
        <f>HYPERLINK("https://youtu.be/kz3gaNsehGY?t=63",'Players&gt;List'!$B11 &amp; "++" &amp; 'Players&gt;List'!$B29)</f>
        <v>[CHB]++[SYS]</v>
      </c>
      <c r="H751" s="1"/>
      <c r="I751" s="1"/>
      <c r="J751" s="1"/>
      <c r="K751" s="1"/>
      <c r="L751" s="1"/>
      <c r="M751" s="1"/>
      <c r="N751" s="1"/>
    </row>
    <row r="752">
      <c r="A752" s="1"/>
      <c r="B752" s="14" t="s">
        <v>6706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"/>
    </row>
    <row r="753">
      <c r="A753" s="1"/>
      <c r="B753" s="4" t="s">
        <v>6707</v>
      </c>
      <c r="D753" s="9"/>
      <c r="E753" s="17" t="s">
        <v>14</v>
      </c>
      <c r="F753" s="18" t="str">
        <f>HYPERLINK("https://youtu.be/kz3gaNsehGY?t=127",'Players&gt;List'!$B11 &amp; "++" &amp; 'Players&gt;List'!$B29)</f>
        <v>[CHB]++[SYS]</v>
      </c>
      <c r="H753" s="1"/>
      <c r="I753" s="1"/>
      <c r="J753" s="1"/>
      <c r="K753" s="1"/>
      <c r="L753" s="1"/>
      <c r="M753" s="1"/>
      <c r="N753" s="1"/>
    </row>
    <row r="754">
      <c r="A754" s="1"/>
      <c r="B754" s="14" t="s">
        <v>6708</v>
      </c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"/>
    </row>
    <row r="755">
      <c r="A755" s="1"/>
      <c r="B755" s="4" t="s">
        <v>6709</v>
      </c>
      <c r="D755" s="9"/>
      <c r="E755" s="17" t="s">
        <v>14</v>
      </c>
      <c r="F755" s="18" t="str">
        <f>HYPERLINK("https://www.youtube.com/watch?v=TpNSfEQSXA4&amp;list=PLbU6uWaIKemqNvTeRxK-Ay6PRg9iwCKVi&amp;index=178&amp;t=0s",'Players&gt;List'!$B20 &amp; "++" &amp; 'Players&gt;List'!$B19)</f>
        <v>[KOS]++[HIT]</v>
      </c>
      <c r="H755" s="18" t="str">
        <f>HYPERLINK("https://youtu.be/kz3gaNsehGY?t=164",'Players&gt;List'!$B11 &amp; "++" &amp; 'Players&gt;List'!$B29)</f>
        <v>[CHB]++[SYS]</v>
      </c>
      <c r="J755" s="1"/>
      <c r="K755" s="1"/>
      <c r="L755" s="1"/>
      <c r="M755" s="1"/>
      <c r="N755" s="1"/>
    </row>
    <row r="756">
      <c r="A756" s="1"/>
      <c r="B756" s="14" t="s">
        <v>6710</v>
      </c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"/>
    </row>
    <row r="757">
      <c r="A757" s="1"/>
      <c r="B757" s="4" t="s">
        <v>6711</v>
      </c>
      <c r="D757" s="9"/>
      <c r="E757" s="17" t="s">
        <v>14</v>
      </c>
      <c r="F757" s="18" t="str">
        <f>HYPERLINK("https://youtu.be/tkboXauuu-s?t=1s",'Players&gt;List'!$B11 &amp; "++" &amp; 'Players&gt;List'!$B29)</f>
        <v>[CHB]++[SYS]</v>
      </c>
      <c r="H757" s="1"/>
      <c r="I757" s="1"/>
      <c r="J757" s="1"/>
      <c r="K757" s="1"/>
      <c r="L757" s="1"/>
      <c r="M757" s="1"/>
      <c r="N757" s="1"/>
    </row>
    <row r="758">
      <c r="A758" s="1"/>
      <c r="B758" s="14" t="s">
        <v>6712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"/>
    </row>
    <row r="759">
      <c r="A759" s="1"/>
      <c r="B759" s="4" t="s">
        <v>6713</v>
      </c>
      <c r="D759" s="9"/>
      <c r="E759" s="17" t="s">
        <v>14</v>
      </c>
      <c r="F759" s="18" t="str">
        <f>HYPERLINK("https://youtu.be/tkboXauuu-s?t=21s",'Players&gt;List'!$B11 &amp; "++" &amp; 'Players&gt;List'!$B29)</f>
        <v>[CHB]++[SYS]</v>
      </c>
      <c r="H759" s="1"/>
      <c r="I759" s="1"/>
      <c r="J759" s="1"/>
      <c r="K759" s="1"/>
      <c r="L759" s="1"/>
      <c r="M759" s="1"/>
      <c r="N759" s="1"/>
    </row>
    <row r="760">
      <c r="A760" s="1"/>
      <c r="B760" s="14" t="s">
        <v>6714</v>
      </c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"/>
    </row>
    <row r="761">
      <c r="A761" s="1"/>
      <c r="B761" s="4" t="s">
        <v>6715</v>
      </c>
      <c r="D761" s="9"/>
      <c r="E761" s="17" t="s">
        <v>14</v>
      </c>
      <c r="F761" s="18" t="str">
        <f>HYPERLINK("https://youtu.be/tkboXauuu-s?t=48s",'Players&gt;List'!$B11 &amp; "++" &amp; 'Players&gt;List'!$B29)</f>
        <v>[CHB]++[SYS]</v>
      </c>
      <c r="H761" s="1"/>
      <c r="I761" s="1"/>
      <c r="J761" s="1"/>
      <c r="K761" s="1"/>
      <c r="L761" s="1"/>
      <c r="M761" s="1"/>
      <c r="N761" s="1"/>
    </row>
    <row r="762">
      <c r="A762" s="1"/>
      <c r="B762" s="14" t="s">
        <v>6716</v>
      </c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"/>
    </row>
    <row r="763">
      <c r="A763" s="1"/>
      <c r="B763" s="4" t="s">
        <v>6717</v>
      </c>
      <c r="D763" s="9"/>
      <c r="E763" s="17" t="s">
        <v>14</v>
      </c>
      <c r="F763" s="18" t="str">
        <f>HYPERLINK("https://youtu.be/tkboXauuu-s?t=1m20s",'Players&gt;List'!$B11 &amp; "++" &amp; 'Players&gt;List'!$B29)</f>
        <v>[CHB]++[SYS]</v>
      </c>
      <c r="H763" s="1"/>
      <c r="I763" s="1"/>
      <c r="J763" s="1"/>
      <c r="K763" s="1"/>
      <c r="L763" s="1"/>
      <c r="M763" s="1"/>
      <c r="N763" s="1"/>
    </row>
    <row r="764">
      <c r="A764" s="1"/>
      <c r="B764" s="14" t="s">
        <v>6718</v>
      </c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"/>
    </row>
    <row r="765">
      <c r="A765" s="1"/>
      <c r="B765" s="4" t="s">
        <v>6719</v>
      </c>
      <c r="D765" s="9"/>
      <c r="E765" s="17" t="s">
        <v>14</v>
      </c>
      <c r="F765" s="18" t="str">
        <f>HYPERLINK("https://youtu.be/tkboXauuu-s?t=1m51s",'Players&gt;List'!$B11 &amp; "++" &amp; 'Players&gt;List'!$B29)</f>
        <v>[CHB]++[SYS]</v>
      </c>
      <c r="H765" s="1"/>
      <c r="I765" s="1"/>
      <c r="J765" s="1"/>
      <c r="K765" s="1"/>
      <c r="L765" s="1"/>
      <c r="M765" s="1"/>
      <c r="N765" s="1"/>
    </row>
    <row r="766">
      <c r="A766" s="1"/>
      <c r="B766" s="14" t="s">
        <v>6720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"/>
    </row>
    <row r="767">
      <c r="A767" s="1"/>
      <c r="B767" s="4" t="s">
        <v>6721</v>
      </c>
      <c r="D767" s="9"/>
      <c r="E767" s="17" t="s">
        <v>14</v>
      </c>
      <c r="F767" s="18" t="str">
        <f>HYPERLINK("https://youtu.be/4n3HbBqbeYI",'Players&gt;List'!$B11 &amp; "++" &amp; 'Players&gt;List'!$B29)</f>
        <v>[CHB]++[SYS]</v>
      </c>
      <c r="H767" s="1"/>
      <c r="I767" s="1"/>
      <c r="J767" s="1"/>
      <c r="K767" s="1"/>
      <c r="L767" s="1"/>
      <c r="M767" s="1"/>
      <c r="N767" s="1"/>
    </row>
    <row r="768">
      <c r="A768" s="1"/>
      <c r="B768" s="14" t="s">
        <v>6722</v>
      </c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"/>
    </row>
    <row r="769">
      <c r="A769" s="1"/>
      <c r="B769" s="4" t="s">
        <v>6723</v>
      </c>
      <c r="D769" s="9"/>
      <c r="E769" s="17" t="s">
        <v>14</v>
      </c>
      <c r="F769" s="18" t="str">
        <f>HYPERLINK("https://youtu.be/4n3HbBqbeYI?t=44s",'Players&gt;List'!$B11 &amp; "++" &amp; 'Players&gt;List'!$B29)</f>
        <v>[CHB]++[SYS]</v>
      </c>
      <c r="H769" s="1"/>
      <c r="I769" s="1"/>
      <c r="J769" s="1"/>
      <c r="K769" s="1"/>
      <c r="L769" s="1"/>
      <c r="M769" s="1"/>
      <c r="N769" s="1"/>
    </row>
    <row r="770">
      <c r="A770" s="1"/>
      <c r="B770" s="14" t="s">
        <v>6725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"/>
    </row>
    <row r="771">
      <c r="A771" s="1"/>
      <c r="B771" s="4" t="s">
        <v>6727</v>
      </c>
      <c r="D771" s="9"/>
      <c r="E771" s="17" t="s">
        <v>14</v>
      </c>
      <c r="F771" s="18" t="str">
        <f>HYPERLINK("https://youtu.be/4n3HbBqbeYI?t=1m",'Players&gt;List'!$B11 &amp; "++" &amp; 'Players&gt;List'!$B29)</f>
        <v>[CHB]++[SYS]</v>
      </c>
      <c r="H771" s="1"/>
      <c r="I771" s="1"/>
      <c r="J771" s="1"/>
      <c r="K771" s="1"/>
      <c r="L771" s="1"/>
      <c r="M771" s="1"/>
      <c r="N771" s="1"/>
    </row>
    <row r="772">
      <c r="A772" s="1"/>
      <c r="B772" s="14" t="s">
        <v>6728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"/>
    </row>
    <row r="773">
      <c r="A773" s="1"/>
      <c r="B773" s="4" t="s">
        <v>6730</v>
      </c>
      <c r="D773" s="9"/>
      <c r="E773" s="17" t="s">
        <v>14</v>
      </c>
      <c r="F773" s="18" t="str">
        <f>HYPERLINK("https://youtu.be/4n3HbBqbeYI?t=1m39s",'Players&gt;List'!$B11 &amp; "++" &amp; 'Players&gt;List'!$B29)</f>
        <v>[CHB]++[SYS]</v>
      </c>
      <c r="H773" s="1"/>
      <c r="I773" s="1"/>
      <c r="J773" s="1"/>
      <c r="K773" s="1"/>
      <c r="L773" s="1"/>
      <c r="M773" s="1"/>
      <c r="N773" s="1"/>
    </row>
    <row r="774">
      <c r="A774" s="1"/>
      <c r="B774" s="14" t="s">
        <v>6731</v>
      </c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"/>
    </row>
    <row r="775">
      <c r="A775" s="1"/>
      <c r="B775" s="4" t="s">
        <v>6732</v>
      </c>
      <c r="D775" s="9"/>
      <c r="E775" s="17" t="s">
        <v>14</v>
      </c>
      <c r="F775" s="18" t="str">
        <f>HYPERLINK("https://youtu.be/4n3HbBqbeYI?t=2m5s",'Players&gt;List'!$B11 &amp; "++" &amp; 'Players&gt;List'!$B29)</f>
        <v>[CHB]++[SYS]</v>
      </c>
      <c r="H775" s="1"/>
      <c r="I775" s="1"/>
      <c r="J775" s="1"/>
      <c r="K775" s="1"/>
      <c r="L775" s="1"/>
      <c r="M775" s="1"/>
      <c r="N775" s="1"/>
    </row>
    <row r="776">
      <c r="A776" s="1"/>
      <c r="B776" s="14" t="s">
        <v>6733</v>
      </c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"/>
    </row>
    <row r="777">
      <c r="A777" s="1"/>
      <c r="B777" s="4" t="s">
        <v>6734</v>
      </c>
      <c r="D777" s="9"/>
      <c r="E777" s="17" t="s">
        <v>14</v>
      </c>
      <c r="F777" s="18" t="str">
        <f>HYPERLINK("https://youtu.be/8a0OKtiFMuc?t=1s",'Players&gt;List'!$B11 &amp; "++" &amp; 'Players&gt;List'!$B29)</f>
        <v>[CHB]++[SYS]</v>
      </c>
      <c r="H777" s="1"/>
      <c r="I777" s="1"/>
      <c r="J777" s="1"/>
      <c r="K777" s="1"/>
      <c r="L777" s="1"/>
      <c r="M777" s="1"/>
      <c r="N777" s="1"/>
    </row>
    <row r="778">
      <c r="A778" s="1"/>
      <c r="B778" s="14" t="s">
        <v>6735</v>
      </c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"/>
    </row>
    <row r="779">
      <c r="A779" s="1"/>
      <c r="B779" s="4" t="s">
        <v>6736</v>
      </c>
      <c r="D779" s="9"/>
      <c r="E779" s="17" t="s">
        <v>14</v>
      </c>
      <c r="F779" s="18" t="str">
        <f>HYPERLINK("https://youtu.be/8a0OKtiFMuc?t=20s",'Players&gt;List'!$B11 &amp; "++" &amp; 'Players&gt;List'!$B29)</f>
        <v>[CHB]++[SYS]</v>
      </c>
      <c r="H779" s="1"/>
      <c r="I779" s="1"/>
      <c r="J779" s="1"/>
      <c r="K779" s="1"/>
      <c r="L779" s="1"/>
      <c r="M779" s="1"/>
      <c r="N779" s="1"/>
    </row>
    <row r="780">
      <c r="A780" s="1"/>
      <c r="B780" s="14" t="s">
        <v>6737</v>
      </c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"/>
    </row>
    <row r="781">
      <c r="A781" s="1"/>
      <c r="B781" s="4" t="s">
        <v>6738</v>
      </c>
      <c r="D781" s="9"/>
      <c r="E781" s="17" t="s">
        <v>14</v>
      </c>
      <c r="F781" s="18" t="str">
        <f>HYPERLINK("https://youtu.be/8a0OKtiFMuc?t=46s",'Players&gt;List'!$B11 &amp; "++" &amp; 'Players&gt;List'!$B29)</f>
        <v>[CHB]++[SYS]</v>
      </c>
      <c r="H781" s="1"/>
      <c r="I781" s="1"/>
      <c r="J781" s="1"/>
      <c r="K781" s="1"/>
      <c r="L781" s="1"/>
      <c r="M781" s="1"/>
      <c r="N781" s="1"/>
    </row>
    <row r="782">
      <c r="A782" s="1"/>
      <c r="B782" s="14" t="s">
        <v>6740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"/>
    </row>
    <row r="783">
      <c r="A783" s="1"/>
      <c r="B783" s="4" t="s">
        <v>6741</v>
      </c>
      <c r="D783" s="9"/>
      <c r="E783" s="17" t="s">
        <v>14</v>
      </c>
      <c r="F783" s="18" t="str">
        <f>HYPERLINK("https://youtu.be/8a0OKtiFMuc?t=1m14s",'Players&gt;List'!$B11 &amp; "++" &amp; 'Players&gt;List'!$B29)</f>
        <v>[CHB]++[SYS]</v>
      </c>
      <c r="H783" s="1"/>
      <c r="I783" s="1"/>
      <c r="J783" s="1"/>
      <c r="K783" s="1"/>
      <c r="L783" s="1"/>
      <c r="M783" s="1"/>
      <c r="N783" s="1"/>
    </row>
    <row r="784">
      <c r="A784" s="1"/>
      <c r="B784" s="14" t="s">
        <v>6743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"/>
    </row>
    <row r="785">
      <c r="A785" s="1"/>
      <c r="B785" s="4" t="s">
        <v>6746</v>
      </c>
      <c r="D785" s="9"/>
      <c r="E785" s="17" t="s">
        <v>14</v>
      </c>
      <c r="F785" s="18" t="str">
        <f>HYPERLINK("https://youtu.be/8a0OKtiFMuc?t=1m52s",'Players&gt;List'!$B11 &amp; "++" &amp; 'Players&gt;List'!$B29)</f>
        <v>[CHB]++[SYS]</v>
      </c>
      <c r="H785" s="1"/>
      <c r="I785" s="1"/>
      <c r="J785" s="1"/>
      <c r="K785" s="1"/>
      <c r="L785" s="1"/>
      <c r="M785" s="1"/>
      <c r="N785" s="1"/>
    </row>
    <row r="786">
      <c r="A786" s="1"/>
      <c r="B786" s="14" t="s">
        <v>6747</v>
      </c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"/>
    </row>
    <row r="787">
      <c r="A787" s="1"/>
      <c r="B787" s="4" t="s">
        <v>6748</v>
      </c>
      <c r="D787" s="9"/>
      <c r="E787" s="17" t="s">
        <v>14</v>
      </c>
      <c r="F787" s="18" t="str">
        <f>HYPERLINK("https://youtu.be/nKLtPIrxAoM",'Players&gt;List'!$B11 &amp; "++" &amp; 'Players&gt;List'!$B29)</f>
        <v>[CHB]++[SYS]</v>
      </c>
      <c r="H787" s="1"/>
      <c r="I787" s="1"/>
      <c r="J787" s="1"/>
      <c r="K787" s="1"/>
      <c r="L787" s="1"/>
      <c r="M787" s="1"/>
      <c r="N787" s="1"/>
    </row>
    <row r="788">
      <c r="A788" s="1"/>
      <c r="B788" s="14" t="s">
        <v>6749</v>
      </c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"/>
    </row>
    <row r="789">
      <c r="A789" s="1"/>
      <c r="B789" s="4" t="s">
        <v>6750</v>
      </c>
      <c r="D789" s="9"/>
      <c r="E789" s="17" t="s">
        <v>14</v>
      </c>
      <c r="F789" s="18" t="str">
        <f>HYPERLINK("https://youtu.be/nKLtPIrxAoM?t=37s",'Players&gt;List'!$B11 &amp; "++" &amp; 'Players&gt;List'!$B29)</f>
        <v>[CHB]++[SYS]</v>
      </c>
      <c r="H789" s="1"/>
      <c r="I789" s="1"/>
      <c r="J789" s="1"/>
      <c r="K789" s="1"/>
      <c r="L789" s="1"/>
      <c r="M789" s="1"/>
      <c r="N789" s="1"/>
    </row>
    <row r="790">
      <c r="A790" s="1"/>
      <c r="B790" s="14" t="s">
        <v>6751</v>
      </c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"/>
    </row>
    <row r="791">
      <c r="A791" s="1"/>
      <c r="B791" s="4" t="s">
        <v>6752</v>
      </c>
      <c r="D791" s="9"/>
      <c r="E791" s="17" t="s">
        <v>14</v>
      </c>
      <c r="F791" s="18" t="str">
        <f>HYPERLINK("https://youtu.be/nKLtPIrxAoM?t=1m6s",'Players&gt;List'!$B11 &amp; "++" &amp; 'Players&gt;List'!$B29)</f>
        <v>[CHB]++[SYS]</v>
      </c>
      <c r="H791" s="1"/>
      <c r="I791" s="1"/>
      <c r="J791" s="1"/>
      <c r="K791" s="1"/>
      <c r="L791" s="1"/>
      <c r="M791" s="1"/>
      <c r="N791" s="1"/>
    </row>
    <row r="792">
      <c r="A792" s="1"/>
      <c r="B792" s="14" t="s">
        <v>6753</v>
      </c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"/>
    </row>
    <row r="793">
      <c r="A793" s="1"/>
      <c r="B793" s="4" t="s">
        <v>6754</v>
      </c>
      <c r="D793" s="9"/>
      <c r="E793" s="17" t="s">
        <v>14</v>
      </c>
      <c r="F793" s="18" t="str">
        <f>HYPERLINK("https://youtu.be/nKLtPIrxAoM?t=1m51s",'Players&gt;List'!$B11 &amp; "++" &amp; 'Players&gt;List'!$B29)</f>
        <v>[CHB]++[SYS]</v>
      </c>
      <c r="H793" s="1"/>
      <c r="I793" s="1"/>
      <c r="J793" s="1"/>
      <c r="K793" s="1"/>
      <c r="L793" s="1"/>
      <c r="M793" s="1"/>
      <c r="N793" s="1"/>
    </row>
    <row r="794">
      <c r="A794" s="1"/>
      <c r="B794" s="14" t="s">
        <v>6755</v>
      </c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"/>
    </row>
    <row r="795">
      <c r="A795" s="1"/>
      <c r="B795" s="4" t="s">
        <v>6756</v>
      </c>
      <c r="D795" s="9"/>
      <c r="E795" s="17" t="s">
        <v>14</v>
      </c>
      <c r="F795" s="18" t="str">
        <f>HYPERLINK("https://youtu.be/nKLtPIrxAoM?t=2m25s",'Players&gt;List'!$B11 &amp; "++" &amp; 'Players&gt;List'!$B29)</f>
        <v>[CHB]++[SYS]</v>
      </c>
      <c r="H795" s="1"/>
      <c r="I795" s="1"/>
      <c r="J795" s="1"/>
      <c r="K795" s="1"/>
      <c r="L795" s="1"/>
      <c r="M795" s="1"/>
      <c r="N795" s="1"/>
    </row>
    <row r="796">
      <c r="A796" s="1"/>
      <c r="B796" s="14" t="s">
        <v>6757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"/>
    </row>
    <row r="797">
      <c r="A797" s="1"/>
      <c r="B797" s="4" t="s">
        <v>6758</v>
      </c>
      <c r="D797" s="9"/>
      <c r="E797" s="17" t="s">
        <v>14</v>
      </c>
      <c r="F797" s="18" t="str">
        <f>HYPERLINK("https://youtu.be/1EAyJCPdj8Y",'Players&gt;List'!$B11 &amp; "++" &amp; 'Players&gt;List'!$B29)</f>
        <v>[CHB]++[SYS]</v>
      </c>
      <c r="H797" s="1"/>
      <c r="I797" s="1"/>
      <c r="J797" s="1"/>
      <c r="K797" s="1"/>
      <c r="L797" s="1"/>
      <c r="M797" s="1"/>
      <c r="N797" s="1"/>
    </row>
    <row r="798">
      <c r="A798" s="1"/>
      <c r="B798" s="14" t="s">
        <v>6759</v>
      </c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"/>
    </row>
    <row r="799">
      <c r="A799" s="1"/>
      <c r="B799" s="4" t="s">
        <v>6760</v>
      </c>
      <c r="D799" s="9"/>
      <c r="E799" s="17" t="s">
        <v>14</v>
      </c>
      <c r="F799" s="18" t="str">
        <f>HYPERLINK("https://youtu.be/1EAyJCPdj8Y?t=39",'Players&gt;List'!$B11 &amp; "++" &amp; 'Players&gt;List'!$B29)</f>
        <v>[CHB]++[SYS]</v>
      </c>
      <c r="H799" s="1"/>
      <c r="I799" s="1"/>
      <c r="J799" s="1"/>
      <c r="K799" s="1"/>
      <c r="L799" s="1"/>
      <c r="M799" s="1"/>
      <c r="N799" s="1"/>
    </row>
    <row r="800">
      <c r="A800" s="1"/>
      <c r="B800" s="14" t="s">
        <v>6761</v>
      </c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"/>
    </row>
    <row r="801">
      <c r="A801" s="1"/>
      <c r="B801" s="4" t="s">
        <v>6762</v>
      </c>
      <c r="D801" s="9"/>
      <c r="E801" s="17" t="s">
        <v>14</v>
      </c>
      <c r="F801" s="18" t="str">
        <f>HYPERLINK("https://youtu.be/1EAyJCPdj8Y?t=60",'Players&gt;List'!$B11 &amp; "++" &amp; 'Players&gt;List'!$B29)</f>
        <v>[CHB]++[SYS]</v>
      </c>
      <c r="H801" s="1"/>
      <c r="I801" s="1"/>
      <c r="J801" s="1"/>
      <c r="K801" s="1"/>
      <c r="L801" s="1"/>
      <c r="M801" s="1"/>
      <c r="N801" s="1"/>
    </row>
    <row r="802">
      <c r="A802" s="1"/>
      <c r="B802" s="14" t="s">
        <v>6763</v>
      </c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"/>
    </row>
    <row r="803">
      <c r="A803" s="1"/>
      <c r="B803" s="4" t="s">
        <v>6764</v>
      </c>
      <c r="D803" s="9"/>
      <c r="E803" s="17" t="s">
        <v>14</v>
      </c>
      <c r="F803" s="18" t="str">
        <f>HYPERLINK("https://youtu.be/1EAyJCPdj8Y?t=92",'Players&gt;List'!$B11 &amp; "++" &amp; 'Players&gt;List'!$B29)</f>
        <v>[CHB]++[SYS]</v>
      </c>
      <c r="H803" s="1"/>
      <c r="I803" s="1"/>
      <c r="J803" s="1"/>
      <c r="K803" s="1"/>
      <c r="L803" s="1"/>
      <c r="M803" s="1"/>
      <c r="N803" s="1"/>
    </row>
    <row r="804">
      <c r="A804" s="1"/>
      <c r="B804" s="14" t="s">
        <v>6765</v>
      </c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"/>
    </row>
    <row r="805">
      <c r="A805" s="1"/>
      <c r="B805" s="4" t="s">
        <v>6766</v>
      </c>
      <c r="D805" s="9"/>
      <c r="E805" s="17" t="s">
        <v>14</v>
      </c>
      <c r="F805" s="18" t="str">
        <f>HYPERLINK("https://youtu.be/1EAyJCPdj8Y?t=144",'Players&gt;List'!$B11 &amp; "++" &amp; 'Players&gt;List'!$B29)</f>
        <v>[CHB]++[SYS]</v>
      </c>
      <c r="H805" s="1"/>
      <c r="I805" s="1"/>
      <c r="J805" s="1"/>
      <c r="K805" s="1"/>
      <c r="L805" s="1"/>
      <c r="M805" s="1"/>
      <c r="N805" s="1"/>
    </row>
    <row r="806">
      <c r="A806" s="1"/>
      <c r="B806" s="14" t="s">
        <v>6767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"/>
    </row>
    <row r="807">
      <c r="A807" s="1"/>
      <c r="B807" s="4" t="s">
        <v>6768</v>
      </c>
      <c r="D807" s="9"/>
      <c r="E807" s="17" t="s">
        <v>14</v>
      </c>
      <c r="F807" s="18" t="str">
        <f>HYPERLINK("https://youtu.be/L14tlM1w8j0",'Players&gt;List'!$B11 &amp; "++" &amp; 'Players&gt;List'!$B29)</f>
        <v>[CHB]++[SYS]</v>
      </c>
      <c r="H807" s="1"/>
      <c r="I807" s="1"/>
      <c r="J807" s="1"/>
      <c r="K807" s="1"/>
      <c r="L807" s="1"/>
      <c r="M807" s="1"/>
      <c r="N807" s="1"/>
    </row>
    <row r="808">
      <c r="A808" s="1"/>
      <c r="B808" s="14" t="s">
        <v>6769</v>
      </c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"/>
    </row>
    <row r="809">
      <c r="A809" s="1"/>
      <c r="B809" s="4" t="s">
        <v>6770</v>
      </c>
      <c r="D809" s="9"/>
      <c r="E809" s="17" t="s">
        <v>14</v>
      </c>
      <c r="F809" s="18" t="str">
        <f>HYPERLINK("https://youtu.be/L14tlM1w8j0?t=47s",'Players&gt;List'!$B11 &amp; "++" &amp; 'Players&gt;List'!$B29)</f>
        <v>[CHB]++[SYS]</v>
      </c>
      <c r="H809" s="1"/>
      <c r="I809" s="1"/>
      <c r="J809" s="1"/>
      <c r="K809" s="1"/>
      <c r="L809" s="1"/>
      <c r="M809" s="1"/>
      <c r="N809" s="1"/>
    </row>
    <row r="810">
      <c r="A810" s="1"/>
      <c r="B810" s="14" t="s">
        <v>6771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"/>
    </row>
    <row r="811">
      <c r="A811" s="1"/>
      <c r="B811" s="4" t="s">
        <v>6772</v>
      </c>
      <c r="D811" s="9"/>
      <c r="E811" s="17" t="s">
        <v>14</v>
      </c>
      <c r="F811" s="18" t="str">
        <f>HYPERLINK("https://youtu.be/L14tlM1w8j0?t=1m6s",'Players&gt;List'!$B11 &amp; "++" &amp; 'Players&gt;List'!$B29)</f>
        <v>[CHB]++[SYS]</v>
      </c>
      <c r="H811" s="1"/>
      <c r="I811" s="1"/>
      <c r="J811" s="1"/>
      <c r="K811" s="1"/>
      <c r="L811" s="1"/>
      <c r="M811" s="1"/>
      <c r="N811" s="1"/>
    </row>
    <row r="812">
      <c r="A812" s="1"/>
      <c r="B812" s="14" t="s">
        <v>6773</v>
      </c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"/>
    </row>
    <row r="813">
      <c r="A813" s="1"/>
      <c r="B813" s="4" t="s">
        <v>6774</v>
      </c>
      <c r="D813" s="9"/>
      <c r="E813" s="17" t="s">
        <v>14</v>
      </c>
      <c r="F813" s="18" t="str">
        <f>HYPERLINK("https://youtu.be/L14tlM1w8j0?t=1m49s",'Players&gt;List'!$B11 &amp; "++" &amp; 'Players&gt;List'!$B29)</f>
        <v>[CHB]++[SYS]</v>
      </c>
      <c r="H813" s="1"/>
      <c r="I813" s="1"/>
      <c r="J813" s="1"/>
      <c r="K813" s="1"/>
      <c r="L813" s="1"/>
      <c r="M813" s="1"/>
      <c r="N813" s="1"/>
    </row>
    <row r="814">
      <c r="A814" s="1"/>
      <c r="B814" s="14" t="s">
        <v>6775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"/>
    </row>
    <row r="815">
      <c r="A815" s="1"/>
      <c r="B815" s="4" t="s">
        <v>6776</v>
      </c>
      <c r="D815" s="9"/>
      <c r="E815" s="17" t="s">
        <v>14</v>
      </c>
      <c r="F815" s="18" t="str">
        <f>HYPERLINK("https://youtu.be/L14tlM1w8j0?t=2m36s",'Players&gt;List'!$B11 &amp; "++" &amp; 'Players&gt;List'!$B29)</f>
        <v>[CHB]++[SYS]</v>
      </c>
      <c r="H815" s="1"/>
      <c r="I815" s="1"/>
      <c r="J815" s="1"/>
      <c r="K815" s="1"/>
      <c r="L815" s="1"/>
      <c r="M815" s="1"/>
      <c r="N815" s="1"/>
    </row>
    <row r="816">
      <c r="A816" s="1"/>
      <c r="B816" s="14" t="s">
        <v>6777</v>
      </c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"/>
    </row>
    <row r="817">
      <c r="A817" s="1"/>
      <c r="B817" s="4" t="s">
        <v>6778</v>
      </c>
      <c r="D817" s="9"/>
      <c r="E817" s="17" t="s">
        <v>14</v>
      </c>
      <c r="F817" s="18" t="str">
        <f>HYPERLINK("https://youtu.be/Sqd-NF2d2NA",'Players&gt;List'!$B11 &amp; "++" &amp; 'Players&gt;List'!$B29)</f>
        <v>[CHB]++[SYS]</v>
      </c>
      <c r="H817" s="1"/>
      <c r="I817" s="1"/>
      <c r="J817" s="1"/>
      <c r="K817" s="1"/>
      <c r="L817" s="1"/>
      <c r="M817" s="1"/>
      <c r="N817" s="1"/>
    </row>
    <row r="818">
      <c r="A818" s="1"/>
      <c r="B818" s="14" t="s">
        <v>6779</v>
      </c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"/>
    </row>
    <row r="819">
      <c r="A819" s="1"/>
      <c r="B819" s="4" t="s">
        <v>6780</v>
      </c>
      <c r="D819" s="9"/>
      <c r="E819" s="17" t="s">
        <v>14</v>
      </c>
      <c r="F819" s="18" t="str">
        <f>HYPERLINK("https://youtu.be/Sqd-NF2d2NA?t=51s",'Players&gt;List'!$B11 &amp; "++" &amp; 'Players&gt;List'!$B29)</f>
        <v>[CHB]++[SYS]</v>
      </c>
      <c r="H819" s="1"/>
      <c r="I819" s="1"/>
      <c r="J819" s="1"/>
      <c r="K819" s="1"/>
      <c r="L819" s="1"/>
      <c r="M819" s="1"/>
      <c r="N819" s="1"/>
    </row>
    <row r="820">
      <c r="A820" s="1"/>
      <c r="B820" s="14" t="s">
        <v>6781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"/>
    </row>
    <row r="821">
      <c r="A821" s="1"/>
      <c r="B821" s="4" t="s">
        <v>6782</v>
      </c>
      <c r="D821" s="9"/>
      <c r="E821" s="17" t="s">
        <v>14</v>
      </c>
      <c r="F821" s="18" t="str">
        <f>HYPERLINK("https://youtu.be/Sqd-NF2d2NA?t=1m18s",'Players&gt;List'!$B11 &amp; "++" &amp; 'Players&gt;List'!$B29)</f>
        <v>[CHB]++[SYS]</v>
      </c>
      <c r="H821" s="1"/>
      <c r="I821" s="1"/>
      <c r="J821" s="1"/>
      <c r="K821" s="1"/>
      <c r="L821" s="1"/>
      <c r="M821" s="1"/>
      <c r="N821" s="1"/>
    </row>
    <row r="822">
      <c r="A822" s="1"/>
      <c r="B822" s="14" t="s">
        <v>6783</v>
      </c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"/>
    </row>
    <row r="823">
      <c r="A823" s="1"/>
      <c r="B823" s="4" t="s">
        <v>6784</v>
      </c>
      <c r="D823" s="9"/>
      <c r="E823" s="17" t="s">
        <v>14</v>
      </c>
      <c r="F823" s="18" t="str">
        <f>HYPERLINK("https://youtu.be/Sqd-NF2d2NA?t=1m46s",'Players&gt;List'!$B11 &amp; "++" &amp; 'Players&gt;List'!$B29)</f>
        <v>[CHB]++[SYS]</v>
      </c>
      <c r="H823" s="1"/>
      <c r="I823" s="1"/>
      <c r="J823" s="1"/>
      <c r="K823" s="1"/>
      <c r="L823" s="1"/>
      <c r="M823" s="1"/>
      <c r="N823" s="1"/>
    </row>
    <row r="824">
      <c r="A824" s="1"/>
      <c r="B824" s="14" t="s">
        <v>6785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"/>
    </row>
    <row r="825">
      <c r="A825" s="1"/>
      <c r="B825" s="4" t="s">
        <v>6786</v>
      </c>
      <c r="D825" s="9"/>
      <c r="E825" s="17" t="s">
        <v>14</v>
      </c>
      <c r="F825" s="18" t="str">
        <f>HYPERLINK("https://youtu.be/Sqd-NF2d2NA?t=2m12s",'Players&gt;List'!$B11 &amp; "++" &amp; 'Players&gt;List'!$B29)</f>
        <v>[CHB]++[SYS]</v>
      </c>
      <c r="H825" s="1"/>
      <c r="I825" s="1"/>
      <c r="J825" s="1"/>
      <c r="K825" s="1"/>
      <c r="L825" s="1"/>
      <c r="M825" s="1"/>
      <c r="N825" s="1"/>
    </row>
    <row r="826">
      <c r="A826" s="1"/>
      <c r="B826" s="14" t="s">
        <v>6787</v>
      </c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"/>
    </row>
    <row r="827">
      <c r="A827" s="1"/>
      <c r="B827" s="4" t="s">
        <v>6788</v>
      </c>
      <c r="D827" s="9"/>
      <c r="E827" s="17" t="s">
        <v>14</v>
      </c>
      <c r="F827" s="18" t="str">
        <f>HYPERLINK("https://youtu.be/eEWKBtiyFzQ",'Players&gt;List'!$B11 &amp; "++" &amp; 'Players&gt;List'!$B29)</f>
        <v>[CHB]++[SYS]</v>
      </c>
      <c r="H827" s="1"/>
      <c r="I827" s="1"/>
      <c r="J827" s="1"/>
      <c r="K827" s="1"/>
      <c r="L827" s="1"/>
      <c r="M827" s="1"/>
      <c r="N827" s="1"/>
    </row>
    <row r="828">
      <c r="A828" s="1"/>
      <c r="B828" s="14" t="s">
        <v>6789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"/>
    </row>
    <row r="829">
      <c r="A829" s="1"/>
      <c r="B829" s="4" t="s">
        <v>6790</v>
      </c>
      <c r="D829" s="9"/>
      <c r="E829" s="17" t="s">
        <v>14</v>
      </c>
      <c r="F829" s="18" t="str">
        <f>HYPERLINK("https://youtu.be/eEWKBtiyFzQ?t=1m11s",'Players&gt;List'!$B11 &amp; "++" &amp; 'Players&gt;List'!$B29)</f>
        <v>[CHB]++[SYS]</v>
      </c>
      <c r="H829" s="1"/>
      <c r="I829" s="1"/>
      <c r="J829" s="1"/>
      <c r="K829" s="1"/>
      <c r="L829" s="1"/>
      <c r="M829" s="1"/>
      <c r="N829" s="1"/>
    </row>
    <row r="830">
      <c r="A830" s="1"/>
      <c r="B830" s="14" t="s">
        <v>6791</v>
      </c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"/>
    </row>
    <row r="831">
      <c r="A831" s="1"/>
      <c r="B831" s="4" t="s">
        <v>6792</v>
      </c>
      <c r="D831" s="9"/>
      <c r="E831" s="17" t="s">
        <v>14</v>
      </c>
      <c r="F831" s="18" t="str">
        <f>HYPERLINK("https://youtu.be/eEWKBtiyFzQ?t=1m36s",'Players&gt;List'!$B11 &amp; "++" &amp; 'Players&gt;List'!$B29)</f>
        <v>[CHB]++[SYS]</v>
      </c>
      <c r="H831" s="1"/>
      <c r="I831" s="1"/>
      <c r="J831" s="1"/>
      <c r="K831" s="1"/>
      <c r="L831" s="1"/>
      <c r="M831" s="1"/>
      <c r="N831" s="1"/>
    </row>
    <row r="832">
      <c r="A832" s="1"/>
      <c r="B832" s="14" t="s">
        <v>6793</v>
      </c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"/>
    </row>
    <row r="833">
      <c r="A833" s="1"/>
      <c r="B833" s="4" t="s">
        <v>6794</v>
      </c>
      <c r="D833" s="9"/>
      <c r="E833" s="17" t="s">
        <v>14</v>
      </c>
      <c r="F833" s="18" t="str">
        <f>HYPERLINK("https://youtu.be/eEWKBtiyFzQ?t=2m7s",'Players&gt;List'!$B11 &amp; "++" &amp; 'Players&gt;List'!$B29)</f>
        <v>[CHB]++[SYS]</v>
      </c>
      <c r="H833" s="1"/>
      <c r="I833" s="1"/>
      <c r="J833" s="1"/>
      <c r="K833" s="1"/>
      <c r="L833" s="1"/>
      <c r="M833" s="1"/>
      <c r="N833" s="1"/>
    </row>
    <row r="834">
      <c r="A834" s="1"/>
      <c r="B834" s="14" t="s">
        <v>6795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"/>
    </row>
    <row r="835">
      <c r="A835" s="1"/>
      <c r="B835" s="4" t="s">
        <v>6796</v>
      </c>
      <c r="D835" s="9"/>
      <c r="E835" s="17" t="s">
        <v>14</v>
      </c>
      <c r="F835" s="18" t="str">
        <f>HYPERLINK("https://youtu.be/eEWKBtiyFzQ?t=3m43s",'Players&gt;List'!$B11 &amp; "++" &amp; 'Players&gt;List'!$B29)</f>
        <v>[CHB]++[SYS]</v>
      </c>
      <c r="H835" s="1"/>
      <c r="I835" s="1"/>
      <c r="J835" s="1"/>
      <c r="K835" s="1"/>
      <c r="L835" s="1"/>
      <c r="M835" s="1"/>
      <c r="N835" s="1"/>
    </row>
    <row r="836">
      <c r="A836" s="1"/>
      <c r="B836" s="14" t="s">
        <v>6797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"/>
    </row>
    <row r="837">
      <c r="A837" s="1"/>
      <c r="B837" s="4" t="s">
        <v>6798</v>
      </c>
      <c r="D837" s="9"/>
      <c r="E837" s="17" t="s">
        <v>14</v>
      </c>
      <c r="F837" s="18" t="str">
        <f>HYPERLINK("https://youtu.be/SqIVvtE9kgQ",'Players&gt;List'!$B11 &amp; "++" &amp; 'Players&gt;List'!$B29)</f>
        <v>[CHB]++[SYS]</v>
      </c>
      <c r="H837" s="1"/>
      <c r="I837" s="1"/>
      <c r="J837" s="1"/>
      <c r="K837" s="1"/>
      <c r="L837" s="1"/>
      <c r="M837" s="1"/>
      <c r="N837" s="1"/>
    </row>
    <row r="838">
      <c r="A838" s="1"/>
      <c r="B838" s="14" t="s">
        <v>6799</v>
      </c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"/>
    </row>
    <row r="839">
      <c r="A839" s="1"/>
      <c r="B839" s="4" t="s">
        <v>6800</v>
      </c>
      <c r="D839" s="9"/>
      <c r="E839" s="17" t="s">
        <v>14</v>
      </c>
      <c r="F839" s="18" t="str">
        <f>HYPERLINK("https://youtu.be/SqIVvtE9kgQ?t=33s",'Players&gt;List'!$B11 &amp; "++" &amp; 'Players&gt;List'!$B29)</f>
        <v>[CHB]++[SYS]</v>
      </c>
      <c r="H839" s="1"/>
      <c r="I839" s="1"/>
      <c r="J839" s="1"/>
      <c r="K839" s="1"/>
      <c r="L839" s="1"/>
      <c r="M839" s="1"/>
      <c r="N839" s="1"/>
    </row>
    <row r="840">
      <c r="A840" s="1"/>
      <c r="B840" s="14" t="s">
        <v>6801</v>
      </c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"/>
    </row>
    <row r="841">
      <c r="A841" s="1"/>
      <c r="B841" s="4" t="s">
        <v>6802</v>
      </c>
      <c r="D841" s="9"/>
      <c r="E841" s="17" t="s">
        <v>14</v>
      </c>
      <c r="F841" s="18" t="str">
        <f>HYPERLINK("https://youtu.be/SqIVvtE9kgQ?t=1m53s",'Players&gt;List'!$B11 &amp; "++" &amp; 'Players&gt;List'!$B29)</f>
        <v>[CHB]++[SYS]</v>
      </c>
      <c r="H841" s="1"/>
      <c r="I841" s="1"/>
      <c r="J841" s="1"/>
      <c r="K841" s="1"/>
      <c r="L841" s="1"/>
      <c r="M841" s="1"/>
      <c r="N841" s="1"/>
    </row>
    <row r="842">
      <c r="A842" s="1"/>
      <c r="B842" s="14" t="s">
        <v>6803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"/>
    </row>
    <row r="843">
      <c r="A843" s="1"/>
      <c r="B843" s="4" t="s">
        <v>6804</v>
      </c>
      <c r="D843" s="9"/>
      <c r="E843" s="17" t="s">
        <v>14</v>
      </c>
      <c r="F843" s="18" t="str">
        <f>HYPERLINK("https://www.youtube.com/watch?v=sRgfh-Q7h4g&amp;list=PLbU6uWaIKemqNvTeRxK-Ay6PRg9iwCKVi&amp;index=177&amp;t=0s",'Players&gt;List'!$B20 &amp; "++" &amp; 'Players&gt;List'!$B19)</f>
        <v>[KOS]++[HIT]</v>
      </c>
      <c r="H843" s="18" t="str">
        <f>HYPERLINK("https://youtu.be/SqIVvtE9kgQ?t=3m26s",'Players&gt;List'!$B11 &amp; "++" &amp; 'Players&gt;List'!$B29)</f>
        <v>[CHB]++[SYS]</v>
      </c>
      <c r="J843" s="1"/>
      <c r="K843" s="1"/>
      <c r="L843" s="1"/>
      <c r="M843" s="1"/>
      <c r="N843" s="1"/>
    </row>
    <row r="844">
      <c r="A844" s="1"/>
      <c r="B844" s="14" t="s">
        <v>6805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"/>
    </row>
    <row r="845">
      <c r="A845" s="1"/>
      <c r="B845" s="4" t="s">
        <v>6806</v>
      </c>
      <c r="D845" s="9"/>
      <c r="E845" s="17" t="s">
        <v>14</v>
      </c>
      <c r="F845" s="18" t="str">
        <f>HYPERLINK("https://www.youtube.com/watch?v=rsIfVfotJ_g&amp;list=PLbU6uWaIKemqNvTeRxK-Ay6PRg9iwCKVi&amp;index=180&amp;t=0s",'Players&gt;List'!$B20 &amp; "++" &amp; 'Players&gt;List'!$B19)</f>
        <v>[KOS]++[HIT]</v>
      </c>
      <c r="H845" s="18" t="str">
        <f>HYPERLINK("https://youtu.be/SqIVvtE9kgQ?t=3m37s",'Players&gt;List'!$B11 &amp; "++" &amp; 'Players&gt;List'!$B29)</f>
        <v>[CHB]++[SYS]</v>
      </c>
      <c r="J845" s="1"/>
      <c r="K845" s="1"/>
      <c r="L845" s="1"/>
      <c r="M845" s="1"/>
      <c r="N845" s="1"/>
    </row>
    <row r="846">
      <c r="A846" s="1"/>
      <c r="B846" s="14" t="s">
        <v>6807</v>
      </c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"/>
    </row>
    <row r="847">
      <c r="A847" s="1"/>
      <c r="B847" s="4" t="s">
        <v>6808</v>
      </c>
      <c r="D847" s="9"/>
      <c r="E847" s="17" t="s">
        <v>14</v>
      </c>
      <c r="F847" s="18" t="str">
        <f>HYPERLINK("https://youtu.be/he70rzGnfn0?t=1",'Players&gt;List'!$B11 &amp; "++" &amp; 'Players&gt;List'!$B29)</f>
        <v>[CHB]++[SYS]</v>
      </c>
      <c r="H847" s="1"/>
      <c r="I847" s="1"/>
      <c r="J847" s="1"/>
      <c r="K847" s="1"/>
      <c r="L847" s="1"/>
      <c r="M847" s="1"/>
      <c r="N847" s="1"/>
    </row>
    <row r="848">
      <c r="A848" s="1"/>
      <c r="B848" s="14" t="s">
        <v>6809</v>
      </c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"/>
    </row>
    <row r="849">
      <c r="A849" s="1"/>
      <c r="B849" s="4" t="s">
        <v>6810</v>
      </c>
      <c r="D849" s="9"/>
      <c r="E849" s="17" t="s">
        <v>14</v>
      </c>
      <c r="F849" s="18" t="str">
        <f>HYPERLINK("https://youtu.be/he70rzGnfn0?t=35",'Players&gt;List'!$B11 &amp; "++" &amp; 'Players&gt;List'!$B29)</f>
        <v>[CHB]++[SYS]</v>
      </c>
      <c r="H849" s="1"/>
      <c r="I849" s="1"/>
      <c r="J849" s="1"/>
      <c r="K849" s="1"/>
      <c r="L849" s="1"/>
      <c r="M849" s="1"/>
      <c r="N849" s="1"/>
    </row>
    <row r="850">
      <c r="A850" s="1"/>
      <c r="B850" s="14" t="s">
        <v>6811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"/>
    </row>
    <row r="851">
      <c r="A851" s="1"/>
      <c r="B851" s="4" t="s">
        <v>6812</v>
      </c>
      <c r="D851" s="9"/>
      <c r="E851" s="17" t="s">
        <v>14</v>
      </c>
      <c r="F851" s="18" t="str">
        <f>HYPERLINK("https://www.youtube.com/watch?v=jHnNsIRSXeM&amp;list=PLbU6uWaIKemqNvTeRxK-Ay6PRg9iwCKVi&amp;index=181&amp;t=0s",'Players&gt;List'!$B20 &amp; "++" &amp; 'Players&gt;List'!$B19)</f>
        <v>[KOS]++[HIT]</v>
      </c>
      <c r="H851" s="18" t="str">
        <f>HYPERLINK("https://youtu.be/he70rzGnfn0?t=54",'Players&gt;List'!$B11 &amp; "++" &amp; 'Players&gt;List'!$B29)</f>
        <v>[CHB]++[SYS]</v>
      </c>
      <c r="J851" s="1"/>
      <c r="K851" s="1"/>
      <c r="L851" s="1"/>
      <c r="M851" s="1"/>
      <c r="N851" s="1"/>
    </row>
    <row r="852">
      <c r="A852" s="1"/>
      <c r="B852" s="14" t="s">
        <v>6813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"/>
    </row>
    <row r="853">
      <c r="A853" s="1"/>
      <c r="B853" s="4" t="s">
        <v>6814</v>
      </c>
      <c r="D853" s="9"/>
      <c r="E853" s="17" t="s">
        <v>14</v>
      </c>
      <c r="F853" s="18" t="str">
        <f>HYPERLINK("https://youtu.be/he70rzGnfn0?t=155",'Players&gt;List'!$B11 &amp; "++" &amp; 'Players&gt;List'!$B29)</f>
        <v>[CHB]++[SYS]</v>
      </c>
      <c r="H853" s="1"/>
      <c r="I853" s="1"/>
      <c r="J853" s="1"/>
      <c r="K853" s="1"/>
      <c r="L853" s="1"/>
      <c r="M853" s="1"/>
      <c r="N853" s="1"/>
    </row>
    <row r="854">
      <c r="A854" s="1"/>
      <c r="B854" s="14" t="s">
        <v>6815</v>
      </c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"/>
    </row>
    <row r="855">
      <c r="A855" s="1"/>
      <c r="B855" s="4" t="s">
        <v>6816</v>
      </c>
      <c r="D855" s="9"/>
      <c r="E855" s="17" t="s">
        <v>14</v>
      </c>
      <c r="F855" s="18" t="str">
        <f>HYPERLINK("https://youtu.be/he70rzGnfn0?t=194",'Players&gt;List'!$B11 &amp; "++" &amp; 'Players&gt;List'!$B29)</f>
        <v>[CHB]++[SYS]</v>
      </c>
      <c r="H855" s="1"/>
      <c r="I855" s="1"/>
      <c r="J855" s="1"/>
      <c r="K855" s="1"/>
      <c r="L855" s="1"/>
      <c r="M855" s="1"/>
      <c r="N855" s="1"/>
    </row>
    <row r="856">
      <c r="A856" s="1"/>
      <c r="B856" s="14" t="s">
        <v>6817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"/>
    </row>
    <row r="857">
      <c r="A857" s="1"/>
      <c r="B857" s="4" t="s">
        <v>6818</v>
      </c>
      <c r="D857" s="9"/>
      <c r="E857" s="17" t="s">
        <v>14</v>
      </c>
      <c r="F857" s="18" t="str">
        <f>HYPERLINK("https://youtu.be/qxEtpX2OUXo",'Players&gt;List'!$B11 &amp; "++" &amp; 'Players&gt;List'!$B29)</f>
        <v>[CHB]++[SYS]</v>
      </c>
      <c r="H857" s="1"/>
      <c r="I857" s="1"/>
      <c r="J857" s="1"/>
      <c r="K857" s="1"/>
      <c r="L857" s="1"/>
      <c r="M857" s="1"/>
      <c r="N857" s="1"/>
    </row>
    <row r="858">
      <c r="A858" s="1"/>
      <c r="B858" s="14" t="s">
        <v>6819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"/>
    </row>
    <row r="859">
      <c r="A859" s="1"/>
      <c r="B859" s="4" t="s">
        <v>6820</v>
      </c>
      <c r="D859" s="9"/>
      <c r="E859" s="17" t="s">
        <v>14</v>
      </c>
      <c r="F859" s="18" t="str">
        <f>HYPERLINK("https://youtu.be/qxEtpX2OUXo?t=48s",'Players&gt;List'!$B11 &amp; "++" &amp; 'Players&gt;List'!$B29)</f>
        <v>[CHB]++[SYS]</v>
      </c>
      <c r="H859" s="1"/>
      <c r="I859" s="1"/>
      <c r="J859" s="1"/>
      <c r="K859" s="1"/>
      <c r="L859" s="1"/>
      <c r="M859" s="1"/>
      <c r="N859" s="1"/>
    </row>
    <row r="860">
      <c r="A860" s="1"/>
      <c r="B860" s="14" t="s">
        <v>6821</v>
      </c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"/>
    </row>
    <row r="861">
      <c r="A861" s="1"/>
      <c r="B861" s="4" t="s">
        <v>6822</v>
      </c>
      <c r="D861" s="9"/>
      <c r="E861" s="17" t="s">
        <v>14</v>
      </c>
      <c r="F861" s="18" t="str">
        <f>HYPERLINK("https://youtu.be/qxEtpX2OUXo?t=1m28s",'Players&gt;List'!$B11 &amp; "++" &amp; 'Players&gt;List'!$B29)</f>
        <v>[CHB]++[SYS]</v>
      </c>
      <c r="H861" s="1"/>
      <c r="I861" s="1"/>
      <c r="J861" s="1"/>
      <c r="K861" s="1"/>
      <c r="L861" s="1"/>
      <c r="M861" s="1"/>
      <c r="N861" s="1"/>
    </row>
    <row r="862">
      <c r="A862" s="1"/>
      <c r="B862" s="14" t="s">
        <v>6823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"/>
    </row>
    <row r="863">
      <c r="A863" s="1"/>
      <c r="B863" s="4" t="s">
        <v>6824</v>
      </c>
      <c r="D863" s="9"/>
      <c r="E863" s="17" t="s">
        <v>14</v>
      </c>
      <c r="F863" s="18" t="str">
        <f>HYPERLINK("https://youtu.be/qxEtpX2OUXo?t=1m58s",'Players&gt;List'!$B11 &amp; "++" &amp; 'Players&gt;List'!$B29)</f>
        <v>[CHB]++[SYS]</v>
      </c>
      <c r="H863" s="1"/>
      <c r="I863" s="1"/>
      <c r="J863" s="1"/>
      <c r="K863" s="1"/>
      <c r="L863" s="1"/>
      <c r="M863" s="1"/>
      <c r="N863" s="1"/>
    </row>
    <row r="864">
      <c r="A864" s="1"/>
      <c r="B864" s="14" t="s">
        <v>6825</v>
      </c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"/>
    </row>
    <row r="865">
      <c r="A865" s="1"/>
      <c r="B865" s="4" t="s">
        <v>6826</v>
      </c>
      <c r="D865" s="9"/>
      <c r="E865" s="17" t="s">
        <v>14</v>
      </c>
      <c r="F865" s="18" t="str">
        <f>HYPERLINK("https://youtu.be/qxEtpX2OUXo?t=2m25s",'Players&gt;List'!$B11 &amp; "++" &amp; 'Players&gt;List'!$B29)</f>
        <v>[CHB]++[SYS]</v>
      </c>
      <c r="H865" s="1"/>
      <c r="I865" s="1"/>
      <c r="J865" s="1"/>
      <c r="K865" s="1"/>
      <c r="L865" s="1"/>
      <c r="M865" s="1"/>
      <c r="N865" s="1"/>
    </row>
    <row r="866">
      <c r="A866" s="1"/>
      <c r="B866" s="14" t="s">
        <v>6827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"/>
    </row>
    <row r="867">
      <c r="A867" s="1"/>
      <c r="B867" s="4" t="s">
        <v>6828</v>
      </c>
      <c r="D867" s="9"/>
      <c r="E867" s="17" t="s">
        <v>14</v>
      </c>
      <c r="F867" s="18" t="str">
        <f>HYPERLINK("https://youtu.be/qsph9EpWPDw",'Players&gt;List'!$B11 &amp; "++" &amp; 'Players&gt;List'!$B29)</f>
        <v>[CHB]++[SYS]</v>
      </c>
      <c r="H867" s="1"/>
      <c r="I867" s="1"/>
      <c r="J867" s="1"/>
      <c r="K867" s="1"/>
      <c r="L867" s="1"/>
      <c r="M867" s="1"/>
      <c r="N867" s="1"/>
    </row>
    <row r="868">
      <c r="A868" s="1"/>
      <c r="B868" s="14" t="s">
        <v>6829</v>
      </c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"/>
    </row>
    <row r="869">
      <c r="A869" s="1"/>
      <c r="B869" s="4" t="s">
        <v>6830</v>
      </c>
      <c r="D869" s="9"/>
      <c r="E869" s="17" t="s">
        <v>14</v>
      </c>
      <c r="F869" s="18" t="str">
        <f>HYPERLINK("https://youtu.be/qsph9EpWPDw?t=22s",'Players&gt;List'!$B11 &amp; "++" &amp; 'Players&gt;List'!$B29)</f>
        <v>[CHB]++[SYS]</v>
      </c>
      <c r="H869" s="1"/>
      <c r="I869" s="1"/>
      <c r="J869" s="1"/>
      <c r="K869" s="1"/>
      <c r="L869" s="1"/>
      <c r="M869" s="1"/>
      <c r="N869" s="1"/>
    </row>
    <row r="870">
      <c r="A870" s="1"/>
      <c r="B870" s="14" t="s">
        <v>6831</v>
      </c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"/>
    </row>
    <row r="871">
      <c r="A871" s="1"/>
      <c r="B871" s="4" t="s">
        <v>6832</v>
      </c>
      <c r="D871" s="9"/>
      <c r="E871" s="17" t="s">
        <v>14</v>
      </c>
      <c r="F871" s="18" t="str">
        <f>HYPERLINK("https://youtu.be/qsph9EpWPDw?t=45s",'Players&gt;List'!$B11 &amp; "++" &amp; 'Players&gt;List'!$B29)</f>
        <v>[CHB]++[SYS]</v>
      </c>
      <c r="H871" s="1"/>
      <c r="I871" s="1"/>
      <c r="J871" s="1"/>
      <c r="K871" s="1"/>
      <c r="L871" s="1"/>
      <c r="M871" s="1"/>
      <c r="N871" s="1"/>
    </row>
    <row r="872">
      <c r="A872" s="1"/>
      <c r="B872" s="14" t="s">
        <v>6833</v>
      </c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"/>
    </row>
    <row r="873">
      <c r="A873" s="1"/>
      <c r="B873" s="4" t="s">
        <v>6834</v>
      </c>
      <c r="D873" s="9"/>
      <c r="E873" s="17" t="s">
        <v>14</v>
      </c>
      <c r="F873" s="18" t="str">
        <f>HYPERLINK("https://youtu.be/qsph9EpWPDw?t=1m19s",'Players&gt;List'!$B11 &amp; "++" &amp; 'Players&gt;List'!$B29)</f>
        <v>[CHB]++[SYS]</v>
      </c>
      <c r="H873" s="1"/>
      <c r="I873" s="1"/>
      <c r="J873" s="1"/>
      <c r="K873" s="1"/>
      <c r="L873" s="1"/>
      <c r="M873" s="1"/>
      <c r="N873" s="1"/>
    </row>
    <row r="874">
      <c r="A874" s="1"/>
      <c r="B874" s="14" t="s">
        <v>6835</v>
      </c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"/>
    </row>
    <row r="875">
      <c r="A875" s="1"/>
      <c r="B875" s="4" t="s">
        <v>6836</v>
      </c>
      <c r="D875" s="9"/>
      <c r="E875" s="17" t="s">
        <v>14</v>
      </c>
      <c r="F875" s="18" t="str">
        <f>HYPERLINK("https://youtu.be/qsph9EpWPDw?t=1m55s",'Players&gt;List'!$B11 &amp; "++" &amp; 'Players&gt;List'!$B29)</f>
        <v>[CHB]++[SYS]</v>
      </c>
      <c r="H875" s="1"/>
      <c r="I875" s="1"/>
      <c r="J875" s="1"/>
      <c r="K875" s="1"/>
      <c r="L875" s="1"/>
      <c r="M875" s="1"/>
      <c r="N875" s="1"/>
    </row>
    <row r="876">
      <c r="A876" s="1"/>
      <c r="B876" s="14" t="s">
        <v>6837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"/>
    </row>
    <row r="877">
      <c r="A877" s="1"/>
      <c r="B877" s="4" t="s">
        <v>6838</v>
      </c>
      <c r="D877" s="9"/>
      <c r="E877" s="17" t="s">
        <v>14</v>
      </c>
      <c r="F877" s="18" t="str">
        <f>HYPERLINK("https://youtu.be/8_4uuT3B9U4",'Players&gt;List'!$B11 &amp; "++" &amp; 'Players&gt;List'!$B29)</f>
        <v>[CHB]++[SYS]</v>
      </c>
      <c r="H877" s="1"/>
      <c r="I877" s="1"/>
      <c r="J877" s="1"/>
      <c r="K877" s="1"/>
      <c r="L877" s="1"/>
      <c r="M877" s="1"/>
      <c r="N877" s="1"/>
    </row>
    <row r="878">
      <c r="A878" s="1"/>
      <c r="B878" s="14" t="s">
        <v>6839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"/>
    </row>
    <row r="879">
      <c r="A879" s="1"/>
      <c r="B879" s="4" t="s">
        <v>6840</v>
      </c>
      <c r="D879" s="9"/>
      <c r="E879" s="17" t="s">
        <v>14</v>
      </c>
      <c r="F879" s="18" t="str">
        <f>HYPERLINK("https://youtu.be/8_4uuT3B9U4?t=33s",'Players&gt;List'!$B11 &amp; "++" &amp; 'Players&gt;List'!$B29)</f>
        <v>[CHB]++[SYS]</v>
      </c>
      <c r="H879" s="1"/>
      <c r="I879" s="1"/>
      <c r="J879" s="1"/>
      <c r="K879" s="1"/>
      <c r="L879" s="1"/>
      <c r="M879" s="1"/>
      <c r="N879" s="1"/>
    </row>
    <row r="880">
      <c r="A880" s="1"/>
      <c r="B880" s="14" t="s">
        <v>6841</v>
      </c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"/>
    </row>
    <row r="881">
      <c r="A881" s="1"/>
      <c r="B881" s="4" t="s">
        <v>6842</v>
      </c>
      <c r="D881" s="9"/>
      <c r="E881" s="17" t="s">
        <v>14</v>
      </c>
      <c r="F881" s="18" t="str">
        <f>HYPERLINK("https://youtu.be/8_4uuT3B9U4?t=1m6s",'Players&gt;List'!$B11 &amp; "++" &amp; 'Players&gt;List'!$B29)</f>
        <v>[CHB]++[SYS]</v>
      </c>
      <c r="H881" s="1"/>
      <c r="I881" s="1"/>
      <c r="J881" s="1"/>
      <c r="K881" s="1"/>
      <c r="L881" s="1"/>
      <c r="M881" s="1"/>
      <c r="N881" s="1"/>
    </row>
    <row r="882">
      <c r="A882" s="1"/>
      <c r="B882" s="14" t="s">
        <v>6843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"/>
    </row>
    <row r="883">
      <c r="A883" s="1"/>
      <c r="B883" s="4" t="s">
        <v>6844</v>
      </c>
      <c r="D883" s="9"/>
      <c r="E883" s="17" t="s">
        <v>14</v>
      </c>
      <c r="F883" s="18" t="str">
        <f>HYPERLINK("https://youtu.be/8_4uuT3B9U4?t=1m23s",'Players&gt;List'!$B11 &amp; "++" &amp; 'Players&gt;List'!$B29)</f>
        <v>[CHB]++[SYS]</v>
      </c>
      <c r="H883" s="1"/>
      <c r="I883" s="1"/>
      <c r="J883" s="1"/>
      <c r="K883" s="1"/>
      <c r="L883" s="1"/>
      <c r="M883" s="1"/>
      <c r="N883" s="1"/>
    </row>
    <row r="884">
      <c r="A884" s="1"/>
      <c r="B884" s="14" t="s">
        <v>6845</v>
      </c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"/>
    </row>
    <row r="885">
      <c r="A885" s="1"/>
      <c r="B885" s="4" t="s">
        <v>6846</v>
      </c>
      <c r="D885" s="9"/>
      <c r="E885" s="17" t="s">
        <v>14</v>
      </c>
      <c r="F885" s="18" t="str">
        <f>HYPERLINK("https://youtu.be/8_4uuT3B9U4?t=2m2s",'Players&gt;List'!$B11 &amp; "++" &amp; 'Players&gt;List'!$B29)</f>
        <v>[CHB]++[SYS]</v>
      </c>
      <c r="H885" s="1"/>
      <c r="I885" s="1"/>
      <c r="J885" s="1"/>
      <c r="K885" s="1"/>
      <c r="L885" s="1"/>
      <c r="M885" s="1"/>
      <c r="N885" s="1"/>
    </row>
    <row r="886">
      <c r="A886" s="1"/>
      <c r="B886" s="14" t="s">
        <v>6847</v>
      </c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"/>
    </row>
    <row r="887">
      <c r="A887" s="1"/>
      <c r="B887" s="4" t="s">
        <v>6848</v>
      </c>
      <c r="D887" s="9"/>
      <c r="E887" s="17" t="s">
        <v>14</v>
      </c>
      <c r="F887" s="18" t="str">
        <f>HYPERLINK("https://youtu.be/7z0jhhr6uQE?t=1s",'Players&gt;List'!$B11 &amp; "++" &amp; 'Players&gt;List'!$B29)</f>
        <v>[CHB]++[SYS]</v>
      </c>
      <c r="H887" s="1"/>
      <c r="I887" s="1"/>
      <c r="J887" s="1"/>
      <c r="K887" s="1"/>
      <c r="L887" s="1"/>
      <c r="M887" s="1"/>
      <c r="N887" s="1"/>
    </row>
    <row r="888">
      <c r="A888" s="1"/>
      <c r="B888" s="14" t="s">
        <v>6849</v>
      </c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"/>
    </row>
    <row r="889">
      <c r="A889" s="1"/>
      <c r="B889" s="4" t="s">
        <v>6850</v>
      </c>
      <c r="D889" s="9"/>
      <c r="E889" s="17" t="s">
        <v>14</v>
      </c>
      <c r="F889" s="18" t="str">
        <f>HYPERLINK("https://youtu.be/7z0jhhr6uQE?t=15s",'Players&gt;List'!$B11 &amp; "++" &amp; 'Players&gt;List'!$B29)</f>
        <v>[CHB]++[SYS]</v>
      </c>
      <c r="H889" s="1"/>
      <c r="I889" s="1"/>
      <c r="J889" s="1"/>
      <c r="K889" s="1"/>
      <c r="L889" s="1"/>
      <c r="M889" s="1"/>
      <c r="N889" s="1"/>
    </row>
    <row r="890">
      <c r="A890" s="1"/>
      <c r="B890" s="14" t="s">
        <v>524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"/>
    </row>
    <row r="891">
      <c r="A891" s="1"/>
      <c r="B891" s="4" t="s">
        <v>6851</v>
      </c>
      <c r="D891" s="9"/>
      <c r="E891" s="17" t="s">
        <v>14</v>
      </c>
      <c r="F891" s="18" t="str">
        <f>HYPERLINK("https://youtu.be/7z0jhhr6uQE?t=46s",'Players&gt;List'!$B11 &amp; "++" &amp; 'Players&gt;List'!$B29)</f>
        <v>[CHB]++[SYS]</v>
      </c>
      <c r="H891" s="1"/>
      <c r="I891" s="1"/>
      <c r="J891" s="1"/>
      <c r="K891" s="1"/>
      <c r="L891" s="1"/>
      <c r="M891" s="1"/>
      <c r="N891" s="1"/>
    </row>
    <row r="892">
      <c r="A892" s="1"/>
      <c r="B892" s="14" t="s">
        <v>6852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"/>
    </row>
    <row r="893">
      <c r="A893" s="1"/>
      <c r="B893" s="4" t="s">
        <v>6853</v>
      </c>
      <c r="D893" s="9"/>
      <c r="E893" s="17" t="s">
        <v>14</v>
      </c>
      <c r="F893" s="18" t="str">
        <f>HYPERLINK("https://youtu.be/7z0jhhr6uQE?t=1m49s",'Players&gt;List'!$B11 &amp; "++" &amp; 'Players&gt;List'!$B29)</f>
        <v>[CHB]++[SYS]</v>
      </c>
      <c r="H893" s="1"/>
      <c r="I893" s="1"/>
      <c r="J893" s="1"/>
      <c r="K893" s="1"/>
      <c r="L893" s="1"/>
      <c r="M893" s="1"/>
      <c r="N893" s="1"/>
    </row>
    <row r="894">
      <c r="A894" s="1"/>
      <c r="B894" s="14" t="s">
        <v>6854</v>
      </c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"/>
    </row>
    <row r="895">
      <c r="A895" s="1"/>
      <c r="B895" s="4" t="s">
        <v>6855</v>
      </c>
      <c r="D895" s="9"/>
      <c r="E895" s="17" t="s">
        <v>14</v>
      </c>
      <c r="F895" s="18" t="str">
        <f>HYPERLINK("https://youtu.be/7z0jhhr6uQE?t=2m35s",'Players&gt;List'!$B11 &amp; "++" &amp; 'Players&gt;List'!$B29)</f>
        <v>[CHB]++[SYS]</v>
      </c>
      <c r="H895" s="1"/>
      <c r="I895" s="1"/>
      <c r="J895" s="1"/>
      <c r="K895" s="1"/>
      <c r="L895" s="1"/>
      <c r="M895" s="1"/>
      <c r="N895" s="1"/>
    </row>
    <row r="896">
      <c r="A896" s="1"/>
      <c r="B896" s="14" t="s">
        <v>6856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"/>
    </row>
    <row r="897">
      <c r="A897" s="1"/>
      <c r="B897" s="4" t="s">
        <v>6857</v>
      </c>
      <c r="D897" s="9"/>
      <c r="E897" s="17" t="s">
        <v>14</v>
      </c>
      <c r="F897" s="18" t="str">
        <f>HYPERLINK("https://youtu.be/xxBPXv8PDKE",'Players&gt;List'!$B11 &amp; "++" &amp; 'Players&gt;List'!$B29)</f>
        <v>[CHB]++[SYS]</v>
      </c>
      <c r="H897" s="1"/>
      <c r="I897" s="1"/>
      <c r="J897" s="1"/>
      <c r="K897" s="1"/>
      <c r="L897" s="1"/>
      <c r="M897" s="1"/>
      <c r="N897" s="1"/>
    </row>
    <row r="898">
      <c r="A898" s="1"/>
      <c r="B898" s="14" t="s">
        <v>6858</v>
      </c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"/>
    </row>
    <row r="899">
      <c r="A899" s="1"/>
      <c r="B899" s="4" t="s">
        <v>6859</v>
      </c>
      <c r="D899" s="9"/>
      <c r="E899" s="17" t="s">
        <v>14</v>
      </c>
      <c r="F899" s="18" t="str">
        <f>HYPERLINK("https://youtu.be/xxBPXv8PDKE?t=22",'Players&gt;List'!$B11 &amp; "++" &amp; 'Players&gt;List'!$B29)</f>
        <v>[CHB]++[SYS]</v>
      </c>
      <c r="H899" s="1"/>
      <c r="I899" s="1"/>
      <c r="J899" s="1"/>
      <c r="K899" s="1"/>
      <c r="L899" s="1"/>
      <c r="M899" s="1"/>
      <c r="N899" s="1"/>
    </row>
    <row r="900">
      <c r="A900" s="1"/>
      <c r="B900" s="14" t="s">
        <v>6860</v>
      </c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"/>
    </row>
    <row r="901">
      <c r="A901" s="1"/>
      <c r="B901" s="4" t="s">
        <v>6861</v>
      </c>
      <c r="D901" s="9"/>
      <c r="E901" s="17" t="s">
        <v>14</v>
      </c>
      <c r="F901" s="18" t="str">
        <f>HYPERLINK("https://youtu.be/xxBPXv8PDKE?t=36",'Players&gt;List'!$B11 &amp; "++" &amp; 'Players&gt;List'!$B29)</f>
        <v>[CHB]++[SYS]</v>
      </c>
      <c r="H901" s="1"/>
      <c r="I901" s="1"/>
      <c r="J901" s="1"/>
      <c r="K901" s="1"/>
      <c r="L901" s="1"/>
      <c r="M901" s="1"/>
      <c r="N901" s="1"/>
    </row>
    <row r="902">
      <c r="A902" s="1"/>
      <c r="B902" s="14" t="s">
        <v>6862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"/>
    </row>
    <row r="903">
      <c r="A903" s="1"/>
      <c r="B903" s="4" t="s">
        <v>6863</v>
      </c>
      <c r="D903" s="9"/>
      <c r="E903" s="17" t="s">
        <v>14</v>
      </c>
      <c r="F903" s="18" t="str">
        <f>HYPERLINK("https://youtu.be/xxBPXv8PDKE?t=100",'Players&gt;List'!$B11 &amp; "++" &amp; 'Players&gt;List'!$B29)</f>
        <v>[CHB]++[SYS]</v>
      </c>
      <c r="H903" s="1"/>
      <c r="I903" s="1"/>
      <c r="J903" s="1"/>
      <c r="K903" s="1"/>
      <c r="L903" s="1"/>
      <c r="M903" s="1"/>
      <c r="N903" s="1"/>
    </row>
    <row r="904">
      <c r="A904" s="1"/>
      <c r="B904" s="14" t="s">
        <v>6864</v>
      </c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"/>
    </row>
    <row r="905">
      <c r="A905" s="1"/>
      <c r="B905" s="4" t="s">
        <v>6865</v>
      </c>
      <c r="D905" s="9"/>
      <c r="E905" s="17" t="s">
        <v>14</v>
      </c>
      <c r="F905" s="18" t="str">
        <f>HYPERLINK("https://www.youtube.com/watch?v=mi6JQWrNrVQ&amp;list=PLbU6uWaIKemqNvTeRxK-Ay6PRg9iwCKVi&amp;index=184&amp;t=0s",'Players&gt;List'!$B20 &amp; "++" &amp; 'Players&gt;List'!$B19)</f>
        <v>[KOS]++[HIT]</v>
      </c>
      <c r="H905" s="18" t="str">
        <f>HYPERLINK("https://youtu.be/xxBPXv8PDKE?t=130",'Players&gt;List'!$B11 &amp; "++" &amp; 'Players&gt;List'!$B29)</f>
        <v>[CHB]++[SYS]</v>
      </c>
      <c r="J905" s="1"/>
      <c r="K905" s="1"/>
      <c r="L905" s="1"/>
      <c r="M905" s="1"/>
      <c r="N905" s="1"/>
    </row>
    <row r="906">
      <c r="A906" s="1"/>
      <c r="B906" s="14" t="s">
        <v>6866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"/>
    </row>
    <row r="907">
      <c r="A907" s="1"/>
      <c r="B907" s="4" t="s">
        <v>6867</v>
      </c>
      <c r="D907" s="9"/>
      <c r="E907" s="17" t="s">
        <v>14</v>
      </c>
      <c r="F907" s="18" t="str">
        <f>HYPERLINK("https://youtu.be/NbUoElqxOJk?t=1s",'Players&gt;List'!$B11 &amp; "++" &amp; 'Players&gt;List'!$B29)</f>
        <v>[CHB]++[SYS]</v>
      </c>
      <c r="H907" s="1"/>
      <c r="I907" s="1"/>
      <c r="J907" s="1"/>
      <c r="K907" s="1"/>
      <c r="L907" s="1"/>
      <c r="M907" s="1"/>
      <c r="N907" s="1"/>
    </row>
    <row r="908">
      <c r="A908" s="1"/>
      <c r="B908" s="14" t="s">
        <v>6868</v>
      </c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"/>
    </row>
    <row r="909">
      <c r="A909" s="1"/>
      <c r="B909" s="4" t="s">
        <v>6869</v>
      </c>
      <c r="D909" s="9"/>
      <c r="E909" s="17" t="s">
        <v>14</v>
      </c>
      <c r="F909" s="18" t="str">
        <f>HYPERLINK("https://youtu.be/NbUoElqxOJk?t=49s",'Players&gt;List'!$B11 &amp; "++" &amp; 'Players&gt;List'!$B29)</f>
        <v>[CHB]++[SYS]</v>
      </c>
      <c r="H909" s="1"/>
      <c r="I909" s="1"/>
      <c r="J909" s="1"/>
      <c r="K909" s="1"/>
      <c r="L909" s="1"/>
      <c r="M909" s="1"/>
      <c r="N909" s="1"/>
    </row>
    <row r="910">
      <c r="A910" s="1"/>
      <c r="B910" s="14" t="s">
        <v>6870</v>
      </c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"/>
    </row>
    <row r="911">
      <c r="A911" s="1"/>
      <c r="B911" s="4" t="s">
        <v>6871</v>
      </c>
      <c r="D911" s="9"/>
      <c r="E911" s="17" t="s">
        <v>14</v>
      </c>
      <c r="F911" s="18" t="str">
        <f>HYPERLINK("https://youtu.be/NbUoElqxOJk?t=2m40s",'Players&gt;List'!$B11 &amp; "++" &amp; 'Players&gt;List'!$B29)</f>
        <v>[CHB]++[SYS]</v>
      </c>
      <c r="H911" s="1"/>
      <c r="I911" s="1"/>
      <c r="J911" s="1"/>
      <c r="K911" s="1"/>
      <c r="L911" s="1"/>
      <c r="M911" s="1"/>
      <c r="N911" s="1"/>
    </row>
    <row r="912">
      <c r="A912" s="1"/>
      <c r="B912" s="14" t="s">
        <v>6872</v>
      </c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"/>
    </row>
    <row r="913">
      <c r="A913" s="1"/>
      <c r="B913" s="4" t="s">
        <v>6873</v>
      </c>
      <c r="D913" s="9"/>
      <c r="E913" s="17" t="s">
        <v>14</v>
      </c>
      <c r="F913" s="18" t="str">
        <f>HYPERLINK("https://youtu.be/NbUoElqxOJk?t=3m1s",'Players&gt;List'!$B11 &amp; "++" &amp; 'Players&gt;List'!$B29)</f>
        <v>[CHB]++[SYS]</v>
      </c>
      <c r="H913" s="1"/>
      <c r="I913" s="1"/>
      <c r="J913" s="1"/>
      <c r="K913" s="1"/>
      <c r="L913" s="1"/>
      <c r="M913" s="1"/>
      <c r="N913" s="1"/>
    </row>
    <row r="914">
      <c r="A914" s="1"/>
      <c r="B914" s="14" t="s">
        <v>6874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"/>
    </row>
    <row r="915">
      <c r="A915" s="1"/>
      <c r="B915" s="4" t="s">
        <v>6875</v>
      </c>
      <c r="D915" s="9"/>
      <c r="E915" s="17" t="s">
        <v>14</v>
      </c>
      <c r="F915" s="18" t="str">
        <f>HYPERLINK("https://youtu.be/NbUoElqxOJk?t=3m21s",'Players&gt;List'!$B11 &amp; "++" &amp; 'Players&gt;List'!$B29)</f>
        <v>[CHB]++[SYS]</v>
      </c>
      <c r="H915" s="1"/>
      <c r="I915" s="1"/>
      <c r="J915" s="1"/>
      <c r="K915" s="1"/>
      <c r="L915" s="1"/>
      <c r="M915" s="1"/>
      <c r="N915" s="1"/>
    </row>
    <row r="916">
      <c r="A916" s="1"/>
      <c r="B916" s="14" t="s">
        <v>6876</v>
      </c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"/>
    </row>
    <row r="917">
      <c r="A917" s="1"/>
      <c r="B917" s="4" t="s">
        <v>6877</v>
      </c>
      <c r="D917" s="9"/>
      <c r="E917" s="17" t="s">
        <v>14</v>
      </c>
      <c r="F917" s="18" t="str">
        <f>HYPERLINK("https://youtu.be/n6VaKcZWTP8?t=1s",'Players&gt;List'!$B11 &amp; "++" &amp; 'Players&gt;List'!$B29)</f>
        <v>[CHB]++[SYS]</v>
      </c>
      <c r="H917" s="1"/>
      <c r="I917" s="1"/>
      <c r="J917" s="1"/>
      <c r="K917" s="1"/>
      <c r="L917" s="1"/>
      <c r="M917" s="1"/>
      <c r="N917" s="1"/>
    </row>
    <row r="918">
      <c r="A918" s="1"/>
      <c r="B918" s="14" t="s">
        <v>6878</v>
      </c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"/>
    </row>
    <row r="919">
      <c r="A919" s="1"/>
      <c r="B919" s="4" t="s">
        <v>6879</v>
      </c>
      <c r="D919" s="9"/>
      <c r="E919" s="17" t="s">
        <v>14</v>
      </c>
      <c r="F919" s="18" t="str">
        <f>HYPERLINK("https://youtu.be/n6VaKcZWTP8?t=38s",'Players&gt;List'!$B11 &amp; "++" &amp; 'Players&gt;List'!$B29)</f>
        <v>[CHB]++[SYS]</v>
      </c>
      <c r="H919" s="1"/>
      <c r="I919" s="1"/>
      <c r="J919" s="1"/>
      <c r="K919" s="1"/>
      <c r="L919" s="1"/>
      <c r="M919" s="1"/>
      <c r="N919" s="1"/>
    </row>
    <row r="920">
      <c r="A920" s="1"/>
      <c r="B920" s="14" t="s">
        <v>6880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"/>
    </row>
    <row r="921">
      <c r="A921" s="1"/>
      <c r="B921" s="4" t="s">
        <v>6881</v>
      </c>
      <c r="D921" s="9"/>
      <c r="E921" s="17" t="s">
        <v>14</v>
      </c>
      <c r="F921" s="18" t="str">
        <f>HYPERLINK("https://youtu.be/n6VaKcZWTP8?t=1m28s",'Players&gt;List'!$B11 &amp; "++" &amp; 'Players&gt;List'!$B29)</f>
        <v>[CHB]++[SYS]</v>
      </c>
      <c r="H921" s="1"/>
      <c r="I921" s="1"/>
      <c r="J921" s="1"/>
      <c r="K921" s="1"/>
      <c r="L921" s="1"/>
      <c r="M921" s="1"/>
      <c r="N921" s="1"/>
    </row>
    <row r="922">
      <c r="A922" s="1"/>
      <c r="B922" s="14" t="s">
        <v>6882</v>
      </c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"/>
    </row>
    <row r="923">
      <c r="A923" s="1"/>
      <c r="B923" s="4" t="s">
        <v>6883</v>
      </c>
      <c r="D923" s="9"/>
      <c r="E923" s="17" t="s">
        <v>14</v>
      </c>
      <c r="F923" s="18" t="str">
        <f>HYPERLINK("https://youtu.be/n6VaKcZWTP8?t=1m55s",'Players&gt;List'!$B11 &amp; "++" &amp; 'Players&gt;List'!$B29)</f>
        <v>[CHB]++[SYS]</v>
      </c>
      <c r="H923" s="1"/>
      <c r="I923" s="1"/>
      <c r="J923" s="1"/>
      <c r="K923" s="1"/>
      <c r="L923" s="1"/>
      <c r="M923" s="1"/>
      <c r="N923" s="1"/>
    </row>
    <row r="924">
      <c r="A924" s="1"/>
      <c r="B924" s="14" t="s">
        <v>6884</v>
      </c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"/>
    </row>
    <row r="925">
      <c r="A925" s="1"/>
      <c r="B925" s="4" t="s">
        <v>6885</v>
      </c>
      <c r="D925" s="9"/>
      <c r="E925" s="17" t="s">
        <v>14</v>
      </c>
      <c r="F925" s="18" t="str">
        <f>HYPERLINK("https://youtu.be/n6VaKcZWTP8?t=2m48s",'Players&gt;List'!$B11 &amp; "++" &amp; 'Players&gt;List'!$B29)</f>
        <v>[CHB]++[SYS]</v>
      </c>
      <c r="H925" s="1"/>
      <c r="I925" s="1"/>
      <c r="J925" s="1"/>
      <c r="K925" s="1"/>
      <c r="L925" s="1"/>
      <c r="M925" s="1"/>
      <c r="N925" s="1"/>
    </row>
    <row r="926">
      <c r="A926" s="1"/>
      <c r="B926" s="14" t="s">
        <v>6886</v>
      </c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"/>
    </row>
    <row r="927">
      <c r="A927" s="1"/>
      <c r="B927" s="4" t="s">
        <v>6887</v>
      </c>
      <c r="D927" s="9"/>
      <c r="E927" s="17" t="s">
        <v>14</v>
      </c>
      <c r="F927" s="18" t="str">
        <f>HYPERLINK("https://youtu.be/gIdO1oj2i_Y",'Players&gt;List'!$B11 &amp; "++" &amp; 'Players&gt;List'!$B29)</f>
        <v>[CHB]++[SYS]</v>
      </c>
      <c r="H927" s="1"/>
      <c r="I927" s="1"/>
      <c r="J927" s="1"/>
      <c r="K927" s="1"/>
      <c r="L927" s="1"/>
      <c r="M927" s="1"/>
      <c r="N927" s="1"/>
    </row>
    <row r="928">
      <c r="A928" s="1"/>
      <c r="B928" s="14" t="s">
        <v>6888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"/>
    </row>
    <row r="929">
      <c r="A929" s="1"/>
      <c r="B929" s="4" t="s">
        <v>6889</v>
      </c>
      <c r="D929" s="9"/>
      <c r="E929" s="17" t="s">
        <v>14</v>
      </c>
      <c r="F929" s="18" t="str">
        <f>HYPERLINK("https://youtu.be/gIdO1oj2i_Y?t=48s",'Players&gt;List'!$B11 &amp; "++" &amp; 'Players&gt;List'!$B29)</f>
        <v>[CHB]++[SYS]</v>
      </c>
      <c r="H929" s="1"/>
      <c r="I929" s="1"/>
      <c r="J929" s="1"/>
      <c r="K929" s="1"/>
      <c r="L929" s="1"/>
      <c r="M929" s="1"/>
      <c r="N929" s="1"/>
    </row>
    <row r="930">
      <c r="A930" s="1"/>
      <c r="B930" s="14" t="s">
        <v>6890</v>
      </c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"/>
    </row>
    <row r="931">
      <c r="A931" s="1"/>
      <c r="B931" s="4" t="s">
        <v>6891</v>
      </c>
      <c r="D931" s="9"/>
      <c r="E931" s="17" t="s">
        <v>14</v>
      </c>
      <c r="F931" s="18" t="str">
        <f>HYPERLINK("https://youtu.be/gIdO1oj2i_Y?t=1m40s",'Players&gt;List'!$B11 &amp; "++" &amp; 'Players&gt;List'!$B29)</f>
        <v>[CHB]++[SYS]</v>
      </c>
      <c r="H931" s="1"/>
      <c r="I931" s="1"/>
      <c r="J931" s="1"/>
      <c r="K931" s="1"/>
      <c r="L931" s="1"/>
      <c r="M931" s="1"/>
      <c r="N931" s="1"/>
    </row>
    <row r="932">
      <c r="A932" s="1"/>
      <c r="B932" s="14" t="s">
        <v>6892</v>
      </c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"/>
    </row>
    <row r="933">
      <c r="A933" s="1"/>
      <c r="B933" s="4" t="s">
        <v>6893</v>
      </c>
      <c r="D933" s="9"/>
      <c r="E933" s="17" t="s">
        <v>14</v>
      </c>
      <c r="F933" s="18" t="str">
        <f>HYPERLINK("https://youtu.be/gIdO1oj2i_Y?t=2m13s",'Players&gt;List'!$B11 &amp; "++" &amp; 'Players&gt;List'!$B29)</f>
        <v>[CHB]++[SYS]</v>
      </c>
      <c r="H933" s="1"/>
      <c r="I933" s="1"/>
      <c r="J933" s="1"/>
      <c r="K933" s="1"/>
      <c r="L933" s="1"/>
      <c r="M933" s="1"/>
      <c r="N933" s="1"/>
    </row>
    <row r="934">
      <c r="A934" s="1"/>
      <c r="B934" s="14" t="s">
        <v>6894</v>
      </c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"/>
    </row>
    <row r="935">
      <c r="A935" s="1"/>
      <c r="B935" s="4" t="s">
        <v>6895</v>
      </c>
      <c r="D935" s="9"/>
      <c r="E935" s="17" t="s">
        <v>14</v>
      </c>
      <c r="F935" s="18" t="str">
        <f>HYPERLINK("https://youtu.be/gIdO1oj2i_Y?t=2m50s",'Players&gt;List'!$B11 &amp; "++" &amp; 'Players&gt;List'!$B29)</f>
        <v>[CHB]++[SYS]</v>
      </c>
      <c r="H935" s="1"/>
      <c r="I935" s="1"/>
      <c r="J935" s="1"/>
      <c r="K935" s="1"/>
      <c r="L935" s="1"/>
      <c r="M935" s="1"/>
      <c r="N935" s="1"/>
    </row>
    <row r="936">
      <c r="A936" s="1"/>
      <c r="B936" s="14" t="s">
        <v>6896</v>
      </c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"/>
    </row>
    <row r="937">
      <c r="A937" s="1"/>
      <c r="B937" s="4" t="s">
        <v>6897</v>
      </c>
      <c r="D937" s="9"/>
      <c r="E937" s="17" t="s">
        <v>14</v>
      </c>
      <c r="F937" s="18" t="str">
        <f>HYPERLINK("https://youtu.be/VsWes-RnF1M",'Players&gt;List'!$B11 &amp; "++" &amp; 'Players&gt;List'!$B29)</f>
        <v>[CHB]++[SYS]</v>
      </c>
      <c r="H937" s="1"/>
      <c r="I937" s="1"/>
      <c r="J937" s="1"/>
      <c r="K937" s="1"/>
      <c r="L937" s="1"/>
      <c r="M937" s="1"/>
      <c r="N937" s="1"/>
    </row>
    <row r="938">
      <c r="A938" s="1"/>
      <c r="B938" s="14" t="s">
        <v>6898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"/>
    </row>
    <row r="939">
      <c r="A939" s="1"/>
      <c r="B939" s="4" t="s">
        <v>6899</v>
      </c>
      <c r="D939" s="9"/>
      <c r="E939" s="17" t="s">
        <v>14</v>
      </c>
      <c r="F939" s="18" t="str">
        <f>HYPERLINK("https://youtu.be/VsWes-RnF1M?t=57s",'Players&gt;List'!$B11 &amp; "++" &amp; 'Players&gt;List'!$B29)</f>
        <v>[CHB]++[SYS]</v>
      </c>
      <c r="H939" s="1"/>
      <c r="I939" s="1"/>
      <c r="J939" s="1"/>
      <c r="K939" s="1"/>
      <c r="L939" s="1"/>
      <c r="M939" s="1"/>
      <c r="N939" s="1"/>
    </row>
    <row r="940">
      <c r="A940" s="1"/>
      <c r="B940" s="14" t="s">
        <v>5231</v>
      </c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"/>
    </row>
    <row r="941">
      <c r="A941" s="1"/>
      <c r="B941" s="4" t="s">
        <v>6900</v>
      </c>
      <c r="D941" s="9"/>
      <c r="E941" s="17" t="s">
        <v>14</v>
      </c>
      <c r="F941" s="18" t="str">
        <f>HYPERLINK("https://youtu.be/VsWes-RnF1M?t=1m40s",'Players&gt;List'!$B11 &amp; "++" &amp; 'Players&gt;List'!$B29)</f>
        <v>[CHB]++[SYS]</v>
      </c>
      <c r="H941" s="1"/>
      <c r="I941" s="1"/>
      <c r="J941" s="1"/>
      <c r="K941" s="1"/>
      <c r="L941" s="1"/>
      <c r="M941" s="1"/>
      <c r="N941" s="1"/>
    </row>
    <row r="942">
      <c r="A942" s="1"/>
      <c r="B942" s="14" t="s">
        <v>6901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"/>
    </row>
    <row r="943">
      <c r="A943" s="1"/>
      <c r="B943" s="4" t="s">
        <v>6902</v>
      </c>
      <c r="D943" s="9"/>
      <c r="E943" s="17" t="s">
        <v>14</v>
      </c>
      <c r="F943" s="18" t="str">
        <f>HYPERLINK("https://youtu.be/VsWes-RnF1M?t=2m11s",'Players&gt;List'!$B11 &amp; "++" &amp; 'Players&gt;List'!$B29)</f>
        <v>[CHB]++[SYS]</v>
      </c>
      <c r="H943" s="1"/>
      <c r="I943" s="1"/>
      <c r="J943" s="1"/>
      <c r="K943" s="1"/>
      <c r="L943" s="1"/>
      <c r="M943" s="1"/>
      <c r="N943" s="1"/>
    </row>
    <row r="944">
      <c r="A944" s="1"/>
      <c r="B944" s="14" t="s">
        <v>6903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"/>
    </row>
    <row r="945">
      <c r="A945" s="1"/>
      <c r="B945" s="4" t="s">
        <v>6904</v>
      </c>
      <c r="D945" s="9"/>
      <c r="E945" s="17" t="s">
        <v>14</v>
      </c>
      <c r="F945" s="18" t="str">
        <f>HYPERLINK("https://www.youtube.com/watch?v=1D3r_Onn_ko&amp;list=PLbU6uWaIKemqNvTeRxK-Ay6PRg9iwCKVi&amp;index=185&amp;t=0s",'Players&gt;List'!$B20 &amp; "++" &amp; 'Players&gt;List'!$B19)</f>
        <v>[KOS]++[HIT]</v>
      </c>
      <c r="H945" s="18" t="str">
        <f>HYPERLINK("https://youtu.be/VsWes-RnF1M?t=3m12s",'Players&gt;List'!$B11 &amp; "++" &amp; 'Players&gt;List'!$B29)</f>
        <v>[CHB]++[SYS]</v>
      </c>
      <c r="J945" s="1"/>
      <c r="K945" s="1"/>
      <c r="L945" s="1"/>
      <c r="M945" s="1"/>
      <c r="N945" s="1"/>
    </row>
    <row r="946">
      <c r="A946" s="1"/>
      <c r="B946" s="14" t="s">
        <v>6905</v>
      </c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"/>
    </row>
    <row r="947">
      <c r="A947" s="1"/>
      <c r="B947" s="4" t="s">
        <v>6906</v>
      </c>
      <c r="D947" s="9"/>
      <c r="E947" s="17" t="s">
        <v>14</v>
      </c>
      <c r="F947" s="18" t="str">
        <f>HYPERLINK("https://youtu.be/OkkMlIAJer0?t=1",'Players&gt;List'!$B11 &amp; "++" &amp; 'Players&gt;List'!$B29)</f>
        <v>[CHB]++[SYS]</v>
      </c>
      <c r="H947" s="1"/>
      <c r="I947" s="1"/>
      <c r="J947" s="1"/>
      <c r="K947" s="1"/>
      <c r="L947" s="1"/>
      <c r="M947" s="1"/>
      <c r="N947" s="1"/>
    </row>
    <row r="948">
      <c r="A948" s="1"/>
      <c r="B948" s="14" t="s">
        <v>6907</v>
      </c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"/>
    </row>
    <row r="949">
      <c r="A949" s="1"/>
      <c r="B949" s="4" t="s">
        <v>6908</v>
      </c>
      <c r="D949" s="9"/>
      <c r="E949" s="17" t="s">
        <v>14</v>
      </c>
      <c r="F949" s="18" t="str">
        <f>HYPERLINK("https://www.youtube.com/watch?v=QRruFhkeImY&amp;list=PLbU6uWaIKemqNvTeRxK-Ay6PRg9iwCKVi&amp;index=186&amp;t=0s",'Players&gt;List'!$B20 &amp; "++" &amp; 'Players&gt;List'!$B19)</f>
        <v>[KOS]++[HIT]</v>
      </c>
      <c r="H949" s="18" t="str">
        <f>HYPERLINK("https://youtu.be/OkkMlIAJer0?t=20",'Players&gt;List'!$B11 &amp; "++" &amp; 'Players&gt;List'!$B29)</f>
        <v>[CHB]++[SYS]</v>
      </c>
      <c r="J949" s="1"/>
      <c r="K949" s="1"/>
      <c r="L949" s="1"/>
      <c r="M949" s="1"/>
      <c r="N949" s="1"/>
    </row>
    <row r="950">
      <c r="A950" s="1"/>
      <c r="B950" s="14" t="s">
        <v>6909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"/>
    </row>
    <row r="951">
      <c r="A951" s="1"/>
      <c r="B951" s="4" t="s">
        <v>6910</v>
      </c>
      <c r="D951" s="9"/>
      <c r="E951" s="17" t="s">
        <v>14</v>
      </c>
      <c r="F951" s="18" t="str">
        <f>HYPERLINK("https://youtu.be/OkkMlIAJer0?t=60",'Players&gt;List'!$B11 &amp; "++" &amp; 'Players&gt;List'!$B29)</f>
        <v>[CHB]++[SYS]</v>
      </c>
      <c r="H951" s="1"/>
      <c r="I951" s="1"/>
      <c r="J951" s="1"/>
      <c r="K951" s="1"/>
      <c r="L951" s="1"/>
      <c r="M951" s="1"/>
      <c r="N951" s="1"/>
    </row>
    <row r="952">
      <c r="A952" s="1"/>
      <c r="B952" s="14" t="s">
        <v>6911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"/>
    </row>
    <row r="953">
      <c r="A953" s="1"/>
      <c r="B953" s="4" t="s">
        <v>6912</v>
      </c>
      <c r="D953" s="9"/>
      <c r="E953" s="17" t="s">
        <v>14</v>
      </c>
      <c r="F953" s="18" t="str">
        <f>HYPERLINK("https://youtu.be/OkkMlIAJer0?t=98",'Players&gt;List'!$B11 &amp; "++" &amp; 'Players&gt;List'!$B29)</f>
        <v>[CHB]++[SYS]</v>
      </c>
      <c r="H953" s="1"/>
      <c r="I953" s="1"/>
      <c r="J953" s="1"/>
      <c r="K953" s="1"/>
      <c r="L953" s="1"/>
      <c r="M953" s="1"/>
      <c r="N953" s="1"/>
    </row>
    <row r="954">
      <c r="A954" s="1"/>
      <c r="B954" s="14" t="s">
        <v>6913</v>
      </c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"/>
    </row>
    <row r="955">
      <c r="A955" s="1"/>
      <c r="B955" s="4" t="s">
        <v>6914</v>
      </c>
      <c r="D955" s="9"/>
      <c r="E955" s="17" t="s">
        <v>14</v>
      </c>
      <c r="F955" s="18" t="str">
        <f>HYPERLINK("https://youtu.be/OkkMlIAJer0?t=109",'Players&gt;List'!$B11 &amp; "++" &amp; 'Players&gt;List'!$B29)</f>
        <v>[CHB]++[SYS]</v>
      </c>
      <c r="H955" s="1"/>
      <c r="I955" s="1"/>
      <c r="J955" s="1"/>
      <c r="K955" s="1"/>
      <c r="L955" s="1"/>
      <c r="M955" s="1"/>
      <c r="N955" s="1"/>
    </row>
    <row r="956">
      <c r="A956" s="1"/>
      <c r="B956" s="14" t="s">
        <v>6915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"/>
    </row>
    <row r="957">
      <c r="A957" s="1"/>
      <c r="B957" s="4" t="s">
        <v>6916</v>
      </c>
      <c r="D957" s="9"/>
      <c r="E957" s="17" t="s">
        <v>14</v>
      </c>
      <c r="F957" s="18" t="str">
        <f>HYPERLINK("https://youtu.be/5L3Yipw03J0",'Players&gt;List'!$B11 &amp; "++" &amp; 'Players&gt;List'!$B29)</f>
        <v>[CHB]++[SYS]</v>
      </c>
      <c r="H957" s="1"/>
      <c r="I957" s="1"/>
      <c r="J957" s="1"/>
      <c r="K957" s="1"/>
      <c r="L957" s="1"/>
      <c r="M957" s="1"/>
      <c r="N957" s="1"/>
    </row>
    <row r="958">
      <c r="A958" s="1"/>
      <c r="B958" s="14" t="s">
        <v>6917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"/>
    </row>
    <row r="959">
      <c r="A959" s="1"/>
      <c r="B959" s="4" t="s">
        <v>6918</v>
      </c>
      <c r="D959" s="9"/>
      <c r="E959" s="17" t="s">
        <v>14</v>
      </c>
      <c r="F959" s="18" t="str">
        <f>HYPERLINK("https://youtu.be/5L3Yipw03J0?t=38s",'Players&gt;List'!$B11 &amp; "++" &amp; 'Players&gt;List'!$B29)</f>
        <v>[CHB]++[SYS]</v>
      </c>
      <c r="H959" s="1"/>
      <c r="I959" s="1"/>
      <c r="J959" s="1"/>
      <c r="K959" s="1"/>
      <c r="L959" s="1"/>
      <c r="M959" s="1"/>
      <c r="N959" s="1"/>
    </row>
    <row r="960">
      <c r="A960" s="1"/>
      <c r="B960" s="14" t="s">
        <v>6919</v>
      </c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"/>
    </row>
    <row r="961">
      <c r="A961" s="1"/>
      <c r="B961" s="4" t="s">
        <v>6920</v>
      </c>
      <c r="D961" s="9"/>
      <c r="E961" s="17" t="s">
        <v>14</v>
      </c>
      <c r="F961" s="18" t="str">
        <f>HYPERLINK("https://youtu.be/5L3Yipw03J0?t=1m1s",'Players&gt;List'!$B11 &amp; "++" &amp; 'Players&gt;List'!$B29)</f>
        <v>[CHB]++[SYS]</v>
      </c>
      <c r="H961" s="1"/>
      <c r="I961" s="1"/>
      <c r="J961" s="1"/>
      <c r="K961" s="1"/>
      <c r="L961" s="1"/>
      <c r="M961" s="1"/>
      <c r="N961" s="1"/>
    </row>
    <row r="962">
      <c r="A962" s="1"/>
      <c r="B962" s="14" t="s">
        <v>6921</v>
      </c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"/>
    </row>
    <row r="963">
      <c r="A963" s="1"/>
      <c r="B963" s="4" t="s">
        <v>6922</v>
      </c>
      <c r="D963" s="9"/>
      <c r="E963" s="17" t="s">
        <v>14</v>
      </c>
      <c r="F963" s="18" t="str">
        <f>HYPERLINK("https://youtu.be/5L3Yipw03J0?t=1m46s",'Players&gt;List'!$B11 &amp; "++" &amp; 'Players&gt;List'!$B29)</f>
        <v>[CHB]++[SYS]</v>
      </c>
      <c r="H963" s="1"/>
      <c r="I963" s="1"/>
      <c r="J963" s="1"/>
      <c r="K963" s="1"/>
      <c r="L963" s="1"/>
      <c r="M963" s="1"/>
      <c r="N963" s="1"/>
    </row>
    <row r="964">
      <c r="A964" s="1"/>
      <c r="B964" s="14" t="s">
        <v>6923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"/>
    </row>
    <row r="965">
      <c r="A965" s="1"/>
      <c r="B965" s="4" t="s">
        <v>6924</v>
      </c>
      <c r="D965" s="9"/>
      <c r="E965" s="17" t="s">
        <v>14</v>
      </c>
      <c r="F965" s="18" t="str">
        <f>HYPERLINK("https://youtu.be/5L3Yipw03J0?t=2m54s",'Players&gt;List'!$B11 &amp; "++" &amp; 'Players&gt;List'!$B29)</f>
        <v>[CHB]++[SYS]</v>
      </c>
      <c r="H965" s="1"/>
      <c r="I965" s="1"/>
      <c r="J965" s="1"/>
      <c r="K965" s="1"/>
      <c r="L965" s="1"/>
      <c r="M965" s="1"/>
      <c r="N965" s="1"/>
    </row>
    <row r="966">
      <c r="A966" s="1"/>
      <c r="B966" s="14" t="s">
        <v>6925</v>
      </c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"/>
    </row>
    <row r="967">
      <c r="A967" s="1"/>
      <c r="B967" s="4" t="s">
        <v>6926</v>
      </c>
      <c r="D967" s="9"/>
      <c r="E967" s="17" t="s">
        <v>14</v>
      </c>
      <c r="F967" s="18" t="str">
        <f>HYPERLINK("https://youtu.be/sC8CuKOlhwU",'Players&gt;List'!$B11 &amp; "++" &amp; 'Players&gt;List'!$B29)</f>
        <v>[CHB]++[SYS]</v>
      </c>
      <c r="H967" s="1"/>
      <c r="I967" s="1"/>
      <c r="J967" s="1"/>
      <c r="K967" s="1"/>
      <c r="L967" s="1"/>
      <c r="M967" s="1"/>
      <c r="N967" s="1"/>
    </row>
    <row r="968">
      <c r="A968" s="1"/>
      <c r="B968" s="14" t="s">
        <v>6927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"/>
    </row>
    <row r="969">
      <c r="A969" s="1"/>
      <c r="B969" s="4" t="s">
        <v>6928</v>
      </c>
      <c r="D969" s="9"/>
      <c r="E969" s="17" t="s">
        <v>14</v>
      </c>
      <c r="F969" s="18" t="str">
        <f>HYPERLINK("https://youtu.be/sC8CuKOlhwU?t=37s",'Players&gt;List'!$B11 &amp; "++" &amp; 'Players&gt;List'!$B29)</f>
        <v>[CHB]++[SYS]</v>
      </c>
      <c r="H969" s="1"/>
      <c r="I969" s="1"/>
      <c r="J969" s="1"/>
      <c r="K969" s="1"/>
      <c r="L969" s="1"/>
      <c r="M969" s="1"/>
      <c r="N969" s="1"/>
    </row>
    <row r="970">
      <c r="A970" s="1"/>
      <c r="B970" s="14" t="s">
        <v>6929</v>
      </c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"/>
    </row>
    <row r="971">
      <c r="A971" s="1"/>
      <c r="B971" s="4" t="s">
        <v>6930</v>
      </c>
      <c r="D971" s="9"/>
      <c r="E971" s="17" t="s">
        <v>14</v>
      </c>
      <c r="F971" s="18" t="str">
        <f>HYPERLINK("https://youtu.be/sC8CuKOlhwU?t=55s",'Players&gt;List'!$B11 &amp; "++" &amp; 'Players&gt;List'!$B29)</f>
        <v>[CHB]++[SYS]</v>
      </c>
      <c r="H971" s="1"/>
      <c r="I971" s="1"/>
      <c r="J971" s="1"/>
      <c r="K971" s="1"/>
      <c r="L971" s="1"/>
      <c r="M971" s="1"/>
      <c r="N971" s="1"/>
    </row>
    <row r="972">
      <c r="A972" s="1"/>
      <c r="B972" s="14" t="s">
        <v>6931</v>
      </c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"/>
    </row>
    <row r="973">
      <c r="A973" s="1"/>
      <c r="B973" s="4" t="s">
        <v>6932</v>
      </c>
      <c r="D973" s="9"/>
      <c r="E973" s="17" t="s">
        <v>14</v>
      </c>
      <c r="F973" s="18" t="str">
        <f>HYPERLINK("https://youtu.be/sC8CuKOlhwU?t=1m46s",'Players&gt;List'!$B11 &amp; "++" &amp; 'Players&gt;List'!$B29)</f>
        <v>[CHB]++[SYS]</v>
      </c>
      <c r="H973" s="1"/>
      <c r="I973" s="1"/>
      <c r="J973" s="1"/>
      <c r="K973" s="1"/>
      <c r="L973" s="1"/>
      <c r="M973" s="1"/>
      <c r="N973" s="1"/>
    </row>
    <row r="974">
      <c r="A974" s="1"/>
      <c r="B974" s="14" t="s">
        <v>6933</v>
      </c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"/>
    </row>
    <row r="975">
      <c r="A975" s="1"/>
      <c r="B975" s="4" t="s">
        <v>6934</v>
      </c>
      <c r="D975" s="9"/>
      <c r="E975" s="17" t="s">
        <v>14</v>
      </c>
      <c r="F975" s="18" t="str">
        <f>HYPERLINK("https://youtu.be/sC8CuKOlhwU?t=2m43s",'Players&gt;List'!$B11 &amp; "++" &amp; 'Players&gt;List'!$B29)</f>
        <v>[CHB]++[SYS]</v>
      </c>
      <c r="H975" s="1"/>
      <c r="I975" s="1"/>
      <c r="J975" s="1"/>
      <c r="K975" s="1"/>
      <c r="L975" s="1"/>
      <c r="M975" s="1"/>
      <c r="N975" s="1"/>
    </row>
    <row r="976">
      <c r="A976" s="1"/>
      <c r="B976" s="14" t="s">
        <v>6935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"/>
    </row>
    <row r="977">
      <c r="A977" s="1"/>
      <c r="B977" s="4" t="s">
        <v>6936</v>
      </c>
      <c r="D977" s="9"/>
      <c r="E977" s="17" t="s">
        <v>14</v>
      </c>
      <c r="F977" s="18" t="str">
        <f>HYPERLINK("https://youtu.be/D0q1yYIBPPA?t=1s",'Players&gt;List'!$B11 &amp; "++" &amp; 'Players&gt;List'!$B29)</f>
        <v>[CHB]++[SYS]</v>
      </c>
      <c r="H977" s="1"/>
      <c r="I977" s="1"/>
      <c r="J977" s="1"/>
      <c r="K977" s="1"/>
      <c r="L977" s="1"/>
      <c r="M977" s="1"/>
      <c r="N977" s="1"/>
    </row>
    <row r="978">
      <c r="A978" s="1"/>
      <c r="B978" s="14" t="s">
        <v>6937</v>
      </c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"/>
    </row>
    <row r="979">
      <c r="A979" s="1"/>
      <c r="B979" s="4" t="s">
        <v>6938</v>
      </c>
      <c r="D979" s="9"/>
      <c r="E979" s="17" t="s">
        <v>14</v>
      </c>
      <c r="F979" s="18" t="str">
        <f>HYPERLINK("https://youtu.be/D0q1yYIBPPA?t=29s",'Players&gt;List'!$B11 &amp; "++" &amp; 'Players&gt;List'!$B29)</f>
        <v>[CHB]++[SYS]</v>
      </c>
      <c r="H979" s="1"/>
      <c r="I979" s="1"/>
      <c r="J979" s="1"/>
      <c r="K979" s="1"/>
      <c r="L979" s="1"/>
      <c r="M979" s="1"/>
      <c r="N979" s="1"/>
    </row>
    <row r="980">
      <c r="A980" s="1"/>
      <c r="B980" s="14" t="s">
        <v>6939</v>
      </c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"/>
    </row>
    <row r="981">
      <c r="A981" s="1"/>
      <c r="B981" s="4" t="s">
        <v>6940</v>
      </c>
      <c r="D981" s="9"/>
      <c r="E981" s="17" t="s">
        <v>14</v>
      </c>
      <c r="F981" s="18" t="str">
        <f>HYPERLINK("https://youtu.be/D0q1yYIBPPA?t=1m41s",'Players&gt;List'!$B11 &amp; "++" &amp; 'Players&gt;List'!$B29)</f>
        <v>[CHB]++[SYS]</v>
      </c>
      <c r="H981" s="1"/>
      <c r="I981" s="1"/>
      <c r="J981" s="1"/>
      <c r="K981" s="1"/>
      <c r="L981" s="1"/>
      <c r="M981" s="1"/>
      <c r="N981" s="1"/>
    </row>
    <row r="982">
      <c r="A982" s="1"/>
      <c r="B982" s="14" t="s">
        <v>6941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"/>
    </row>
    <row r="983">
      <c r="A983" s="1"/>
      <c r="B983" s="4" t="s">
        <v>6942</v>
      </c>
      <c r="D983" s="9"/>
      <c r="E983" s="17" t="s">
        <v>14</v>
      </c>
      <c r="F983" s="18" t="str">
        <f>HYPERLINK("https://youtu.be/D0q1yYIBPPA?t=2m14s",'Players&gt;List'!$B11 &amp; "++" &amp; 'Players&gt;List'!$B29)</f>
        <v>[CHB]++[SYS]</v>
      </c>
      <c r="H983" s="1"/>
      <c r="I983" s="1"/>
      <c r="J983" s="1"/>
      <c r="K983" s="1"/>
      <c r="L983" s="1"/>
      <c r="M983" s="1"/>
      <c r="N983" s="1"/>
    </row>
    <row r="984">
      <c r="A984" s="1"/>
      <c r="B984" s="14" t="s">
        <v>6943</v>
      </c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"/>
    </row>
    <row r="985">
      <c r="A985" s="1"/>
      <c r="B985" s="4" t="s">
        <v>6944</v>
      </c>
      <c r="D985" s="9"/>
      <c r="E985" s="17" t="s">
        <v>14</v>
      </c>
      <c r="F985" s="18" t="str">
        <f>HYPERLINK("https://youtu.be/D0q1yYIBPPA?t=2m38s",'Players&gt;List'!$B11 &amp; "++" &amp; 'Players&gt;List'!$B29)</f>
        <v>[CHB]++[SYS]</v>
      </c>
      <c r="H985" s="1"/>
      <c r="I985" s="1"/>
      <c r="J985" s="1"/>
      <c r="K985" s="1"/>
      <c r="L985" s="1"/>
      <c r="M985" s="1"/>
      <c r="N985" s="1"/>
    </row>
    <row r="986">
      <c r="A986" s="1"/>
      <c r="B986" s="14" t="s">
        <v>6945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"/>
    </row>
    <row r="987">
      <c r="A987" s="1"/>
      <c r="B987" s="4" t="s">
        <v>6946</v>
      </c>
      <c r="D987" s="9"/>
      <c r="E987" s="17" t="s">
        <v>14</v>
      </c>
      <c r="F987" s="18" t="str">
        <f>HYPERLINK("https://youtu.be/J2vvkZdscl8",'Players&gt;List'!$B11 &amp; "++" &amp; 'Players&gt;List'!$B29)</f>
        <v>[CHB]++[SYS]</v>
      </c>
      <c r="H987" s="1"/>
      <c r="I987" s="1"/>
      <c r="J987" s="1"/>
      <c r="K987" s="1"/>
      <c r="L987" s="1"/>
      <c r="M987" s="1"/>
      <c r="N987" s="1"/>
    </row>
    <row r="988">
      <c r="A988" s="1"/>
      <c r="B988" s="14" t="s">
        <v>6947</v>
      </c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"/>
    </row>
    <row r="989">
      <c r="A989" s="1"/>
      <c r="B989" s="4" t="s">
        <v>6948</v>
      </c>
      <c r="D989" s="9"/>
      <c r="E989" s="17" t="s">
        <v>14</v>
      </c>
      <c r="F989" s="18" t="str">
        <f>HYPERLINK("https://youtu.be/J2vvkZdscl8?t=29s",'Players&gt;List'!$B11 &amp; "++" &amp; 'Players&gt;List'!$B29)</f>
        <v>[CHB]++[SYS]</v>
      </c>
      <c r="H989" s="1"/>
      <c r="I989" s="1"/>
      <c r="J989" s="1"/>
      <c r="K989" s="1"/>
      <c r="L989" s="1"/>
      <c r="M989" s="1"/>
      <c r="N989" s="1"/>
    </row>
    <row r="990">
      <c r="A990" s="1"/>
      <c r="B990" s="14" t="s">
        <v>6949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"/>
    </row>
    <row r="991">
      <c r="A991" s="1"/>
      <c r="B991" s="4" t="s">
        <v>6950</v>
      </c>
      <c r="D991" s="9"/>
      <c r="E991" s="17" t="s">
        <v>14</v>
      </c>
      <c r="F991" s="18" t="str">
        <f>HYPERLINK("https://youtu.be/J2vvkZdscl8?t=1m29s",'Players&gt;List'!$B11 &amp; "++" &amp; 'Players&gt;List'!$B29)</f>
        <v>[CHB]++[SYS]</v>
      </c>
      <c r="H991" s="1"/>
      <c r="I991" s="1"/>
      <c r="J991" s="1"/>
      <c r="K991" s="1"/>
      <c r="L991" s="1"/>
      <c r="M991" s="1"/>
      <c r="N991" s="1"/>
    </row>
    <row r="992">
      <c r="A992" s="1"/>
      <c r="B992" s="14" t="s">
        <v>6951</v>
      </c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"/>
    </row>
    <row r="993">
      <c r="A993" s="1"/>
      <c r="B993" s="4" t="s">
        <v>6952</v>
      </c>
      <c r="D993" s="9"/>
      <c r="E993" s="17" t="s">
        <v>14</v>
      </c>
      <c r="F993" s="18" t="str">
        <f>HYPERLINK("https://youtu.be/J2vvkZdscl8?t=2m4s",'Players&gt;List'!$B11 &amp; "++" &amp; 'Players&gt;List'!$B29)</f>
        <v>[CHB]++[SYS]</v>
      </c>
      <c r="H993" s="1"/>
      <c r="I993" s="1"/>
      <c r="J993" s="1"/>
      <c r="K993" s="1"/>
      <c r="L993" s="1"/>
      <c r="M993" s="1"/>
      <c r="N993" s="1"/>
    </row>
    <row r="994">
      <c r="A994" s="1"/>
      <c r="B994" s="14" t="s">
        <v>6953</v>
      </c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"/>
    </row>
    <row r="995">
      <c r="A995" s="1"/>
      <c r="B995" s="4" t="s">
        <v>6954</v>
      </c>
      <c r="D995" s="9"/>
      <c r="E995" s="17" t="s">
        <v>14</v>
      </c>
      <c r="F995" s="18" t="str">
        <f>HYPERLINK("https://www.youtube.com/watch?v=FcyTIfbP3KA&amp;list=PLbU6uWaIKemqNvTeRxK-Ay6PRg9iwCKVi&amp;index=188&amp;t=0s",'Players&gt;List'!$B20 &amp; "++" &amp; 'Players&gt;List'!$B19)</f>
        <v>[KOS]++[HIT]</v>
      </c>
      <c r="H995" s="18" t="str">
        <f>HYPERLINK("https://youtu.be/J2vvkZdscl8?t=2m12s",'Players&gt;List'!$B11 &amp; "++" &amp; 'Players&gt;List'!$B29)</f>
        <v>[CHB]++[SYS]</v>
      </c>
      <c r="J995" s="1"/>
      <c r="K995" s="1"/>
      <c r="L995" s="1"/>
      <c r="M995" s="1"/>
      <c r="N995" s="1"/>
    </row>
    <row r="996">
      <c r="A996" s="1"/>
      <c r="B996" s="14" t="s">
        <v>6955</v>
      </c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"/>
    </row>
    <row r="997">
      <c r="A997" s="1"/>
      <c r="B997" s="4" t="s">
        <v>6956</v>
      </c>
      <c r="D997" s="9"/>
      <c r="E997" s="17" t="s">
        <v>14</v>
      </c>
      <c r="F997" s="18" t="str">
        <f>HYPERLINK("https://youtu.be/3RCHM1Sja5Y?t=1",'Players&gt;List'!$B11 &amp; "++" &amp; 'Players&gt;List'!$B29)</f>
        <v>[CHB]++[SYS]</v>
      </c>
      <c r="H997" s="1"/>
      <c r="I997" s="1"/>
      <c r="J997" s="1"/>
      <c r="K997" s="1"/>
      <c r="L997" s="1"/>
      <c r="M997" s="1"/>
      <c r="N997" s="1"/>
    </row>
    <row r="998">
      <c r="A998" s="1"/>
      <c r="B998" s="14" t="s">
        <v>6957</v>
      </c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"/>
    </row>
    <row r="999">
      <c r="A999" s="1"/>
      <c r="B999" s="4" t="s">
        <v>6958</v>
      </c>
      <c r="D999" s="9"/>
      <c r="E999" s="17" t="s">
        <v>14</v>
      </c>
      <c r="F999" s="18" t="str">
        <f>HYPERLINK("https://www.youtube.com/watch?v=xpXxP8g49bk&amp;list=PLbU6uWaIKemqNvTeRxK-Ay6PRg9iwCKVi&amp;index=187&amp;t=0s",'Players&gt;List'!$B20 &amp; "++" &amp; 'Players&gt;List'!$B19)</f>
        <v>[KOS]++[HIT]</v>
      </c>
      <c r="H999" s="18" t="str">
        <f>HYPERLINK("https://youtu.be/3RCHM1Sja5Y?t=31",'Players&gt;List'!$B11 &amp; "++" &amp; 'Players&gt;List'!$B29)</f>
        <v>[CHB]++[SYS]</v>
      </c>
      <c r="J999" s="1"/>
      <c r="K999" s="1"/>
      <c r="L999" s="1"/>
      <c r="M999" s="1"/>
      <c r="N999" s="1"/>
    </row>
    <row r="1000">
      <c r="A1000" s="1"/>
      <c r="B1000" s="14" t="s">
        <v>6959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"/>
    </row>
    <row r="1001">
      <c r="A1001" s="1"/>
      <c r="B1001" s="4" t="s">
        <v>6960</v>
      </c>
      <c r="D1001" s="9"/>
      <c r="E1001" s="17" t="s">
        <v>14</v>
      </c>
      <c r="F1001" s="18" t="str">
        <f>HYPERLINK("https://youtu.be/3RCHM1Sja5Y?t=43",'Players&gt;List'!$B11 &amp; "++" &amp; 'Players&gt;List'!$B29)</f>
        <v>[CHB]++[SYS]</v>
      </c>
      <c r="H1001" s="1"/>
      <c r="I1001" s="1"/>
      <c r="J1001" s="1"/>
      <c r="K1001" s="1"/>
      <c r="L1001" s="1"/>
      <c r="M1001" s="1"/>
      <c r="N1001" s="1"/>
    </row>
    <row r="1002">
      <c r="A1002" s="1"/>
      <c r="B1002" s="14" t="s">
        <v>6961</v>
      </c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"/>
    </row>
    <row r="1003">
      <c r="A1003" s="1"/>
      <c r="B1003" s="4" t="s">
        <v>6962</v>
      </c>
      <c r="D1003" s="9"/>
      <c r="E1003" s="17" t="s">
        <v>14</v>
      </c>
      <c r="F1003" s="18" t="str">
        <f>HYPERLINK("https://youtu.be/3RCHM1Sja5Y?t=120",'Players&gt;List'!$B11 &amp; "++" &amp; 'Players&gt;List'!$B29)</f>
        <v>[CHB]++[SYS]</v>
      </c>
      <c r="H1003" s="1"/>
      <c r="I1003" s="1"/>
      <c r="J1003" s="1"/>
      <c r="K1003" s="1"/>
      <c r="L1003" s="1"/>
      <c r="M1003" s="1"/>
      <c r="N1003" s="1"/>
    </row>
    <row r="1004">
      <c r="A1004" s="1"/>
      <c r="B1004" s="14" t="s">
        <v>6963</v>
      </c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"/>
    </row>
    <row r="1005">
      <c r="A1005" s="1"/>
      <c r="B1005" s="4" t="s">
        <v>6964</v>
      </c>
      <c r="D1005" s="9"/>
      <c r="E1005" s="17" t="s">
        <v>14</v>
      </c>
      <c r="F1005" s="18" t="str">
        <f>HYPERLINK("https://www.youtube.com/watch?v=i0xOpbsZQC8&amp;list=PLbU6uWaIKemqNvTeRxK-Ay6PRg9iwCKVi&amp;index=183&amp;t=0s",'Players&gt;List'!$B20 &amp; "++" &amp; 'Players&gt;List'!$B19)</f>
        <v>[KOS]++[HIT]</v>
      </c>
      <c r="H1005" s="18" t="str">
        <f>HYPERLINK("https://youtu.be/3RCHM1Sja5Y?t=172",'Players&gt;List'!$B11 &amp; "++" &amp; 'Players&gt;List'!$B29)</f>
        <v>[CHB]++[SYS]</v>
      </c>
      <c r="J1005" s="1"/>
      <c r="K1005" s="1"/>
      <c r="L1005" s="1"/>
      <c r="M1005" s="1"/>
      <c r="N1005" s="1"/>
    </row>
    <row r="1006">
      <c r="A1006" s="1"/>
      <c r="B1006" s="14" t="s">
        <v>6965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"/>
    </row>
    <row r="1007">
      <c r="A1007" s="1"/>
      <c r="B1007" s="4" t="s">
        <v>6966</v>
      </c>
      <c r="D1007" s="9"/>
      <c r="E1007" s="17" t="s">
        <v>14</v>
      </c>
      <c r="F1007" s="18" t="str">
        <f>HYPERLINK("https://youtu.be/JQjjPP7hMfk",'Players&gt;List'!$B11 &amp; "++" &amp; 'Players&gt;List'!$B29)</f>
        <v>[CHB]++[SYS]</v>
      </c>
      <c r="H1007" s="1"/>
      <c r="I1007" s="1"/>
      <c r="J1007" s="1"/>
      <c r="K1007" s="1"/>
      <c r="L1007" s="1"/>
      <c r="M1007" s="1"/>
      <c r="N1007" s="1"/>
    </row>
    <row r="1008">
      <c r="A1008" s="1"/>
      <c r="B1008" s="14" t="s">
        <v>6967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"/>
    </row>
    <row r="1009">
      <c r="A1009" s="1"/>
      <c r="B1009" s="4" t="s">
        <v>6968</v>
      </c>
      <c r="D1009" s="9"/>
      <c r="E1009" s="17" t="s">
        <v>14</v>
      </c>
      <c r="F1009" s="18" t="str">
        <f>HYPERLINK("https://youtu.be/JQjjPP7hMfk?t=45s",'Players&gt;List'!$B11 &amp; "++" &amp; 'Players&gt;List'!$B29)</f>
        <v>[CHB]++[SYS]</v>
      </c>
      <c r="H1009" s="1"/>
      <c r="I1009" s="1"/>
      <c r="J1009" s="1"/>
      <c r="K1009" s="1"/>
      <c r="L1009" s="1"/>
      <c r="M1009" s="1"/>
      <c r="N1009" s="1"/>
    </row>
    <row r="1010">
      <c r="A1010" s="1"/>
      <c r="B1010" s="14" t="s">
        <v>6969</v>
      </c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"/>
    </row>
    <row r="1011">
      <c r="A1011" s="1"/>
      <c r="B1011" s="4" t="s">
        <v>6970</v>
      </c>
      <c r="D1011" s="9"/>
      <c r="E1011" s="17" t="s">
        <v>14</v>
      </c>
      <c r="F1011" s="18" t="str">
        <f>HYPERLINK("https://youtu.be/JQjjPP7hMfk?t=1m45s",'Players&gt;List'!$B11 &amp; "++" &amp; 'Players&gt;List'!$B29)</f>
        <v>[CHB]++[SYS]</v>
      </c>
      <c r="H1011" s="1"/>
      <c r="I1011" s="1"/>
      <c r="J1011" s="1"/>
      <c r="K1011" s="1"/>
      <c r="L1011" s="1"/>
      <c r="M1011" s="1"/>
      <c r="N1011" s="1"/>
    </row>
    <row r="1012">
      <c r="A1012" s="1"/>
      <c r="B1012" s="14" t="s">
        <v>6971</v>
      </c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"/>
    </row>
    <row r="1013">
      <c r="A1013" s="1"/>
      <c r="B1013" s="4" t="s">
        <v>6972</v>
      </c>
      <c r="D1013" s="9"/>
      <c r="E1013" s="17" t="s">
        <v>14</v>
      </c>
      <c r="F1013" s="18" t="str">
        <f>HYPERLINK("https://youtu.be/JQjjPP7hMfk?t=2m6s",'Players&gt;List'!$B11 &amp; "++" &amp; 'Players&gt;List'!$B29)</f>
        <v>[CHB]++[SYS]</v>
      </c>
      <c r="H1013" s="1"/>
      <c r="I1013" s="1"/>
      <c r="J1013" s="1"/>
      <c r="K1013" s="1"/>
      <c r="L1013" s="1"/>
      <c r="M1013" s="1"/>
      <c r="N1013" s="1"/>
    </row>
    <row r="1014">
      <c r="A1014" s="1"/>
      <c r="B1014" s="14" t="s">
        <v>6973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"/>
    </row>
    <row r="1015">
      <c r="A1015" s="1"/>
      <c r="B1015" s="4" t="s">
        <v>6974</v>
      </c>
      <c r="D1015" s="9"/>
      <c r="E1015" s="17" t="s">
        <v>14</v>
      </c>
      <c r="F1015" s="18" t="str">
        <f>HYPERLINK("https://youtu.be/JQjjPP7hMfk?t=2m41s",'Players&gt;List'!$B11 &amp; "++" &amp; 'Players&gt;List'!$B29)</f>
        <v>[CHB]++[SYS]</v>
      </c>
      <c r="H1015" s="1"/>
      <c r="I1015" s="1"/>
      <c r="J1015" s="1"/>
      <c r="K1015" s="1"/>
      <c r="L1015" s="1"/>
      <c r="M1015" s="1"/>
      <c r="N1015" s="1"/>
    </row>
    <row r="1016">
      <c r="A1016" s="1"/>
      <c r="B1016" s="14" t="s">
        <v>6975</v>
      </c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"/>
    </row>
    <row r="1017">
      <c r="A1017" s="1"/>
      <c r="B1017" s="4" t="s">
        <v>6976</v>
      </c>
      <c r="D1017" s="9"/>
      <c r="E1017" s="17" t="s">
        <v>14</v>
      </c>
      <c r="F1017" s="18" t="str">
        <f>HYPERLINK("https://youtu.be/ftmX3hrOlns",'Players&gt;List'!$B11 &amp; "++" &amp; 'Players&gt;List'!$B29)</f>
        <v>[CHB]++[SYS]</v>
      </c>
      <c r="H1017" s="1"/>
      <c r="I1017" s="1"/>
      <c r="J1017" s="1"/>
      <c r="K1017" s="1"/>
      <c r="L1017" s="1"/>
      <c r="M1017" s="1"/>
      <c r="N1017" s="1"/>
    </row>
    <row r="1018">
      <c r="A1018" s="1"/>
      <c r="B1018" s="14" t="s">
        <v>6977</v>
      </c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"/>
    </row>
    <row r="1019">
      <c r="A1019" s="1"/>
      <c r="B1019" s="4" t="s">
        <v>6978</v>
      </c>
      <c r="D1019" s="9"/>
      <c r="E1019" s="17" t="s">
        <v>14</v>
      </c>
      <c r="F1019" s="18" t="str">
        <f>HYPERLINK("https://youtu.be/ftmX3hrOlns?t=42s",'Players&gt;List'!$B11 &amp; "++" &amp; 'Players&gt;List'!$B29)</f>
        <v>[CHB]++[SYS]</v>
      </c>
      <c r="H1019" s="1"/>
      <c r="I1019" s="1"/>
      <c r="J1019" s="1"/>
      <c r="K1019" s="1"/>
      <c r="L1019" s="1"/>
      <c r="M1019" s="1"/>
      <c r="N1019" s="1"/>
    </row>
    <row r="1020">
      <c r="A1020" s="1"/>
      <c r="B1020" s="14" t="s">
        <v>6979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"/>
    </row>
    <row r="1021">
      <c r="A1021" s="1"/>
      <c r="B1021" s="4" t="s">
        <v>6980</v>
      </c>
      <c r="D1021" s="9"/>
      <c r="E1021" s="17" t="s">
        <v>14</v>
      </c>
      <c r="F1021" s="18" t="str">
        <f>HYPERLINK("https://youtu.be/ftmX3hrOlns?t=1m26s",'Players&gt;List'!$B11 &amp; "++" &amp; 'Players&gt;List'!$B29)</f>
        <v>[CHB]++[SYS]</v>
      </c>
      <c r="H1021" s="1"/>
      <c r="I1021" s="1"/>
      <c r="J1021" s="1"/>
      <c r="K1021" s="1"/>
      <c r="L1021" s="1"/>
      <c r="M1021" s="1"/>
      <c r="N1021" s="1"/>
    </row>
    <row r="1022">
      <c r="A1022" s="1"/>
      <c r="B1022" s="14" t="s">
        <v>6981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"/>
    </row>
    <row r="1023">
      <c r="A1023" s="1"/>
      <c r="B1023" s="4" t="s">
        <v>6982</v>
      </c>
      <c r="D1023" s="9"/>
      <c r="E1023" s="17" t="s">
        <v>14</v>
      </c>
      <c r="F1023" s="18" t="str">
        <f>HYPERLINK("https://youtu.be/ftmX3hrOlns?t=2m",'Players&gt;List'!$B11 &amp; "++" &amp; 'Players&gt;List'!$B29)</f>
        <v>[CHB]++[SYS]</v>
      </c>
      <c r="H1023" s="1"/>
      <c r="I1023" s="1"/>
      <c r="J1023" s="1"/>
      <c r="K1023" s="1"/>
      <c r="L1023" s="1"/>
      <c r="M1023" s="1"/>
      <c r="N1023" s="1"/>
    </row>
    <row r="1024">
      <c r="A1024" s="1"/>
      <c r="B1024" s="14" t="s">
        <v>6983</v>
      </c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"/>
    </row>
    <row r="1025">
      <c r="A1025" s="1"/>
      <c r="B1025" s="4" t="s">
        <v>6984</v>
      </c>
      <c r="D1025" s="9"/>
      <c r="E1025" s="17" t="s">
        <v>14</v>
      </c>
      <c r="F1025" s="18" t="str">
        <f>HYPERLINK("https://www.youtube.com/watch?v=27nf2SKPPAo&amp;list=PLbU6uWaIKemqNvTeRxK-Ay6PRg9iwCKVi&amp;index=189&amp;t=0s",'Players&gt;List'!$B20 &amp; "++" &amp; 'Players&gt;List'!$B19)</f>
        <v>[KOS]++[HIT]</v>
      </c>
      <c r="H1025" s="18" t="str">
        <f>HYPERLINK("https://youtu.be/ftmX3hrOlns?t=2m15s",'Players&gt;List'!$B11 &amp; "++" &amp; 'Players&gt;List'!$B29)</f>
        <v>[CHB]++[SYS]</v>
      </c>
      <c r="J1025" s="1"/>
      <c r="K1025" s="1"/>
      <c r="L1025" s="1"/>
      <c r="M1025" s="1"/>
      <c r="N1025" s="1"/>
    </row>
    <row r="1026">
      <c r="A1026" s="1"/>
      <c r="B1026" s="14" t="s">
        <v>6985</v>
      </c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"/>
    </row>
    <row r="1027">
      <c r="A1027" s="1"/>
      <c r="B1027" s="4" t="s">
        <v>6986</v>
      </c>
      <c r="D1027" s="9"/>
      <c r="E1027" s="17" t="s">
        <v>14</v>
      </c>
      <c r="F1027" s="18" t="str">
        <f>HYPERLINK("https://youtu.be/48l4Nz5hGSs",'Players&gt;List'!$B11 &amp; "++" &amp; 'Players&gt;List'!$B29)</f>
        <v>[CHB]++[SYS]</v>
      </c>
      <c r="H1027" s="1"/>
      <c r="I1027" s="1"/>
      <c r="J1027" s="1"/>
      <c r="K1027" s="1"/>
      <c r="L1027" s="1"/>
      <c r="M1027" s="1"/>
      <c r="N1027" s="1"/>
    </row>
    <row r="1028">
      <c r="A1028" s="1"/>
      <c r="B1028" s="14" t="s">
        <v>6987</v>
      </c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"/>
    </row>
    <row r="1029">
      <c r="A1029" s="1"/>
      <c r="B1029" s="4" t="s">
        <v>6988</v>
      </c>
      <c r="D1029" s="9"/>
      <c r="E1029" s="17" t="s">
        <v>14</v>
      </c>
      <c r="F1029" s="18" t="str">
        <f>HYPERLINK("https://youtu.be/48l4Nz5hGSs?t=31s",'Players&gt;List'!$B11 &amp; "++" &amp; 'Players&gt;List'!$B29)</f>
        <v>[CHB]++[SYS]</v>
      </c>
      <c r="H1029" s="1"/>
      <c r="I1029" s="1"/>
      <c r="J1029" s="1"/>
      <c r="K1029" s="1"/>
      <c r="L1029" s="1"/>
      <c r="M1029" s="1"/>
      <c r="N1029" s="1"/>
    </row>
    <row r="1030">
      <c r="A1030" s="1"/>
      <c r="B1030" s="14" t="s">
        <v>6989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"/>
    </row>
    <row r="1031">
      <c r="A1031" s="1"/>
      <c r="B1031" s="4" t="s">
        <v>6990</v>
      </c>
      <c r="D1031" s="9"/>
      <c r="E1031" s="17" t="s">
        <v>14</v>
      </c>
      <c r="F1031" s="18" t="str">
        <f>HYPERLINK("https://youtu.be/48l4Nz5hGSs?t=48s",'Players&gt;List'!$B11 &amp; "++" &amp; 'Players&gt;List'!$B29)</f>
        <v>[CHB]++[SYS]</v>
      </c>
      <c r="H1031" s="1"/>
      <c r="I1031" s="1"/>
      <c r="J1031" s="1"/>
      <c r="K1031" s="1"/>
      <c r="L1031" s="1"/>
      <c r="M1031" s="1"/>
      <c r="N1031" s="1"/>
    </row>
    <row r="1032">
      <c r="A1032" s="1"/>
      <c r="B1032" s="14" t="s">
        <v>6991</v>
      </c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"/>
    </row>
    <row r="1033">
      <c r="A1033" s="1"/>
      <c r="B1033" s="4" t="s">
        <v>6992</v>
      </c>
      <c r="D1033" s="9"/>
      <c r="E1033" s="17" t="s">
        <v>14</v>
      </c>
      <c r="F1033" s="18" t="str">
        <f>HYPERLINK("https://youtu.be/48l4Nz5hGSs?t=1m36s",'Players&gt;List'!$B11 &amp; "++" &amp; 'Players&gt;List'!$B29)</f>
        <v>[CHB]++[SYS]</v>
      </c>
      <c r="H1033" s="1"/>
      <c r="I1033" s="1"/>
      <c r="J1033" s="1"/>
      <c r="K1033" s="1"/>
      <c r="L1033" s="1"/>
      <c r="M1033" s="1"/>
      <c r="N1033" s="1"/>
    </row>
    <row r="1034">
      <c r="A1034" s="1"/>
      <c r="B1034" s="14" t="s">
        <v>6993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"/>
    </row>
    <row r="1035">
      <c r="A1035" s="1"/>
      <c r="B1035" s="4" t="s">
        <v>6994</v>
      </c>
      <c r="D1035" s="9"/>
      <c r="E1035" s="17" t="s">
        <v>14</v>
      </c>
      <c r="F1035" s="18" t="str">
        <f>HYPERLINK("https://youtu.be/48l4Nz5hGSs?t=2m20s",'Players&gt;List'!$B11 &amp; "++" &amp; 'Players&gt;List'!$B29)</f>
        <v>[CHB]++[SYS]</v>
      </c>
      <c r="H1035" s="1"/>
      <c r="I1035" s="1"/>
      <c r="J1035" s="1"/>
      <c r="K1035" s="1"/>
      <c r="L1035" s="1"/>
      <c r="M1035" s="1"/>
      <c r="N1035" s="1"/>
    </row>
    <row r="1036">
      <c r="A1036" s="1"/>
      <c r="B1036" s="14" t="s">
        <v>6995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"/>
    </row>
    <row r="1037">
      <c r="A1037" s="1"/>
      <c r="B1037" s="4" t="s">
        <v>6996</v>
      </c>
      <c r="D1037" s="9"/>
      <c r="E1037" s="17" t="s">
        <v>14</v>
      </c>
      <c r="F1037" s="18" t="str">
        <f>HYPERLINK("https://youtu.be/SznlxLabhAg?t=1s",'Players&gt;List'!$B11 &amp; "++" &amp; 'Players&gt;List'!$B29)</f>
        <v>[CHB]++[SYS]</v>
      </c>
      <c r="H1037" s="1"/>
      <c r="I1037" s="1"/>
      <c r="J1037" s="1"/>
      <c r="K1037" s="1"/>
      <c r="L1037" s="1"/>
      <c r="M1037" s="1"/>
      <c r="N1037" s="1"/>
    </row>
    <row r="1038">
      <c r="A1038" s="1"/>
      <c r="B1038" s="14" t="s">
        <v>6997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"/>
    </row>
    <row r="1039">
      <c r="A1039" s="1"/>
      <c r="B1039" s="4" t="s">
        <v>6998</v>
      </c>
      <c r="D1039" s="9"/>
      <c r="E1039" s="17" t="s">
        <v>14</v>
      </c>
      <c r="F1039" s="18" t="str">
        <f>HYPERLINK("https://youtu.be/SznlxLabhAg?t=54s",'Players&gt;List'!$B11 &amp; "++" &amp; 'Players&gt;List'!$B29)</f>
        <v>[CHB]++[SYS]</v>
      </c>
      <c r="H1039" s="1"/>
      <c r="I1039" s="1"/>
      <c r="J1039" s="1"/>
      <c r="K1039" s="1"/>
      <c r="L1039" s="1"/>
      <c r="M1039" s="1"/>
      <c r="N1039" s="1"/>
    </row>
    <row r="1040">
      <c r="A1040" s="1"/>
      <c r="B1040" s="14" t="s">
        <v>6999</v>
      </c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"/>
    </row>
    <row r="1041">
      <c r="A1041" s="1"/>
      <c r="B1041" s="4" t="s">
        <v>7000</v>
      </c>
      <c r="D1041" s="9"/>
      <c r="E1041" s="17" t="s">
        <v>14</v>
      </c>
      <c r="F1041" s="18" t="str">
        <f>HYPERLINK("https://youtu.be/SznlxLabhAg?t=1m36s",'Players&gt;List'!$B11 &amp; "++" &amp; 'Players&gt;List'!$B29)</f>
        <v>[CHB]++[SYS]</v>
      </c>
      <c r="H1041" s="1"/>
      <c r="I1041" s="1"/>
      <c r="J1041" s="1"/>
      <c r="K1041" s="1"/>
      <c r="L1041" s="1"/>
      <c r="M1041" s="1"/>
      <c r="N1041" s="1"/>
    </row>
    <row r="1042">
      <c r="A1042" s="1"/>
      <c r="B1042" s="14" t="s">
        <v>7001</v>
      </c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"/>
    </row>
    <row r="1043">
      <c r="A1043" s="1"/>
      <c r="B1043" s="4" t="s">
        <v>7002</v>
      </c>
      <c r="D1043" s="9"/>
      <c r="E1043" s="17" t="s">
        <v>14</v>
      </c>
      <c r="F1043" s="18" t="str">
        <f>HYPERLINK("https://youtu.be/SznlxLabhAg?t=2m1s",'Players&gt;List'!$B11 &amp; "++" &amp; 'Players&gt;List'!$B29)</f>
        <v>[CHB]++[SYS]</v>
      </c>
      <c r="H1043" s="1"/>
      <c r="I1043" s="1"/>
      <c r="J1043" s="1"/>
      <c r="K1043" s="1"/>
      <c r="L1043" s="1"/>
      <c r="M1043" s="1"/>
      <c r="N1043" s="1"/>
    </row>
    <row r="1044">
      <c r="A1044" s="1"/>
      <c r="B1044" s="14" t="s">
        <v>7003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"/>
    </row>
    <row r="1045">
      <c r="A1045" s="1"/>
      <c r="B1045" s="4" t="s">
        <v>7004</v>
      </c>
      <c r="D1045" s="9"/>
      <c r="E1045" s="17" t="s">
        <v>14</v>
      </c>
      <c r="F1045" s="18" t="str">
        <f>HYPERLINK("https://youtu.be/SznlxLabhAg?t=2m30s",'Players&gt;List'!$B11 &amp; "++" &amp; 'Players&gt;List'!$B29)</f>
        <v>[CHB]++[SYS]</v>
      </c>
      <c r="H1045" s="1"/>
      <c r="I1045" s="1"/>
      <c r="J1045" s="1"/>
      <c r="K1045" s="1"/>
      <c r="L1045" s="1"/>
      <c r="M1045" s="1"/>
      <c r="N1045" s="1"/>
    </row>
    <row r="1046">
      <c r="A1046" s="1"/>
      <c r="B1046" s="14" t="s">
        <v>7005</v>
      </c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"/>
    </row>
    <row r="1047">
      <c r="A1047" s="1"/>
      <c r="B1047" s="4" t="s">
        <v>7006</v>
      </c>
      <c r="D1047" s="9"/>
      <c r="E1047" s="17" t="s">
        <v>14</v>
      </c>
      <c r="F1047" s="18" t="str">
        <f>HYPERLINK("https://youtu.be/BctdHWigoTI?t=1",'Players&gt;List'!$B11 &amp; "++" &amp; 'Players&gt;List'!$B29)</f>
        <v>[CHB]++[SYS]</v>
      </c>
      <c r="H1047" s="1"/>
      <c r="I1047" s="1"/>
      <c r="J1047" s="1"/>
      <c r="K1047" s="1"/>
      <c r="L1047" s="1"/>
      <c r="M1047" s="1"/>
      <c r="N1047" s="1"/>
    </row>
    <row r="1048">
      <c r="A1048" s="1"/>
      <c r="B1048" s="14" t="s">
        <v>7007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"/>
    </row>
    <row r="1049">
      <c r="A1049" s="1"/>
      <c r="B1049" s="4" t="s">
        <v>7008</v>
      </c>
      <c r="D1049" s="9"/>
      <c r="E1049" s="17" t="s">
        <v>14</v>
      </c>
      <c r="F1049" s="18" t="str">
        <f>HYPERLINK("https://youtu.be/BctdHWigoTI?t=54",'Players&gt;List'!$B11 &amp; "++" &amp; 'Players&gt;List'!$B29)</f>
        <v>[CHB]++[SYS]</v>
      </c>
      <c r="H1049" s="1"/>
      <c r="I1049" s="1"/>
      <c r="J1049" s="1"/>
      <c r="K1049" s="1"/>
      <c r="L1049" s="1"/>
      <c r="M1049" s="1"/>
      <c r="N1049" s="1"/>
    </row>
    <row r="1050">
      <c r="A1050" s="1"/>
      <c r="B1050" s="14" t="s">
        <v>7009</v>
      </c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"/>
    </row>
    <row r="1051">
      <c r="A1051" s="1"/>
      <c r="B1051" s="4" t="s">
        <v>7010</v>
      </c>
      <c r="D1051" s="9"/>
      <c r="E1051" s="17" t="s">
        <v>14</v>
      </c>
      <c r="F1051" s="18" t="str">
        <f>HYPERLINK("https://youtu.be/BctdHWigoTI?t=87",'Players&gt;List'!$B11 &amp; "++" &amp; 'Players&gt;List'!$B29)</f>
        <v>[CHB]++[SYS]</v>
      </c>
      <c r="H1051" s="1"/>
      <c r="I1051" s="1"/>
      <c r="J1051" s="1"/>
      <c r="K1051" s="1"/>
      <c r="L1051" s="1"/>
      <c r="M1051" s="1"/>
      <c r="N1051" s="1"/>
    </row>
    <row r="1052">
      <c r="A1052" s="1"/>
      <c r="B1052" s="14" t="s">
        <v>7011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"/>
    </row>
    <row r="1053">
      <c r="A1053" s="1"/>
      <c r="B1053" s="4" t="s">
        <v>7012</v>
      </c>
      <c r="D1053" s="9"/>
      <c r="E1053" s="17" t="s">
        <v>14</v>
      </c>
      <c r="F1053" s="18" t="str">
        <f>HYPERLINK("https://youtu.be/BctdHWigoTI?t=118",'Players&gt;List'!$B11 &amp; "++" &amp; 'Players&gt;List'!$B29)</f>
        <v>[CHB]++[SYS]</v>
      </c>
      <c r="H1053" s="1"/>
      <c r="I1053" s="1"/>
      <c r="J1053" s="1"/>
      <c r="K1053" s="1"/>
      <c r="L1053" s="1"/>
      <c r="M1053" s="1"/>
      <c r="N1053" s="1"/>
    </row>
    <row r="1054">
      <c r="A1054" s="1"/>
      <c r="B1054" s="14" t="s">
        <v>7013</v>
      </c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"/>
    </row>
    <row r="1055">
      <c r="A1055" s="1"/>
      <c r="B1055" s="4" t="s">
        <v>7014</v>
      </c>
      <c r="D1055" s="9"/>
      <c r="E1055" s="17" t="s">
        <v>14</v>
      </c>
      <c r="F1055" s="18" t="str">
        <f>HYPERLINK("https://www.youtube.com/watch?v=YiS_-9s5Fu8&amp;list=PLbU6uWaIKemqNvTeRxK-Ay6PRg9iwCKVi&amp;index=190&amp;t=0s",'Players&gt;List'!$B20 &amp; "++" &amp; 'Players&gt;List'!$B19)</f>
        <v>[KOS]++[HIT]</v>
      </c>
      <c r="H1055" s="18" t="str">
        <f>HYPERLINK("https://youtu.be/BctdHWigoTI?t=132",'Players&gt;List'!$B11 &amp; "++" &amp; 'Players&gt;List'!$B29)</f>
        <v>[CHB]++[SYS]</v>
      </c>
      <c r="J1055" s="1"/>
      <c r="K1055" s="1"/>
      <c r="L1055" s="1"/>
      <c r="M1055" s="1"/>
      <c r="N1055" s="1"/>
    </row>
    <row r="1056">
      <c r="A1056" s="1"/>
      <c r="B1056" s="14" t="s">
        <v>7015</v>
      </c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"/>
    </row>
    <row r="1057">
      <c r="A1057" s="1"/>
      <c r="B1057" s="4" t="s">
        <v>7016</v>
      </c>
      <c r="D1057" s="9"/>
      <c r="E1057" s="17" t="s">
        <v>14</v>
      </c>
      <c r="F1057" s="18" t="str">
        <f>HYPERLINK("https://youtu.be/fL_iWOMVjwk",'Players&gt;List'!$B11 &amp; "++" &amp; 'Players&gt;List'!$B29)</f>
        <v>[CHB]++[SYS]</v>
      </c>
      <c r="H1057" s="1"/>
      <c r="I1057" s="1"/>
      <c r="J1057" s="1"/>
      <c r="K1057" s="1"/>
      <c r="L1057" s="1"/>
      <c r="M1057" s="1"/>
      <c r="N1057" s="1"/>
    </row>
    <row r="1058">
      <c r="A1058" s="1"/>
      <c r="B1058" s="14" t="s">
        <v>7017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"/>
    </row>
    <row r="1059">
      <c r="A1059" s="1"/>
      <c r="B1059" s="4" t="s">
        <v>7018</v>
      </c>
      <c r="D1059" s="9"/>
      <c r="E1059" s="17" t="s">
        <v>14</v>
      </c>
      <c r="F1059" s="18" t="str">
        <f>HYPERLINK("https://youtu.be/fL_iWOMVjwk?t=9s",'Players&gt;List'!$B11 &amp; "++" &amp; 'Players&gt;List'!$B29)</f>
        <v>[CHB]++[SYS]</v>
      </c>
      <c r="H1059" s="1"/>
      <c r="I1059" s="1"/>
      <c r="J1059" s="1"/>
      <c r="K1059" s="1"/>
      <c r="L1059" s="1"/>
      <c r="M1059" s="1"/>
      <c r="N1059" s="1"/>
    </row>
    <row r="1060">
      <c r="A1060" s="1"/>
      <c r="B1060" s="14" t="s">
        <v>7019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"/>
    </row>
    <row r="1061">
      <c r="A1061" s="1"/>
      <c r="B1061" s="4" t="s">
        <v>7020</v>
      </c>
      <c r="D1061" s="9"/>
      <c r="E1061" s="17" t="s">
        <v>14</v>
      </c>
      <c r="F1061" s="18" t="str">
        <f>HYPERLINK("https://youtu.be/fL_iWOMVjwk?t=45s",'Players&gt;List'!$B11 &amp; "++" &amp; 'Players&gt;List'!$B29)</f>
        <v>[CHB]++[SYS]</v>
      </c>
      <c r="H1061" s="1"/>
      <c r="I1061" s="1"/>
      <c r="J1061" s="1"/>
      <c r="K1061" s="1"/>
      <c r="L1061" s="1"/>
      <c r="M1061" s="1"/>
      <c r="N1061" s="1"/>
    </row>
    <row r="1062">
      <c r="A1062" s="1"/>
      <c r="B1062" s="14" t="s">
        <v>7021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"/>
    </row>
    <row r="1063">
      <c r="A1063" s="1"/>
      <c r="B1063" s="4" t="s">
        <v>7022</v>
      </c>
      <c r="D1063" s="9"/>
      <c r="E1063" s="17" t="s">
        <v>14</v>
      </c>
      <c r="F1063" s="18" t="str">
        <f>HYPERLINK("https://youtu.be/fL_iWOMVjwk?t=2m",'Players&gt;List'!$B11 &amp; "++" &amp; 'Players&gt;List'!$B29)</f>
        <v>[CHB]++[SYS]</v>
      </c>
      <c r="H1063" s="1"/>
      <c r="I1063" s="1"/>
      <c r="J1063" s="1"/>
      <c r="K1063" s="1"/>
      <c r="L1063" s="1"/>
      <c r="M1063" s="1"/>
      <c r="N1063" s="1"/>
    </row>
    <row r="1064">
      <c r="A1064" s="1"/>
      <c r="B1064" s="14" t="s">
        <v>7023</v>
      </c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"/>
    </row>
    <row r="1065">
      <c r="A1065" s="1"/>
      <c r="B1065" s="4" t="s">
        <v>7024</v>
      </c>
      <c r="D1065" s="9"/>
      <c r="E1065" s="17" t="s">
        <v>14</v>
      </c>
      <c r="F1065" s="18" t="str">
        <f>HYPERLINK("https://www.youtube.com/watch?v=YxiSzy9sj3Q&amp;list=PLbU6uWaIKemqNvTeRxK-Ay6PRg9iwCKVi&amp;index=191&amp;t=0s",'Players&gt;List'!$B20 &amp; "++" &amp; 'Players&gt;List'!$B19)</f>
        <v>[KOS]++[HIT]</v>
      </c>
      <c r="H1065" s="18" t="str">
        <f>HYPERLINK("https://youtu.be/fL_iWOMVjwk?t=2m45s",'Players&gt;List'!$B11 &amp; "++" &amp; 'Players&gt;List'!$B29)</f>
        <v>[CHB]++[SYS]</v>
      </c>
      <c r="J1065" s="1"/>
      <c r="K1065" s="1"/>
      <c r="L1065" s="1"/>
      <c r="M1065" s="1"/>
      <c r="N1065" s="1"/>
    </row>
    <row r="1066">
      <c r="A1066" s="1"/>
      <c r="B1066" s="14" t="s">
        <v>7025</v>
      </c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"/>
    </row>
    <row r="1067">
      <c r="A1067" s="1"/>
      <c r="B1067" s="4" t="s">
        <v>7026</v>
      </c>
      <c r="D1067" s="9"/>
      <c r="E1067" s="17" t="s">
        <v>14</v>
      </c>
      <c r="F1067" s="18" t="str">
        <f>HYPERLINK("https://youtu.be/WdqV-vm1Ft0?t=3s",'Players&gt;List'!$B11 &amp; "++" &amp; 'Players&gt;List'!$B29)</f>
        <v>[CHB]++[SYS]</v>
      </c>
      <c r="H1067" s="1"/>
      <c r="I1067" s="1"/>
      <c r="J1067" s="1"/>
      <c r="K1067" s="1"/>
      <c r="L1067" s="1"/>
      <c r="M1067" s="1"/>
      <c r="N1067" s="1"/>
    </row>
    <row r="1068">
      <c r="A1068" s="1"/>
      <c r="B1068" s="14" t="s">
        <v>7027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"/>
    </row>
    <row r="1069">
      <c r="A1069" s="1"/>
      <c r="B1069" s="4" t="s">
        <v>7028</v>
      </c>
      <c r="D1069" s="9"/>
      <c r="E1069" s="17" t="s">
        <v>14</v>
      </c>
      <c r="F1069" s="18" t="str">
        <f>HYPERLINK("https://youtu.be/WdqV-vm1Ft0?t=1m8s",'Players&gt;List'!$B11 &amp; "++" &amp; 'Players&gt;List'!$B29)</f>
        <v>[CHB]++[SYS]</v>
      </c>
      <c r="H1069" s="1"/>
      <c r="I1069" s="1"/>
      <c r="J1069" s="1"/>
      <c r="K1069" s="1"/>
      <c r="L1069" s="1"/>
      <c r="M1069" s="1"/>
      <c r="N1069" s="1"/>
    </row>
    <row r="1070">
      <c r="A1070" s="1"/>
      <c r="B1070" s="14" t="s">
        <v>7029</v>
      </c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"/>
    </row>
    <row r="1071">
      <c r="A1071" s="1"/>
      <c r="B1071" s="4" t="s">
        <v>7030</v>
      </c>
      <c r="D1071" s="9"/>
      <c r="E1071" s="17" t="s">
        <v>14</v>
      </c>
      <c r="F1071" s="18" t="str">
        <f>HYPERLINK("https://youtu.be/WdqV-vm1Ft0?t=1m30s",'Players&gt;List'!$B11 &amp; "++" &amp; 'Players&gt;List'!$B29)</f>
        <v>[CHB]++[SYS]</v>
      </c>
      <c r="H1071" s="1"/>
      <c r="I1071" s="1"/>
      <c r="J1071" s="1"/>
      <c r="K1071" s="1"/>
      <c r="L1071" s="1"/>
      <c r="M1071" s="1"/>
      <c r="N1071" s="1"/>
    </row>
    <row r="1072">
      <c r="A1072" s="1"/>
      <c r="B1072" s="14" t="s">
        <v>7031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"/>
    </row>
    <row r="1073">
      <c r="A1073" s="1"/>
      <c r="B1073" s="4" t="s">
        <v>7032</v>
      </c>
      <c r="D1073" s="9"/>
      <c r="E1073" s="17" t="s">
        <v>14</v>
      </c>
      <c r="F1073" s="18" t="str">
        <f>HYPERLINK("https://youtu.be/WdqV-vm1Ft0?t=1m50s",'Players&gt;List'!$B11 &amp; "++" &amp; 'Players&gt;List'!$B29)</f>
        <v>[CHB]++[SYS]</v>
      </c>
      <c r="H1073" s="1"/>
      <c r="I1073" s="1"/>
      <c r="J1073" s="1"/>
      <c r="K1073" s="1"/>
      <c r="L1073" s="1"/>
      <c r="M1073" s="1"/>
      <c r="N1073" s="1"/>
    </row>
    <row r="1074">
      <c r="A1074" s="1"/>
      <c r="B1074" s="14" t="s">
        <v>7033</v>
      </c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"/>
    </row>
    <row r="1075">
      <c r="A1075" s="1"/>
      <c r="B1075" s="4" t="s">
        <v>7034</v>
      </c>
      <c r="D1075" s="9"/>
      <c r="E1075" s="17" t="s">
        <v>14</v>
      </c>
      <c r="F1075" s="18" t="str">
        <f>HYPERLINK("https://youtu.be/WdqV-vm1Ft0?t=2m24s",'Players&gt;List'!$B11 &amp; "++" &amp; 'Players&gt;List'!$B29)</f>
        <v>[CHB]++[SYS]</v>
      </c>
      <c r="H1075" s="1"/>
      <c r="I1075" s="1"/>
      <c r="J1075" s="1"/>
      <c r="K1075" s="1"/>
      <c r="L1075" s="1"/>
      <c r="M1075" s="1"/>
      <c r="N1075" s="1"/>
    </row>
    <row r="1076">
      <c r="A1076" s="1"/>
      <c r="B1076" s="14" t="s">
        <v>7035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"/>
    </row>
    <row r="1077">
      <c r="A1077" s="1"/>
      <c r="B1077" s="4" t="s">
        <v>7036</v>
      </c>
      <c r="D1077" s="9"/>
      <c r="E1077" s="17" t="s">
        <v>14</v>
      </c>
      <c r="F1077" s="18" t="str">
        <f>HYPERLINK("https://youtu.be/n54Z3_I_Iyo?t=1s",'Players&gt;List'!$B11 &amp; "++" &amp; 'Players&gt;List'!$B29)</f>
        <v>[CHB]++[SYS]</v>
      </c>
      <c r="H1077" s="1"/>
      <c r="I1077" s="1"/>
      <c r="J1077" s="1"/>
      <c r="K1077" s="1"/>
      <c r="L1077" s="1"/>
      <c r="M1077" s="1"/>
      <c r="N1077" s="1"/>
    </row>
    <row r="1078">
      <c r="A1078" s="1"/>
      <c r="B1078" s="14" t="s">
        <v>7037</v>
      </c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"/>
    </row>
    <row r="1079">
      <c r="A1079" s="1"/>
      <c r="B1079" s="4" t="s">
        <v>7038</v>
      </c>
      <c r="D1079" s="9"/>
      <c r="E1079" s="17" t="s">
        <v>14</v>
      </c>
      <c r="F1079" s="18" t="str">
        <f>HYPERLINK("https://youtu.be/n54Z3_I_Iyo?t=30s",'Players&gt;List'!$B11 &amp; "++" &amp; 'Players&gt;List'!$B29)</f>
        <v>[CHB]++[SYS]</v>
      </c>
      <c r="H1079" s="1"/>
      <c r="I1079" s="1"/>
      <c r="J1079" s="1"/>
      <c r="K1079" s="1"/>
      <c r="L1079" s="1"/>
      <c r="M1079" s="1"/>
      <c r="N1079" s="1"/>
    </row>
    <row r="1080">
      <c r="A1080" s="1"/>
      <c r="B1080" s="14" t="s">
        <v>7039</v>
      </c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"/>
    </row>
    <row r="1081">
      <c r="A1081" s="1"/>
      <c r="B1081" s="4" t="s">
        <v>7040</v>
      </c>
      <c r="D1081" s="9"/>
      <c r="E1081" s="17" t="s">
        <v>14</v>
      </c>
      <c r="F1081" s="18" t="str">
        <f>HYPERLINK("https://youtu.be/n54Z3_I_Iyo?t=1m24s",'Players&gt;List'!$B11 &amp; "++" &amp; 'Players&gt;List'!$B29)</f>
        <v>[CHB]++[SYS]</v>
      </c>
      <c r="H1081" s="1"/>
      <c r="I1081" s="1"/>
      <c r="J1081" s="1"/>
      <c r="K1081" s="1"/>
      <c r="L1081" s="1"/>
      <c r="M1081" s="1"/>
      <c r="N1081" s="1"/>
    </row>
    <row r="1082">
      <c r="A1082" s="1"/>
      <c r="B1082" s="14" t="s">
        <v>7041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"/>
    </row>
    <row r="1083">
      <c r="A1083" s="1"/>
      <c r="B1083" s="4" t="s">
        <v>7042</v>
      </c>
      <c r="D1083" s="9"/>
      <c r="E1083" s="17" t="s">
        <v>14</v>
      </c>
      <c r="F1083" s="18" t="str">
        <f>HYPERLINK("https://www.youtube.com/watch?v=8wZSwZhYZOM&amp;list=PLbU6uWaIKemqNvTeRxK-Ay6PRg9iwCKVi&amp;index=192&amp;t=0s",'Players&gt;List'!$B20 &amp; "++" &amp; 'Players&gt;List'!$B19)</f>
        <v>[KOS]++[HIT]</v>
      </c>
      <c r="H1083" s="18" t="str">
        <f>HYPERLINK("https://youtu.be/n54Z3_I_Iyo?t=1m58s",'Players&gt;List'!$B11 &amp; "++" &amp; 'Players&gt;List'!$B29)</f>
        <v>[CHB]++[SYS]</v>
      </c>
      <c r="J1083" s="1"/>
      <c r="K1083" s="1"/>
      <c r="L1083" s="1"/>
      <c r="M1083" s="1"/>
      <c r="N1083" s="1"/>
    </row>
    <row r="1084">
      <c r="A1084" s="1"/>
      <c r="B1084" s="14" t="s">
        <v>7043</v>
      </c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"/>
    </row>
    <row r="1085">
      <c r="A1085" s="1"/>
      <c r="B1085" s="4" t="s">
        <v>7044</v>
      </c>
      <c r="D1085" s="9"/>
      <c r="E1085" s="17" t="s">
        <v>14</v>
      </c>
      <c r="F1085" s="18" t="str">
        <f>HYPERLINK("https://youtu.be/n54Z3_I_Iyo?t=4m40s",'Players&gt;List'!$B11 &amp; "++" &amp; 'Players&gt;List'!$B29)</f>
        <v>[CHB]++[SYS]</v>
      </c>
      <c r="H1085" s="1"/>
      <c r="I1085" s="1"/>
      <c r="J1085" s="1"/>
      <c r="K1085" s="1"/>
      <c r="L1085" s="1"/>
      <c r="M1085" s="1"/>
      <c r="N1085" s="1"/>
    </row>
    <row r="1086">
      <c r="A1086" s="1"/>
      <c r="B1086" s="14" t="s">
        <v>7045</v>
      </c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"/>
    </row>
    <row r="1087">
      <c r="A1087" s="1"/>
      <c r="B1087" s="4" t="s">
        <v>7046</v>
      </c>
      <c r="D1087" s="9"/>
      <c r="E1087" s="17" t="s">
        <v>14</v>
      </c>
      <c r="F1087" s="18" t="str">
        <f>HYPERLINK("https://youtu.be/VD3xNBN9bP4",'Players&gt;List'!$B11 &amp; "++" &amp; 'Players&gt;List'!$B29)</f>
        <v>[CHB]++[SYS]</v>
      </c>
      <c r="H1087" s="1"/>
      <c r="I1087" s="1"/>
      <c r="J1087" s="1"/>
      <c r="K1087" s="1"/>
      <c r="L1087" s="1"/>
      <c r="M1087" s="1"/>
      <c r="N1087" s="1"/>
    </row>
    <row r="1088">
      <c r="A1088" s="1"/>
      <c r="B1088" s="14" t="s">
        <v>7047</v>
      </c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"/>
    </row>
    <row r="1089">
      <c r="A1089" s="1"/>
      <c r="B1089" s="4" t="s">
        <v>7048</v>
      </c>
      <c r="D1089" s="9"/>
      <c r="E1089" s="17" t="s">
        <v>14</v>
      </c>
      <c r="F1089" s="18" t="str">
        <f>HYPERLINK("https://youtu.be/VD3xNBN9bP4?t=56s",'Players&gt;List'!$B11 &amp; "++" &amp; 'Players&gt;List'!$B29)</f>
        <v>[CHB]++[SYS]</v>
      </c>
      <c r="H1089" s="1"/>
      <c r="I1089" s="1"/>
      <c r="J1089" s="1"/>
      <c r="K1089" s="1"/>
      <c r="L1089" s="1"/>
      <c r="M1089" s="1"/>
      <c r="N1089" s="1"/>
    </row>
    <row r="1090">
      <c r="A1090" s="1"/>
      <c r="B1090" s="14" t="s">
        <v>7049</v>
      </c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"/>
    </row>
    <row r="1091">
      <c r="A1091" s="1"/>
      <c r="B1091" s="4" t="s">
        <v>7050</v>
      </c>
      <c r="D1091" s="9"/>
      <c r="E1091" s="17" t="s">
        <v>14</v>
      </c>
      <c r="F1091" s="18" t="str">
        <f>HYPERLINK("https://youtu.be/VD3xNBN9bP4?t=1m44s",'Players&gt;List'!$B11 &amp; "++" &amp; 'Players&gt;List'!$B29)</f>
        <v>[CHB]++[SYS]</v>
      </c>
      <c r="H1091" s="1"/>
      <c r="I1091" s="1"/>
      <c r="J1091" s="1"/>
      <c r="K1091" s="1"/>
      <c r="L1091" s="1"/>
      <c r="M1091" s="1"/>
      <c r="N1091" s="1"/>
    </row>
    <row r="1092">
      <c r="A1092" s="1"/>
      <c r="B1092" s="14" t="s">
        <v>7051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"/>
    </row>
    <row r="1093">
      <c r="A1093" s="1"/>
      <c r="B1093" s="4" t="s">
        <v>7052</v>
      </c>
      <c r="D1093" s="9"/>
      <c r="E1093" s="17" t="s">
        <v>14</v>
      </c>
      <c r="F1093" s="18" t="str">
        <f>HYPERLINK("https://youtu.be/VD3xNBN9bP4?t=2m45s",'Players&gt;List'!$B11 &amp; "++" &amp; 'Players&gt;List'!$B29)</f>
        <v>[CHB]++[SYS]</v>
      </c>
      <c r="H1093" s="1"/>
      <c r="I1093" s="1"/>
      <c r="J1093" s="1"/>
      <c r="K1093" s="1"/>
      <c r="L1093" s="1"/>
      <c r="M1093" s="1"/>
      <c r="N1093" s="1"/>
    </row>
    <row r="1094">
      <c r="A1094" s="1"/>
      <c r="B1094" s="14" t="s">
        <v>7053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"/>
    </row>
    <row r="1095">
      <c r="A1095" s="1"/>
      <c r="B1095" s="4" t="s">
        <v>7054</v>
      </c>
      <c r="D1095" s="9"/>
      <c r="E1095" s="17" t="s">
        <v>14</v>
      </c>
      <c r="F1095" s="18" t="str">
        <f>HYPERLINK("https://www.youtube.com/watch?v=Kv-MiA6l1R0&amp;list=PLbU6uWaIKemqNvTeRxK-Ay6PRg9iwCKVi&amp;index=193&amp;t=0s",'Players&gt;List'!$B20 &amp; "++" &amp; 'Players&gt;List'!$B19)</f>
        <v>[KOS]++[HIT]</v>
      </c>
      <c r="H1095" s="18" t="str">
        <f>HYPERLINK("https://youtu.be/VD3xNBN9bP4?t=3m41s",'Players&gt;List'!$B11 &amp; "++" &amp; 'Players&gt;List'!$B29)</f>
        <v>[CHB]++[SYS]</v>
      </c>
      <c r="J1095" s="1"/>
      <c r="K1095" s="1"/>
      <c r="L1095" s="1"/>
      <c r="M1095" s="1"/>
      <c r="N1095" s="1"/>
    </row>
    <row r="1096">
      <c r="A1096" s="1"/>
      <c r="B1096" s="14" t="s">
        <v>7055</v>
      </c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"/>
    </row>
    <row r="1097">
      <c r="A1097" s="1"/>
      <c r="B1097" s="4" t="s">
        <v>7056</v>
      </c>
      <c r="D1097" s="9"/>
      <c r="E1097" s="17" t="s">
        <v>14</v>
      </c>
      <c r="F1097" s="18" t="str">
        <f>HYPERLINK("https://www.youtube.com/watch?v=fijgFfDbhRU&amp;list=PLbU6uWaIKemqNvTeRxK-Ay6PRg9iwCKVi&amp;index=194&amp;t=0s",'Players&gt;List'!$B20 &amp; "++" &amp; 'Players&gt;List'!$B19)</f>
        <v>[KOS]++[HIT]</v>
      </c>
      <c r="H1097" s="18" t="str">
        <f>HYPERLINK("https://youtu.be/nYKgdeBF7-k",'Players&gt;List'!$B11 &amp; "++" &amp; 'Players&gt;List'!$B29)</f>
        <v>[CHB]++[SYS]</v>
      </c>
      <c r="J1097" s="1"/>
      <c r="K1097" s="1"/>
      <c r="L1097" s="1"/>
      <c r="M1097" s="1"/>
      <c r="N1097" s="1"/>
    </row>
    <row r="1098">
      <c r="A1098" s="1"/>
      <c r="B1098" s="14" t="s">
        <v>7057</v>
      </c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"/>
    </row>
    <row r="1099">
      <c r="A1099" s="1"/>
      <c r="B1099" s="4" t="s">
        <v>7058</v>
      </c>
      <c r="D1099" s="9"/>
      <c r="E1099" s="17" t="s">
        <v>14</v>
      </c>
      <c r="F1099" s="18" t="str">
        <f>HYPERLINK("https://www.youtube.com/watch?v=RLfQOlh74fw&amp;list=PLbU6uWaIKemqNvTeRxK-Ay6PRg9iwCKVi&amp;index=195&amp;t=0s",'Players&gt;List'!$B20 &amp; "++" &amp; 'Players&gt;List'!$B19)</f>
        <v>[KOS]++[HIT]</v>
      </c>
      <c r="H1099" s="18" t="str">
        <f>HYPERLINK("https://youtu.be/nYKgdeBF7-k?t=39",'Players&gt;List'!$B11 &amp; "++" &amp; 'Players&gt;List'!$B29)</f>
        <v>[CHB]++[SYS]</v>
      </c>
      <c r="J1099" s="1"/>
      <c r="K1099" s="1"/>
      <c r="L1099" s="1"/>
      <c r="M1099" s="1"/>
      <c r="N1099" s="1"/>
    </row>
    <row r="1100">
      <c r="A1100" s="1"/>
      <c r="B1100" s="14" t="s">
        <v>7059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"/>
    </row>
    <row r="1101">
      <c r="A1101" s="1"/>
      <c r="B1101" s="4" t="s">
        <v>7060</v>
      </c>
      <c r="D1101" s="9"/>
      <c r="E1101" s="17" t="s">
        <v>14</v>
      </c>
      <c r="F1101" s="18" t="str">
        <f>HYPERLINK("https://www.youtube.com/watch?v=jmKbujy4v4U&amp;list=PLbU6uWaIKemqNvTeRxK-Ay6PRg9iwCKVi&amp;index=196&amp;t=0s",'Players&gt;List'!$B20 &amp; "++" &amp; 'Players&gt;List'!$B19)</f>
        <v>[KOS]++[HIT]</v>
      </c>
      <c r="H1101" s="18" t="str">
        <f>HYPERLINK("https://youtu.be/nYKgdeBF7-k?t=89",'Players&gt;List'!$B11 &amp; "++" &amp; 'Players&gt;List'!$B29)</f>
        <v>[CHB]++[SYS]</v>
      </c>
      <c r="J1101" s="1"/>
      <c r="K1101" s="1"/>
      <c r="L1101" s="1"/>
      <c r="M1101" s="1"/>
      <c r="N1101" s="1"/>
    </row>
    <row r="1102">
      <c r="A1102" s="1"/>
      <c r="B1102" s="14" t="s">
        <v>7061</v>
      </c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"/>
    </row>
    <row r="1103">
      <c r="A1103" s="1"/>
      <c r="B1103" s="4" t="s">
        <v>7062</v>
      </c>
      <c r="D1103" s="9"/>
      <c r="E1103" s="17" t="s">
        <v>14</v>
      </c>
      <c r="F1103" s="18" t="str">
        <f>HYPERLINK("https://youtu.be/nYKgdeBF7-k?t=150",'Players&gt;List'!$B11 &amp; "++" &amp; 'Players&gt;List'!$B29)</f>
        <v>[CHB]++[SYS]</v>
      </c>
      <c r="H1103" s="1"/>
      <c r="I1103" s="1"/>
      <c r="J1103" s="1"/>
      <c r="K1103" s="1"/>
      <c r="L1103" s="1"/>
      <c r="M1103" s="1"/>
      <c r="N1103" s="1"/>
    </row>
    <row r="1104">
      <c r="A1104" s="1"/>
      <c r="B1104" s="14" t="s">
        <v>7063</v>
      </c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"/>
    </row>
    <row r="1105">
      <c r="A1105" s="1"/>
      <c r="B1105" s="4" t="s">
        <v>7064</v>
      </c>
      <c r="D1105" s="9"/>
      <c r="E1105" s="17" t="s">
        <v>14</v>
      </c>
      <c r="F1105" s="18" t="str">
        <f>HYPERLINK("https://www.youtube.com/watch?v=P0jYCV2cf64&amp;list=PLbU6uWaIKemqNvTeRxK-Ay6PRg9iwCKVi&amp;index=197&amp;t=0s",'Players&gt;List'!$B20 &amp; "++" &amp; 'Players&gt;List'!$B19)</f>
        <v>[KOS]++[HIT]</v>
      </c>
      <c r="H1105" s="18" t="str">
        <f>HYPERLINK("https://youtu.be/nYKgdeBF7-k?t=181",'Players&gt;List'!$B11 &amp; "++" &amp; 'Players&gt;List'!$B29)</f>
        <v>[CHB]++[SYS]</v>
      </c>
      <c r="J1105" s="1"/>
      <c r="K1105" s="1"/>
      <c r="L1105" s="1"/>
      <c r="M1105" s="1"/>
      <c r="N1105" s="1"/>
    </row>
    <row r="1106">
      <c r="A1106" s="1"/>
      <c r="B1106" s="14" t="s">
        <v>7065</v>
      </c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"/>
    </row>
    <row r="1107">
      <c r="A1107" s="1"/>
      <c r="B1107" s="4" t="s">
        <v>7066</v>
      </c>
      <c r="D1107" s="9"/>
      <c r="E1107" s="17" t="s">
        <v>14</v>
      </c>
      <c r="F1107" s="1"/>
      <c r="G1107" s="1"/>
      <c r="H1107" s="1"/>
      <c r="I1107" s="1"/>
      <c r="J1107" s="1"/>
      <c r="K1107" s="1"/>
      <c r="L1107" s="1"/>
      <c r="M1107" s="1"/>
      <c r="N1107" s="1"/>
    </row>
    <row r="1108">
      <c r="A1108" s="1"/>
      <c r="B1108" s="14" t="s">
        <v>7067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"/>
    </row>
    <row r="1109">
      <c r="A1109" s="1"/>
      <c r="B1109" s="4" t="s">
        <v>7068</v>
      </c>
      <c r="D1109" s="9"/>
      <c r="E1109" s="17" t="s">
        <v>14</v>
      </c>
      <c r="F1109" s="1"/>
      <c r="G1109" s="1"/>
      <c r="H1109" s="1"/>
      <c r="I1109" s="1"/>
      <c r="J1109" s="1"/>
      <c r="K1109" s="1"/>
      <c r="L1109" s="1"/>
      <c r="M1109" s="1"/>
      <c r="N1109" s="1"/>
    </row>
    <row r="1110">
      <c r="A1110" s="1"/>
      <c r="B1110" s="14" t="s">
        <v>7069</v>
      </c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"/>
    </row>
    <row r="1111">
      <c r="A1111" s="1"/>
      <c r="B1111" s="4" t="s">
        <v>7070</v>
      </c>
      <c r="D1111" s="9"/>
      <c r="E1111" s="17" t="s">
        <v>14</v>
      </c>
      <c r="F1111" s="1"/>
      <c r="G1111" s="1"/>
      <c r="H1111" s="1"/>
      <c r="I1111" s="1"/>
      <c r="J1111" s="1"/>
      <c r="K1111" s="1"/>
      <c r="L1111" s="1"/>
      <c r="M1111" s="1"/>
      <c r="N1111" s="1"/>
    </row>
    <row r="1112">
      <c r="A1112" s="1"/>
      <c r="B1112" s="14" t="s">
        <v>7071</v>
      </c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"/>
    </row>
    <row r="1113">
      <c r="A1113" s="1"/>
      <c r="B1113" s="4" t="s">
        <v>7072</v>
      </c>
      <c r="D1113" s="9"/>
      <c r="E1113" s="17" t="s">
        <v>14</v>
      </c>
      <c r="F1113" s="1"/>
      <c r="G1113" s="1"/>
      <c r="H1113" s="1"/>
      <c r="I1113" s="1"/>
      <c r="J1113" s="1"/>
      <c r="K1113" s="1"/>
      <c r="L1113" s="1"/>
      <c r="M1113" s="1"/>
      <c r="N1113" s="1"/>
    </row>
    <row r="1114">
      <c r="A1114" s="1"/>
      <c r="B1114" s="14" t="s">
        <v>7073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"/>
    </row>
    <row r="1115">
      <c r="A1115" s="1"/>
      <c r="B1115" s="4" t="s">
        <v>7074</v>
      </c>
      <c r="D1115" s="9"/>
      <c r="E1115" s="17" t="s">
        <v>14</v>
      </c>
      <c r="F1115" s="1"/>
      <c r="G1115" s="1"/>
      <c r="H1115" s="1"/>
      <c r="I1115" s="1"/>
      <c r="J1115" s="1"/>
      <c r="K1115" s="1"/>
      <c r="L1115" s="1"/>
      <c r="M1115" s="1"/>
      <c r="N1115" s="1"/>
    </row>
    <row r="1116">
      <c r="A1116" s="1"/>
      <c r="B1116" s="14" t="s">
        <v>7075</v>
      </c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"/>
    </row>
    <row r="1117">
      <c r="A1117" s="1"/>
      <c r="B1117" s="4" t="s">
        <v>7076</v>
      </c>
      <c r="D1117" s="9"/>
      <c r="E1117" s="17" t="s">
        <v>14</v>
      </c>
      <c r="F1117" s="1"/>
      <c r="G1117" s="1"/>
      <c r="H1117" s="1"/>
      <c r="I1117" s="1"/>
      <c r="J1117" s="1"/>
      <c r="K1117" s="1"/>
      <c r="L1117" s="1"/>
      <c r="M1117" s="1"/>
      <c r="N1117" s="1"/>
    </row>
    <row r="1118">
      <c r="A1118" s="1"/>
      <c r="B1118" s="14" t="s">
        <v>7077</v>
      </c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"/>
    </row>
    <row r="1119">
      <c r="A1119" s="1"/>
      <c r="B1119" s="4" t="s">
        <v>7078</v>
      </c>
      <c r="D1119" s="9"/>
      <c r="E1119" s="17" t="s">
        <v>14</v>
      </c>
      <c r="F1119" s="1"/>
      <c r="G1119" s="1"/>
      <c r="H1119" s="1"/>
      <c r="I1119" s="1"/>
      <c r="J1119" s="1"/>
      <c r="K1119" s="1"/>
      <c r="L1119" s="1"/>
      <c r="M1119" s="1"/>
      <c r="N1119" s="1"/>
    </row>
    <row r="1120">
      <c r="A1120" s="1"/>
      <c r="B1120" s="14" t="s">
        <v>7079</v>
      </c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"/>
    </row>
    <row r="1121">
      <c r="A1121" s="1"/>
      <c r="B1121" s="4" t="s">
        <v>7080</v>
      </c>
      <c r="D1121" s="9"/>
      <c r="E1121" s="17" t="s">
        <v>14</v>
      </c>
      <c r="F1121" s="1"/>
      <c r="G1121" s="1"/>
      <c r="H1121" s="1"/>
      <c r="I1121" s="1"/>
      <c r="J1121" s="1"/>
      <c r="K1121" s="1"/>
      <c r="L1121" s="1"/>
      <c r="M1121" s="1"/>
      <c r="N1121" s="1"/>
    </row>
    <row r="1122">
      <c r="A1122" s="1"/>
      <c r="B1122" s="14" t="s">
        <v>7081</v>
      </c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"/>
    </row>
    <row r="1123">
      <c r="A1123" s="1"/>
      <c r="B1123" s="4" t="s">
        <v>7082</v>
      </c>
      <c r="D1123" s="9"/>
      <c r="E1123" s="17" t="s">
        <v>14</v>
      </c>
      <c r="F1123" s="1"/>
      <c r="G1123" s="1"/>
      <c r="H1123" s="1"/>
      <c r="I1123" s="1"/>
      <c r="J1123" s="1"/>
      <c r="K1123" s="1"/>
      <c r="L1123" s="1"/>
      <c r="M1123" s="1"/>
      <c r="N1123" s="1"/>
    </row>
    <row r="1124">
      <c r="A1124" s="1"/>
      <c r="B1124" s="14" t="s">
        <v>7083</v>
      </c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"/>
    </row>
    <row r="1125">
      <c r="A1125" s="1"/>
      <c r="B1125" s="4" t="s">
        <v>7084</v>
      </c>
      <c r="D1125" s="9"/>
      <c r="E1125" s="17" t="s">
        <v>14</v>
      </c>
      <c r="F1125" s="1"/>
      <c r="G1125" s="1"/>
      <c r="H1125" s="1"/>
      <c r="I1125" s="1"/>
      <c r="J1125" s="1"/>
      <c r="K1125" s="1"/>
      <c r="L1125" s="1"/>
      <c r="M1125" s="1"/>
      <c r="N1125" s="1"/>
    </row>
    <row r="1126">
      <c r="A1126" s="1"/>
      <c r="B1126" s="14" t="s">
        <v>7085</v>
      </c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"/>
    </row>
    <row r="1127">
      <c r="A1127" s="1"/>
      <c r="B1127" s="4" t="s">
        <v>7086</v>
      </c>
      <c r="D1127" s="9"/>
      <c r="E1127" s="17" t="s">
        <v>14</v>
      </c>
      <c r="F1127" s="1"/>
      <c r="G1127" s="1"/>
      <c r="H1127" s="1"/>
      <c r="I1127" s="1"/>
      <c r="J1127" s="1"/>
      <c r="K1127" s="1"/>
      <c r="L1127" s="1"/>
      <c r="M1127" s="1"/>
      <c r="N1127" s="1"/>
    </row>
    <row r="1128">
      <c r="A1128" s="1"/>
      <c r="B1128" s="14" t="s">
        <v>7087</v>
      </c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"/>
    </row>
    <row r="1129">
      <c r="A1129" s="1"/>
      <c r="B1129" s="4" t="s">
        <v>7088</v>
      </c>
      <c r="D1129" s="9"/>
      <c r="E1129" s="17" t="s">
        <v>14</v>
      </c>
      <c r="F1129" s="18" t="str">
        <f>HYPERLINK("https://www.youtube.com/watch?v=FswZOAbWSPY&amp;list=PLbU6uWaIKemqNvTeRxK-Ay6PRg9iwCKVi&amp;index=198&amp;t=0s",'Players&gt;List'!$B20 &amp; "++" &amp; 'Players&gt;List'!$B19)</f>
        <v>[KOS]++[HIT]</v>
      </c>
      <c r="H1129" s="1"/>
      <c r="I1129" s="1"/>
      <c r="J1129" s="1"/>
      <c r="K1129" s="1"/>
      <c r="L1129" s="1"/>
      <c r="M1129" s="1"/>
      <c r="N1129" s="1"/>
    </row>
    <row r="1130">
      <c r="A1130" s="1"/>
      <c r="B1130" s="14" t="s">
        <v>7089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"/>
    </row>
    <row r="1131">
      <c r="A1131" s="1"/>
      <c r="B1131" s="4" t="s">
        <v>7090</v>
      </c>
      <c r="D1131" s="9"/>
      <c r="E1131" s="17" t="s">
        <v>14</v>
      </c>
      <c r="F1131" s="1"/>
      <c r="G1131" s="1"/>
      <c r="H1131" s="1"/>
      <c r="I1131" s="1"/>
      <c r="J1131" s="1"/>
      <c r="K1131" s="1"/>
      <c r="L1131" s="1"/>
      <c r="M1131" s="1"/>
      <c r="N1131" s="1"/>
    </row>
    <row r="1132">
      <c r="A1132" s="1"/>
      <c r="B1132" s="14" t="s">
        <v>7091</v>
      </c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"/>
    </row>
    <row r="1133">
      <c r="A1133" s="1"/>
      <c r="B1133" s="4" t="s">
        <v>7092</v>
      </c>
      <c r="D1133" s="9"/>
      <c r="E1133" s="17" t="s">
        <v>14</v>
      </c>
      <c r="F1133" s="18" t="str">
        <f>HYPERLINK("https://www.youtube.com/watch?v=U53TWlVKSXE&amp;list=PLbU6uWaIKemqNvTeRxK-Ay6PRg9iwCKVi&amp;index=199&amp;t=0s",'Players&gt;List'!$B20 &amp; "++" &amp; 'Players&gt;List'!$B19)</f>
        <v>[KOS]++[HIT]</v>
      </c>
      <c r="H1133" s="1"/>
      <c r="I1133" s="1"/>
      <c r="J1133" s="1"/>
      <c r="K1133" s="1"/>
      <c r="L1133" s="1"/>
      <c r="M1133" s="1"/>
      <c r="N1133" s="1"/>
    </row>
    <row r="1134">
      <c r="A1134" s="1"/>
      <c r="B1134" s="14" t="s">
        <v>7093</v>
      </c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"/>
    </row>
    <row r="1135">
      <c r="A1135" s="1"/>
      <c r="B1135" s="4" t="s">
        <v>7094</v>
      </c>
      <c r="D1135" s="9"/>
      <c r="E1135" s="17" t="s">
        <v>14</v>
      </c>
      <c r="F1135" s="18" t="str">
        <f>HYPERLINK("https://www.youtube.com/watch?v=SlJq8uCD2Zo&amp;list=PLbU6uWaIKemqNvTeRxK-Ay6PRg9iwCKVi&amp;index=200&amp;t=0s",'Players&gt;List'!$B20 &amp; "++" &amp; 'Players&gt;List'!$B19)</f>
        <v>[KOS]++[HIT]</v>
      </c>
      <c r="H1135" s="1"/>
      <c r="I1135" s="1"/>
      <c r="J1135" s="1"/>
      <c r="K1135" s="1"/>
      <c r="L1135" s="1"/>
      <c r="M1135" s="1"/>
      <c r="N1135" s="1"/>
    </row>
    <row r="1136">
      <c r="A1136" s="1"/>
      <c r="B1136" s="14" t="s">
        <v>7095</v>
      </c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"/>
    </row>
    <row r="1137">
      <c r="A1137" s="1"/>
      <c r="B1137" s="4" t="s">
        <v>7096</v>
      </c>
      <c r="D1137" s="9"/>
      <c r="E1137" s="17" t="s">
        <v>14</v>
      </c>
      <c r="F1137" s="1"/>
      <c r="G1137" s="1"/>
      <c r="H1137" s="1"/>
      <c r="I1137" s="1"/>
      <c r="J1137" s="1"/>
      <c r="K1137" s="1"/>
      <c r="L1137" s="1"/>
      <c r="M1137" s="1"/>
      <c r="N1137" s="1"/>
    </row>
    <row r="1138">
      <c r="A1138" s="1"/>
      <c r="B1138" s="14" t="s">
        <v>7097</v>
      </c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"/>
    </row>
    <row r="1139">
      <c r="A1139" s="1"/>
      <c r="B1139" s="4" t="s">
        <v>7098</v>
      </c>
      <c r="D1139" s="9"/>
      <c r="E1139" s="17" t="s">
        <v>14</v>
      </c>
      <c r="F1139" s="1"/>
      <c r="G1139" s="1"/>
      <c r="H1139" s="1"/>
      <c r="I1139" s="1"/>
      <c r="J1139" s="1"/>
      <c r="K1139" s="1"/>
      <c r="L1139" s="1"/>
      <c r="M1139" s="1"/>
      <c r="N1139" s="1"/>
    </row>
    <row r="1140">
      <c r="A1140" s="1"/>
      <c r="B1140" s="14" t="s">
        <v>7099</v>
      </c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"/>
    </row>
    <row r="1141">
      <c r="A1141" s="1"/>
      <c r="B1141" s="4" t="s">
        <v>7100</v>
      </c>
      <c r="D1141" s="9"/>
      <c r="E1141" s="17" t="s">
        <v>14</v>
      </c>
      <c r="F1141" s="1"/>
      <c r="G1141" s="1"/>
      <c r="H1141" s="1"/>
      <c r="I1141" s="1"/>
      <c r="J1141" s="1"/>
      <c r="K1141" s="1"/>
      <c r="L1141" s="1"/>
      <c r="M1141" s="1"/>
      <c r="N1141" s="1"/>
    </row>
    <row r="1142">
      <c r="A1142" s="1"/>
      <c r="B1142" s="14" t="s">
        <v>6174</v>
      </c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"/>
    </row>
    <row r="1143">
      <c r="A1143" s="1"/>
      <c r="B1143" s="4" t="s">
        <v>7101</v>
      </c>
      <c r="D1143" s="9"/>
      <c r="E1143" s="17" t="s">
        <v>14</v>
      </c>
      <c r="F1143" s="1"/>
      <c r="G1143" s="1"/>
      <c r="H1143" s="1"/>
      <c r="I1143" s="1"/>
      <c r="J1143" s="1"/>
      <c r="K1143" s="1"/>
      <c r="L1143" s="1"/>
      <c r="M1143" s="1"/>
      <c r="N1143" s="1"/>
    </row>
    <row r="1144">
      <c r="A1144" s="1"/>
      <c r="B1144" s="14" t="s">
        <v>7102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"/>
    </row>
    <row r="1145">
      <c r="A1145" s="1"/>
      <c r="B1145" s="4" t="s">
        <v>7103</v>
      </c>
      <c r="D1145" s="9"/>
      <c r="E1145" s="17" t="s">
        <v>14</v>
      </c>
      <c r="F1145" s="1"/>
      <c r="G1145" s="1"/>
      <c r="H1145" s="1"/>
      <c r="I1145" s="1"/>
      <c r="J1145" s="1"/>
      <c r="K1145" s="1"/>
      <c r="L1145" s="1"/>
      <c r="M1145" s="1"/>
      <c r="N1145" s="1"/>
    </row>
    <row r="1146">
      <c r="A1146" s="1"/>
      <c r="B1146" s="14" t="s">
        <v>7104</v>
      </c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"/>
    </row>
    <row r="1147">
      <c r="A1147" s="1"/>
      <c r="B1147" s="4" t="s">
        <v>7105</v>
      </c>
      <c r="D1147" s="9"/>
      <c r="E1147" s="17" t="s">
        <v>14</v>
      </c>
      <c r="F1147" s="1"/>
      <c r="G1147" s="1"/>
      <c r="H1147" s="1"/>
      <c r="I1147" s="1"/>
      <c r="J1147" s="1"/>
      <c r="K1147" s="1"/>
      <c r="L1147" s="1"/>
      <c r="M1147" s="1"/>
      <c r="N1147" s="1"/>
    </row>
    <row r="1148">
      <c r="A1148" s="1"/>
      <c r="B1148" s="14" t="s">
        <v>7106</v>
      </c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"/>
    </row>
    <row r="1149">
      <c r="A1149" s="1"/>
      <c r="B1149" s="4" t="s">
        <v>7107</v>
      </c>
      <c r="D1149" s="9"/>
      <c r="E1149" s="17" t="s">
        <v>14</v>
      </c>
      <c r="F1149" s="1"/>
      <c r="G1149" s="1"/>
      <c r="H1149" s="1"/>
      <c r="I1149" s="1"/>
      <c r="J1149" s="1"/>
      <c r="K1149" s="1"/>
      <c r="L1149" s="1"/>
      <c r="M1149" s="1"/>
      <c r="N1149" s="1"/>
    </row>
    <row r="1150">
      <c r="A1150" s="1"/>
      <c r="B1150" s="14" t="s">
        <v>7108</v>
      </c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"/>
    </row>
    <row r="1151">
      <c r="A1151" s="1"/>
      <c r="B1151" s="4" t="s">
        <v>7109</v>
      </c>
      <c r="D1151" s="9"/>
      <c r="E1151" s="17" t="s">
        <v>14</v>
      </c>
      <c r="F1151" s="1"/>
      <c r="G1151" s="1"/>
      <c r="H1151" s="1"/>
      <c r="I1151" s="1"/>
      <c r="J1151" s="1"/>
      <c r="K1151" s="1"/>
      <c r="L1151" s="1"/>
      <c r="M1151" s="1"/>
      <c r="N1151" s="1"/>
    </row>
    <row r="1152">
      <c r="A1152" s="1"/>
      <c r="B1152" s="14" t="s">
        <v>7110</v>
      </c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"/>
    </row>
    <row r="1153">
      <c r="A1153" s="1"/>
      <c r="B1153" s="4" t="s">
        <v>7111</v>
      </c>
      <c r="D1153" s="9"/>
      <c r="E1153" s="17" t="s">
        <v>14</v>
      </c>
      <c r="F1153" s="1"/>
      <c r="G1153" s="1"/>
      <c r="H1153" s="1"/>
      <c r="I1153" s="1"/>
      <c r="J1153" s="1"/>
      <c r="K1153" s="1"/>
      <c r="L1153" s="1"/>
      <c r="M1153" s="1"/>
      <c r="N1153" s="1"/>
    </row>
    <row r="1154">
      <c r="A1154" s="1"/>
      <c r="B1154" s="14" t="s">
        <v>7112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"/>
    </row>
    <row r="1155">
      <c r="A1155" s="1"/>
      <c r="B1155" s="4" t="s">
        <v>7113</v>
      </c>
      <c r="D1155" s="9"/>
      <c r="E1155" s="17" t="s">
        <v>14</v>
      </c>
      <c r="F1155" s="1"/>
      <c r="G1155" s="1"/>
      <c r="H1155" s="1"/>
      <c r="I1155" s="1"/>
      <c r="J1155" s="1"/>
      <c r="K1155" s="1"/>
      <c r="L1155" s="1"/>
      <c r="M1155" s="1"/>
      <c r="N1155" s="1"/>
    </row>
    <row r="1156">
      <c r="A1156" s="1"/>
      <c r="B1156" s="14" t="s">
        <v>7114</v>
      </c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"/>
    </row>
    <row r="1157">
      <c r="A1157" s="1"/>
      <c r="B1157" s="4" t="s">
        <v>7115</v>
      </c>
      <c r="D1157" s="9"/>
      <c r="E1157" s="17" t="s">
        <v>14</v>
      </c>
      <c r="F1157" s="18" t="str">
        <f>HYPERLINK("https://www.youtube.com/watch?v=tTkQba3LfJE&amp;list=PLbU6uWaIKemqNvTeRxK-Ay6PRg9iwCKVi&amp;index=201&amp;t=0s",'Players&gt;List'!$B20 &amp; "++" &amp; 'Players&gt;List'!$B19)</f>
        <v>[KOS]++[HIT]</v>
      </c>
      <c r="H1157" s="1"/>
      <c r="I1157" s="1"/>
      <c r="J1157" s="1"/>
      <c r="K1157" s="1"/>
      <c r="L1157" s="1"/>
      <c r="M1157" s="1"/>
      <c r="N1157" s="1"/>
    </row>
    <row r="1158">
      <c r="A1158" s="1"/>
      <c r="B1158" s="14" t="s">
        <v>7116</v>
      </c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"/>
    </row>
    <row r="1159">
      <c r="A1159" s="1"/>
      <c r="B1159" s="4" t="s">
        <v>7117</v>
      </c>
      <c r="D1159" s="9"/>
      <c r="E1159" s="17" t="s">
        <v>14</v>
      </c>
      <c r="F1159" s="1"/>
      <c r="G1159" s="1"/>
      <c r="H1159" s="1"/>
      <c r="I1159" s="1"/>
      <c r="J1159" s="1"/>
      <c r="K1159" s="1"/>
      <c r="L1159" s="1"/>
      <c r="M1159" s="1"/>
      <c r="N1159" s="1"/>
    </row>
    <row r="1160">
      <c r="A1160" s="1"/>
      <c r="B1160" s="14" t="s">
        <v>7118</v>
      </c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"/>
    </row>
    <row r="1161">
      <c r="A1161" s="1"/>
      <c r="B1161" s="4" t="s">
        <v>7119</v>
      </c>
      <c r="D1161" s="9"/>
      <c r="E1161" s="17" t="s">
        <v>14</v>
      </c>
      <c r="F1161" s="1"/>
      <c r="G1161" s="1"/>
      <c r="H1161" s="1"/>
      <c r="I1161" s="1"/>
      <c r="J1161" s="1"/>
      <c r="K1161" s="1"/>
      <c r="L1161" s="1"/>
      <c r="M1161" s="1"/>
      <c r="N1161" s="1"/>
    </row>
    <row r="1162">
      <c r="A1162" s="1"/>
      <c r="B1162" s="14" t="s">
        <v>7120</v>
      </c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"/>
    </row>
    <row r="1163">
      <c r="A1163" s="1"/>
      <c r="B1163" s="4" t="s">
        <v>7121</v>
      </c>
      <c r="D1163" s="9"/>
      <c r="E1163" s="17" t="s">
        <v>14</v>
      </c>
      <c r="F1163" s="18" t="str">
        <f>HYPERLINK("https://www.youtube.com/watch?v=koX7tRyH36o&amp;index=202&amp;list=PLbU6uWaIKemqNvTeRxK-Ay6PRg9iwCKVi&amp;t=0s",'Players&gt;List'!$B20 &amp; "++" &amp; 'Players&gt;List'!$B19)</f>
        <v>[KOS]++[HIT]</v>
      </c>
      <c r="H1163" s="1"/>
      <c r="I1163" s="1"/>
      <c r="J1163" s="1"/>
      <c r="K1163" s="1"/>
      <c r="L1163" s="1"/>
      <c r="M1163" s="1"/>
      <c r="N1163" s="1"/>
    </row>
    <row r="1164">
      <c r="A1164" s="1"/>
      <c r="B1164" s="14" t="s">
        <v>7122</v>
      </c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"/>
    </row>
    <row r="1165">
      <c r="A1165" s="1"/>
      <c r="B1165" s="4" t="s">
        <v>7123</v>
      </c>
      <c r="D1165" s="9"/>
      <c r="E1165" s="17" t="s">
        <v>14</v>
      </c>
      <c r="F1165" s="1"/>
      <c r="G1165" s="1"/>
      <c r="H1165" s="1"/>
      <c r="I1165" s="1"/>
      <c r="J1165" s="1"/>
      <c r="K1165" s="1"/>
      <c r="L1165" s="1"/>
      <c r="M1165" s="1"/>
      <c r="N1165" s="1"/>
    </row>
    <row r="1166">
      <c r="A1166" s="1"/>
      <c r="B1166" s="14" t="s">
        <v>7124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"/>
    </row>
    <row r="1167">
      <c r="A1167" s="1"/>
      <c r="B1167" s="4" t="s">
        <v>7125</v>
      </c>
      <c r="D1167" s="9"/>
      <c r="E1167" s="17" t="s">
        <v>14</v>
      </c>
      <c r="F1167" s="1"/>
      <c r="G1167" s="1"/>
      <c r="H1167" s="1"/>
      <c r="I1167" s="1"/>
      <c r="J1167" s="1"/>
      <c r="K1167" s="1"/>
      <c r="L1167" s="1"/>
      <c r="M1167" s="1"/>
      <c r="N1167" s="1"/>
    </row>
    <row r="1168">
      <c r="A1168" s="1"/>
      <c r="B1168" s="14" t="s">
        <v>7126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"/>
    </row>
    <row r="1169">
      <c r="A1169" s="1"/>
      <c r="B1169" s="4" t="s">
        <v>7127</v>
      </c>
      <c r="D1169" s="9"/>
      <c r="E1169" s="17" t="s">
        <v>14</v>
      </c>
      <c r="F1169" s="1"/>
      <c r="G1169" s="1"/>
      <c r="H1169" s="1"/>
      <c r="I1169" s="1"/>
      <c r="J1169" s="1"/>
      <c r="K1169" s="1"/>
      <c r="L1169" s="1"/>
      <c r="M1169" s="1"/>
      <c r="N1169" s="1"/>
    </row>
    <row r="1170">
      <c r="A1170" s="1"/>
      <c r="B1170" s="14" t="s">
        <v>7128</v>
      </c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"/>
    </row>
    <row r="1171">
      <c r="A1171" s="1"/>
      <c r="B1171" s="4" t="s">
        <v>7129</v>
      </c>
      <c r="D1171" s="9"/>
      <c r="E1171" s="17" t="s">
        <v>14</v>
      </c>
      <c r="F1171" s="1"/>
      <c r="G1171" s="1"/>
      <c r="H1171" s="1"/>
      <c r="I1171" s="1"/>
      <c r="J1171" s="1"/>
      <c r="K1171" s="1"/>
      <c r="L1171" s="1"/>
      <c r="M1171" s="1"/>
      <c r="N1171" s="1"/>
    </row>
    <row r="1172">
      <c r="A1172" s="1"/>
      <c r="B1172" s="14" t="s">
        <v>7130</v>
      </c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"/>
    </row>
    <row r="1173">
      <c r="A1173" s="1"/>
      <c r="B1173" s="4" t="s">
        <v>7131</v>
      </c>
      <c r="D1173" s="9"/>
      <c r="E1173" s="17" t="s">
        <v>14</v>
      </c>
      <c r="F1173" s="18" t="str">
        <f>HYPERLINK("https://www.youtube.com/watch?v=0senBdn-4IQ&amp;index=203&amp;list=PLbU6uWaIKemqNvTeRxK-Ay6PRg9iwCKVi&amp;t=0s",'Players&gt;List'!$B20 &amp; "++" &amp; 'Players&gt;List'!$B19)</f>
        <v>[KOS]++[HIT]</v>
      </c>
      <c r="H1173" s="1"/>
      <c r="I1173" s="1"/>
      <c r="J1173" s="1"/>
      <c r="K1173" s="1"/>
      <c r="L1173" s="1"/>
      <c r="M1173" s="1"/>
      <c r="N1173" s="1"/>
    </row>
    <row r="1174">
      <c r="A1174" s="1"/>
      <c r="B1174" s="14" t="s">
        <v>7132</v>
      </c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"/>
    </row>
    <row r="1175">
      <c r="A1175" s="1"/>
      <c r="B1175" s="4" t="s">
        <v>7133</v>
      </c>
      <c r="D1175" s="9"/>
      <c r="E1175" s="17" t="s">
        <v>14</v>
      </c>
      <c r="F1175" s="18" t="str">
        <f>HYPERLINK("https://www.youtube.com/watch?v=6GR8exsqfgY&amp;index=204&amp;list=PLbU6uWaIKemqNvTeRxK-Ay6PRg9iwCKVi&amp;t=0s",'Players&gt;List'!$B20 &amp; "++" &amp; 'Players&gt;List'!$B19)</f>
        <v>[KOS]++[HIT]</v>
      </c>
      <c r="H1175" s="1"/>
      <c r="I1175" s="1"/>
      <c r="J1175" s="1"/>
      <c r="K1175" s="1"/>
      <c r="L1175" s="1"/>
      <c r="M1175" s="1"/>
      <c r="N1175" s="1"/>
    </row>
    <row r="1176">
      <c r="A1176" s="1"/>
      <c r="B1176" s="14" t="s">
        <v>7134</v>
      </c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"/>
    </row>
    <row r="1177">
      <c r="A1177" s="1"/>
      <c r="B1177" s="4" t="s">
        <v>7135</v>
      </c>
      <c r="D1177" s="9"/>
      <c r="E1177" s="17" t="s">
        <v>14</v>
      </c>
      <c r="F1177" s="1"/>
      <c r="G1177" s="1"/>
      <c r="H1177" s="1"/>
      <c r="I1177" s="1"/>
      <c r="J1177" s="1"/>
      <c r="K1177" s="1"/>
      <c r="L1177" s="1"/>
      <c r="M1177" s="1"/>
      <c r="N1177" s="1"/>
    </row>
    <row r="1178">
      <c r="A1178" s="1"/>
      <c r="B1178" s="14" t="s">
        <v>7136</v>
      </c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"/>
    </row>
    <row r="1179">
      <c r="A1179" s="1"/>
      <c r="B1179" s="4" t="s">
        <v>7137</v>
      </c>
      <c r="D1179" s="9"/>
      <c r="E1179" s="17" t="s">
        <v>14</v>
      </c>
      <c r="F1179" s="1"/>
      <c r="G1179" s="1"/>
      <c r="H1179" s="1"/>
      <c r="I1179" s="1"/>
      <c r="J1179" s="1"/>
      <c r="K1179" s="1"/>
      <c r="L1179" s="1"/>
      <c r="M1179" s="1"/>
      <c r="N1179" s="1"/>
    </row>
    <row r="1180">
      <c r="A1180" s="1"/>
      <c r="B1180" s="14" t="s">
        <v>7138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"/>
    </row>
    <row r="1181">
      <c r="A1181" s="1"/>
      <c r="B1181" s="4" t="s">
        <v>7139</v>
      </c>
      <c r="D1181" s="9"/>
      <c r="E1181" s="17" t="s">
        <v>14</v>
      </c>
      <c r="F1181" s="1"/>
      <c r="G1181" s="1"/>
      <c r="H1181" s="1"/>
      <c r="I1181" s="1"/>
      <c r="J1181" s="1"/>
      <c r="K1181" s="1"/>
      <c r="L1181" s="1"/>
      <c r="M1181" s="1"/>
      <c r="N1181" s="1"/>
    </row>
    <row r="1182">
      <c r="A1182" s="1"/>
      <c r="B1182" s="14" t="s">
        <v>7140</v>
      </c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"/>
    </row>
    <row r="1183">
      <c r="A1183" s="1"/>
      <c r="B1183" s="4" t="s">
        <v>7141</v>
      </c>
      <c r="D1183" s="9"/>
      <c r="E1183" s="17" t="s">
        <v>14</v>
      </c>
      <c r="F1183" s="1"/>
      <c r="G1183" s="1"/>
      <c r="H1183" s="1"/>
      <c r="I1183" s="1"/>
      <c r="J1183" s="1"/>
      <c r="K1183" s="1"/>
      <c r="L1183" s="1"/>
      <c r="M1183" s="1"/>
      <c r="N1183" s="1"/>
    </row>
    <row r="1184">
      <c r="A1184" s="1"/>
      <c r="B1184" s="14" t="s">
        <v>7142</v>
      </c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"/>
    </row>
    <row r="1185">
      <c r="A1185" s="1"/>
      <c r="B1185" s="4" t="s">
        <v>7143</v>
      </c>
      <c r="D1185" s="9"/>
      <c r="E1185" s="17" t="s">
        <v>14</v>
      </c>
      <c r="F1185" s="18" t="str">
        <f>HYPERLINK("https://www.youtube.com/watch?v=NbfsP6CWRHE&amp;index=205&amp;list=PLbU6uWaIKemqNvTeRxK-Ay6PRg9iwCKVi&amp;t=0s",'Players&gt;List'!$B20 &amp; "++" &amp; 'Players&gt;List'!$B19)</f>
        <v>[KOS]++[HIT]</v>
      </c>
      <c r="H1185" s="1"/>
      <c r="I1185" s="1"/>
      <c r="J1185" s="1"/>
      <c r="K1185" s="1"/>
      <c r="L1185" s="1"/>
      <c r="M1185" s="1"/>
      <c r="N1185" s="1"/>
    </row>
    <row r="1186">
      <c r="A1186" s="1"/>
      <c r="B1186" s="14" t="s">
        <v>7144</v>
      </c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"/>
    </row>
    <row r="1187">
      <c r="A1187" s="1"/>
      <c r="B1187" s="4" t="s">
        <v>7145</v>
      </c>
      <c r="D1187" s="9"/>
      <c r="E1187" s="17" t="s">
        <v>14</v>
      </c>
      <c r="F1187" s="1"/>
      <c r="G1187" s="1"/>
      <c r="H1187" s="1"/>
      <c r="I1187" s="1"/>
      <c r="J1187" s="1"/>
      <c r="K1187" s="1"/>
      <c r="L1187" s="1"/>
      <c r="M1187" s="1"/>
      <c r="N1187" s="1"/>
    </row>
    <row r="1188">
      <c r="A1188" s="1"/>
      <c r="B1188" s="14" t="s">
        <v>7146</v>
      </c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"/>
    </row>
    <row r="1189">
      <c r="A1189" s="1"/>
      <c r="B1189" s="4" t="s">
        <v>7147</v>
      </c>
      <c r="D1189" s="9"/>
      <c r="E1189" s="17" t="s">
        <v>14</v>
      </c>
      <c r="F1189" s="1"/>
      <c r="G1189" s="1"/>
      <c r="H1189" s="1"/>
      <c r="I1189" s="1"/>
      <c r="J1189" s="1"/>
      <c r="K1189" s="1"/>
      <c r="L1189" s="1"/>
      <c r="M1189" s="1"/>
      <c r="N1189" s="1"/>
    </row>
    <row r="1190">
      <c r="A1190" s="1"/>
      <c r="B1190" s="14" t="s">
        <v>7148</v>
      </c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"/>
    </row>
    <row r="1191">
      <c r="A1191" s="1"/>
      <c r="B1191" s="4" t="s">
        <v>7149</v>
      </c>
      <c r="D1191" s="9"/>
      <c r="E1191" s="17" t="s">
        <v>14</v>
      </c>
      <c r="F1191" s="1"/>
      <c r="G1191" s="1"/>
      <c r="H1191" s="1"/>
      <c r="I1191" s="1"/>
      <c r="J1191" s="1"/>
      <c r="K1191" s="1"/>
      <c r="L1191" s="1"/>
      <c r="M1191" s="1"/>
      <c r="N1191" s="1"/>
    </row>
    <row r="1192">
      <c r="A1192" s="1"/>
      <c r="B1192" s="14" t="s">
        <v>7150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"/>
    </row>
    <row r="1193">
      <c r="A1193" s="1"/>
      <c r="B1193" s="4" t="s">
        <v>7151</v>
      </c>
      <c r="D1193" s="9"/>
      <c r="E1193" s="17" t="s">
        <v>14</v>
      </c>
      <c r="F1193" s="1"/>
      <c r="G1193" s="1"/>
      <c r="H1193" s="1"/>
      <c r="I1193" s="1"/>
      <c r="J1193" s="1"/>
      <c r="K1193" s="1"/>
      <c r="L1193" s="1"/>
      <c r="M1193" s="1"/>
      <c r="N1193" s="1"/>
    </row>
    <row r="1194">
      <c r="A1194" s="1"/>
      <c r="B1194" s="14" t="s">
        <v>7152</v>
      </c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"/>
    </row>
    <row r="1195">
      <c r="A1195" s="1"/>
      <c r="B1195" s="4" t="s">
        <v>7153</v>
      </c>
      <c r="D1195" s="9"/>
      <c r="E1195" s="17" t="s">
        <v>14</v>
      </c>
      <c r="F1195" s="18" t="str">
        <f>HYPERLINK("https://www.youtube.com/watch?v=n64PVMwDBxk&amp;index=206&amp;list=PLbU6uWaIKemqNvTeRxK-Ay6PRg9iwCKVi&amp;t=0s",'Players&gt;List'!$B20 &amp; "++" &amp; 'Players&gt;List'!$B19)</f>
        <v>[KOS]++[HIT]</v>
      </c>
      <c r="H1195" s="1"/>
      <c r="I1195" s="1"/>
      <c r="J1195" s="1"/>
      <c r="K1195" s="1"/>
      <c r="L1195" s="1"/>
      <c r="M1195" s="1"/>
      <c r="N1195" s="1"/>
    </row>
    <row r="1196">
      <c r="A1196" s="1"/>
      <c r="B1196" s="14" t="s">
        <v>7154</v>
      </c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"/>
    </row>
    <row r="1197">
      <c r="A1197" s="1"/>
      <c r="B1197" s="4" t="s">
        <v>7155</v>
      </c>
      <c r="D1197" s="9"/>
      <c r="E1197" s="17" t="s">
        <v>14</v>
      </c>
      <c r="F1197" s="18" t="str">
        <f>HYPERLINK("https://www.youtube.com/watch?v=TDTZ-b1N4_w&amp;index=207&amp;list=PLbU6uWaIKemqNvTeRxK-Ay6PRg9iwCKVi&amp;t=0s",'Players&gt;List'!$B20 &amp; "++" &amp; 'Players&gt;List'!$B19)</f>
        <v>[KOS]++[HIT]</v>
      </c>
      <c r="H1197" s="1"/>
      <c r="I1197" s="1"/>
      <c r="J1197" s="1"/>
      <c r="K1197" s="1"/>
      <c r="L1197" s="1"/>
      <c r="M1197" s="1"/>
      <c r="N1197" s="1"/>
    </row>
    <row r="1198">
      <c r="A1198" s="1"/>
      <c r="B1198" s="14" t="s">
        <v>7156</v>
      </c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"/>
    </row>
    <row r="1199">
      <c r="A1199" s="1"/>
      <c r="B1199" s="4" t="s">
        <v>7157</v>
      </c>
      <c r="D1199" s="9"/>
      <c r="E1199" s="17" t="s">
        <v>14</v>
      </c>
      <c r="F1199" s="1"/>
      <c r="G1199" s="1"/>
      <c r="H1199" s="1"/>
      <c r="I1199" s="1"/>
      <c r="J1199" s="1"/>
      <c r="K1199" s="1"/>
      <c r="L1199" s="1"/>
      <c r="M1199" s="1"/>
      <c r="N1199" s="1"/>
    </row>
    <row r="1200">
      <c r="A1200" s="1"/>
      <c r="B1200" s="14" t="s">
        <v>7158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"/>
    </row>
    <row r="1201">
      <c r="A1201" s="1"/>
      <c r="B1201" s="4" t="s">
        <v>7159</v>
      </c>
      <c r="D1201" s="9"/>
      <c r="E1201" s="17" t="s">
        <v>14</v>
      </c>
      <c r="F1201" s="1"/>
      <c r="G1201" s="1"/>
      <c r="H1201" s="1"/>
      <c r="I1201" s="1"/>
      <c r="J1201" s="1"/>
      <c r="K1201" s="1"/>
      <c r="L1201" s="1"/>
      <c r="M1201" s="1"/>
      <c r="N1201" s="1"/>
    </row>
    <row r="1202">
      <c r="A1202" s="1"/>
      <c r="B1202" s="14" t="s">
        <v>7160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"/>
    </row>
    <row r="1203">
      <c r="A1203" s="1"/>
      <c r="B1203" s="4" t="s">
        <v>7161</v>
      </c>
      <c r="D1203" s="9"/>
      <c r="E1203" s="17" t="s">
        <v>14</v>
      </c>
      <c r="F1203" s="18" t="str">
        <f>HYPERLINK("https://www.youtube.com/watch?v=e3h8qAUV-j0&amp;index=208&amp;list=PLbU6uWaIKemqNvTeRxK-Ay6PRg9iwCKVi&amp;t=0s",'Players&gt;List'!$B20 &amp; "++" &amp; 'Players&gt;List'!$B19)</f>
        <v>[KOS]++[HIT]</v>
      </c>
      <c r="H1203" s="1"/>
      <c r="I1203" s="1"/>
      <c r="J1203" s="1"/>
      <c r="K1203" s="1"/>
      <c r="L1203" s="1"/>
      <c r="M1203" s="1"/>
      <c r="N1203" s="1"/>
    </row>
    <row r="1204">
      <c r="A1204" s="1"/>
      <c r="B1204" s="14" t="s">
        <v>7162</v>
      </c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"/>
    </row>
    <row r="1205">
      <c r="A1205" s="1"/>
      <c r="B1205" s="4" t="s">
        <v>7163</v>
      </c>
      <c r="D1205" s="9"/>
      <c r="E1205" s="17" t="s">
        <v>14</v>
      </c>
      <c r="F1205" s="18" t="str">
        <f>HYPERLINK("https://www.youtube.com/watch?v=W2EREI-zzyI&amp;index=209&amp;list=PLbU6uWaIKemqNvTeRxK-Ay6PRg9iwCKVi&amp;t=0s",'Players&gt;List'!$B20 &amp; "++" &amp; 'Players&gt;List'!$B19)</f>
        <v>[KOS]++[HIT]</v>
      </c>
      <c r="H1205" s="1"/>
      <c r="I1205" s="1"/>
      <c r="J1205" s="1"/>
      <c r="K1205" s="1"/>
      <c r="L1205" s="1"/>
      <c r="M1205" s="1"/>
      <c r="N1205" s="1"/>
    </row>
    <row r="1206">
      <c r="A1206" s="1"/>
      <c r="B1206" s="23"/>
      <c r="C1206" s="23"/>
      <c r="D1206" s="23"/>
      <c r="E1206" s="9"/>
      <c r="F1206" s="1"/>
      <c r="G1206" s="1"/>
      <c r="H1206" s="1"/>
      <c r="I1206" s="1"/>
      <c r="J1206" s="1"/>
      <c r="K1206" s="1"/>
      <c r="L1206" s="1"/>
      <c r="M1206" s="1"/>
      <c r="N1206" s="1"/>
    </row>
  </sheetData>
  <mergeCells count="1781">
    <mergeCell ref="B773:C773"/>
    <mergeCell ref="B774:M774"/>
    <mergeCell ref="F757:G757"/>
    <mergeCell ref="F761:G761"/>
    <mergeCell ref="F759:G759"/>
    <mergeCell ref="B762:M762"/>
    <mergeCell ref="B760:M760"/>
    <mergeCell ref="B766:M766"/>
    <mergeCell ref="B764:M764"/>
    <mergeCell ref="B756:M756"/>
    <mergeCell ref="B758:M758"/>
    <mergeCell ref="B775:C775"/>
    <mergeCell ref="B776:M776"/>
    <mergeCell ref="B777:C777"/>
    <mergeCell ref="B771:C771"/>
    <mergeCell ref="B772:M772"/>
    <mergeCell ref="B768:M768"/>
    <mergeCell ref="B759:C759"/>
    <mergeCell ref="B761:C761"/>
    <mergeCell ref="B735:C735"/>
    <mergeCell ref="B741:C741"/>
    <mergeCell ref="B737:C737"/>
    <mergeCell ref="B749:C749"/>
    <mergeCell ref="B745:C745"/>
    <mergeCell ref="B747:C747"/>
    <mergeCell ref="B755:C755"/>
    <mergeCell ref="B751:C751"/>
    <mergeCell ref="B707:C707"/>
    <mergeCell ref="B733:C733"/>
    <mergeCell ref="B767:C767"/>
    <mergeCell ref="B769:C769"/>
    <mergeCell ref="B757:C757"/>
    <mergeCell ref="B731:C731"/>
    <mergeCell ref="B729:C729"/>
    <mergeCell ref="B800:M800"/>
    <mergeCell ref="B806:M806"/>
    <mergeCell ref="B804:M804"/>
    <mergeCell ref="B802:M802"/>
    <mergeCell ref="B801:C801"/>
    <mergeCell ref="B803:C803"/>
    <mergeCell ref="B805:C805"/>
    <mergeCell ref="B813:C813"/>
    <mergeCell ref="B811:C811"/>
    <mergeCell ref="B809:C809"/>
    <mergeCell ref="B807:C807"/>
    <mergeCell ref="B824:M824"/>
    <mergeCell ref="B822:M822"/>
    <mergeCell ref="F823:G823"/>
    <mergeCell ref="B820:M820"/>
    <mergeCell ref="F821:G821"/>
    <mergeCell ref="F815:G815"/>
    <mergeCell ref="F817:G817"/>
    <mergeCell ref="F845:G845"/>
    <mergeCell ref="H843:I843"/>
    <mergeCell ref="B842:M842"/>
    <mergeCell ref="B844:M844"/>
    <mergeCell ref="H845:I845"/>
    <mergeCell ref="B845:C845"/>
    <mergeCell ref="B840:M840"/>
    <mergeCell ref="B830:M830"/>
    <mergeCell ref="B829:C829"/>
    <mergeCell ref="B828:M828"/>
    <mergeCell ref="B827:C827"/>
    <mergeCell ref="B790:M790"/>
    <mergeCell ref="B816:M816"/>
    <mergeCell ref="F819:G819"/>
    <mergeCell ref="B814:M814"/>
    <mergeCell ref="B812:M812"/>
    <mergeCell ref="F813:G813"/>
    <mergeCell ref="F783:G783"/>
    <mergeCell ref="B783:C783"/>
    <mergeCell ref="B787:C787"/>
    <mergeCell ref="B786:M786"/>
    <mergeCell ref="F785:G785"/>
    <mergeCell ref="F787:G787"/>
    <mergeCell ref="B784:M784"/>
    <mergeCell ref="B782:M782"/>
    <mergeCell ref="B796:M796"/>
    <mergeCell ref="B792:M792"/>
    <mergeCell ref="B794:M794"/>
    <mergeCell ref="B781:C781"/>
    <mergeCell ref="F781:G781"/>
    <mergeCell ref="F705:G705"/>
    <mergeCell ref="F731:G731"/>
    <mergeCell ref="B730:M730"/>
    <mergeCell ref="B763:C763"/>
    <mergeCell ref="B765:C765"/>
    <mergeCell ref="F797:G797"/>
    <mergeCell ref="B798:M798"/>
    <mergeCell ref="B734:M734"/>
    <mergeCell ref="B736:M736"/>
    <mergeCell ref="B750:M750"/>
    <mergeCell ref="B748:M748"/>
    <mergeCell ref="B754:M754"/>
    <mergeCell ref="B753:C753"/>
    <mergeCell ref="B732:M732"/>
    <mergeCell ref="F733:G733"/>
    <mergeCell ref="B742:M742"/>
    <mergeCell ref="F697:G697"/>
    <mergeCell ref="F699:G699"/>
    <mergeCell ref="F715:G715"/>
    <mergeCell ref="F701:G701"/>
    <mergeCell ref="F717:G717"/>
    <mergeCell ref="F713:G713"/>
    <mergeCell ref="F719:G719"/>
    <mergeCell ref="B706:M706"/>
    <mergeCell ref="B702:M702"/>
    <mergeCell ref="B719:C719"/>
    <mergeCell ref="B720:M720"/>
    <mergeCell ref="B709:C709"/>
    <mergeCell ref="B715:C715"/>
    <mergeCell ref="B717:C717"/>
    <mergeCell ref="B713:C713"/>
    <mergeCell ref="B711:C711"/>
    <mergeCell ref="B695:C695"/>
    <mergeCell ref="B708:M708"/>
    <mergeCell ref="B793:C793"/>
    <mergeCell ref="B795:C795"/>
    <mergeCell ref="F773:G773"/>
    <mergeCell ref="F771:G771"/>
    <mergeCell ref="F755:G755"/>
    <mergeCell ref="B799:C799"/>
    <mergeCell ref="B797:C797"/>
    <mergeCell ref="B791:C791"/>
    <mergeCell ref="B789:C789"/>
    <mergeCell ref="B726:M726"/>
    <mergeCell ref="B724:M724"/>
    <mergeCell ref="F725:G725"/>
    <mergeCell ref="B826:M826"/>
    <mergeCell ref="B838:M838"/>
    <mergeCell ref="F837:G837"/>
    <mergeCell ref="F833:G833"/>
    <mergeCell ref="F829:G829"/>
    <mergeCell ref="F831:G831"/>
    <mergeCell ref="F827:G827"/>
    <mergeCell ref="B853:C853"/>
    <mergeCell ref="B847:C847"/>
    <mergeCell ref="B849:C849"/>
    <mergeCell ref="B846:M846"/>
    <mergeCell ref="B850:M850"/>
    <mergeCell ref="B848:M848"/>
    <mergeCell ref="F857:G857"/>
    <mergeCell ref="B825:C825"/>
    <mergeCell ref="B880:M880"/>
    <mergeCell ref="F825:G825"/>
    <mergeCell ref="F867:G867"/>
    <mergeCell ref="B860:M860"/>
    <mergeCell ref="B877:C877"/>
    <mergeCell ref="B910:M910"/>
    <mergeCell ref="B918:M918"/>
    <mergeCell ref="B916:M916"/>
    <mergeCell ref="B934:M934"/>
    <mergeCell ref="F933:G933"/>
    <mergeCell ref="B931:C931"/>
    <mergeCell ref="B930:M930"/>
    <mergeCell ref="B933:C933"/>
    <mergeCell ref="F931:G931"/>
    <mergeCell ref="B932:M932"/>
    <mergeCell ref="B928:M928"/>
    <mergeCell ref="B926:M926"/>
    <mergeCell ref="B927:C927"/>
    <mergeCell ref="B888:M888"/>
    <mergeCell ref="B892:M892"/>
    <mergeCell ref="B890:M890"/>
    <mergeCell ref="B920:M920"/>
    <mergeCell ref="B905:C905"/>
    <mergeCell ref="B889:C889"/>
    <mergeCell ref="B929:C929"/>
    <mergeCell ref="B746:M746"/>
    <mergeCell ref="B744:M744"/>
    <mergeCell ref="B778:M778"/>
    <mergeCell ref="F777:G777"/>
    <mergeCell ref="F775:G775"/>
    <mergeCell ref="B752:M752"/>
    <mergeCell ref="H755:I755"/>
    <mergeCell ref="B740:M740"/>
    <mergeCell ref="F779:G779"/>
    <mergeCell ref="B914:M914"/>
    <mergeCell ref="B912:M912"/>
    <mergeCell ref="B924:M924"/>
    <mergeCell ref="B922:M922"/>
    <mergeCell ref="B894:M894"/>
    <mergeCell ref="B896:M896"/>
    <mergeCell ref="B886:M886"/>
    <mergeCell ref="B879:C879"/>
    <mergeCell ref="B883:C883"/>
    <mergeCell ref="B898:M898"/>
    <mergeCell ref="B897:C897"/>
    <mergeCell ref="F935:G935"/>
    <mergeCell ref="F941:G941"/>
    <mergeCell ref="B1003:C1003"/>
    <mergeCell ref="B1001:C1001"/>
    <mergeCell ref="B1017:C1017"/>
    <mergeCell ref="B1011:C1011"/>
    <mergeCell ref="F1101:G1101"/>
    <mergeCell ref="F1099:G1099"/>
    <mergeCell ref="B1099:C1099"/>
    <mergeCell ref="B1101:C1101"/>
    <mergeCell ref="B1105:C1105"/>
    <mergeCell ref="B1107:C1107"/>
    <mergeCell ref="F1105:G1105"/>
    <mergeCell ref="F1085:G1085"/>
    <mergeCell ref="B1123:C1123"/>
    <mergeCell ref="B1089:C1089"/>
    <mergeCell ref="B1103:C1103"/>
    <mergeCell ref="B1095:C1095"/>
    <mergeCell ref="B1097:C1097"/>
    <mergeCell ref="B1137:C1137"/>
    <mergeCell ref="B1145:C1145"/>
    <mergeCell ref="B1147:C1147"/>
    <mergeCell ref="B1129:C1129"/>
    <mergeCell ref="B1127:C1127"/>
    <mergeCell ref="B1139:C1139"/>
    <mergeCell ref="B1025:C1025"/>
    <mergeCell ref="B913:C913"/>
    <mergeCell ref="B911:C911"/>
    <mergeCell ref="B909:C909"/>
    <mergeCell ref="B917:C917"/>
    <mergeCell ref="B915:C915"/>
    <mergeCell ref="B919:C919"/>
    <mergeCell ref="B921:C921"/>
    <mergeCell ref="F887:G887"/>
    <mergeCell ref="F893:G893"/>
    <mergeCell ref="F891:G891"/>
    <mergeCell ref="B891:C891"/>
    <mergeCell ref="B903:C903"/>
    <mergeCell ref="F1025:G1025"/>
    <mergeCell ref="F1027:G1027"/>
    <mergeCell ref="F1095:G1095"/>
    <mergeCell ref="F1089:G1089"/>
    <mergeCell ref="F1087:G1087"/>
    <mergeCell ref="F1093:G1093"/>
    <mergeCell ref="F1097:G1097"/>
    <mergeCell ref="F1091:G1091"/>
    <mergeCell ref="B1087:C1087"/>
    <mergeCell ref="B1057:C1057"/>
    <mergeCell ref="B1133:C1133"/>
    <mergeCell ref="B1135:C1135"/>
    <mergeCell ref="F885:G885"/>
    <mergeCell ref="B923:C923"/>
    <mergeCell ref="F895:G895"/>
    <mergeCell ref="B961:C961"/>
    <mergeCell ref="B1027:C1027"/>
    <mergeCell ref="B1069:C1069"/>
    <mergeCell ref="F1077:G1077"/>
    <mergeCell ref="F1075:G1075"/>
    <mergeCell ref="F1069:G1069"/>
    <mergeCell ref="F1071:G1071"/>
    <mergeCell ref="B1075:C1075"/>
    <mergeCell ref="F1073:G1073"/>
    <mergeCell ref="F1053:G1053"/>
    <mergeCell ref="F995:G995"/>
    <mergeCell ref="F1049:G1049"/>
    <mergeCell ref="F1051:G1051"/>
    <mergeCell ref="B1059:C1059"/>
    <mergeCell ref="B1067:C1067"/>
    <mergeCell ref="B1065:C1065"/>
    <mergeCell ref="B1061:C1061"/>
    <mergeCell ref="B1063:C1063"/>
    <mergeCell ref="F1065:G1065"/>
    <mergeCell ref="F1063:G1063"/>
    <mergeCell ref="F1055:G1055"/>
    <mergeCell ref="F1079:G1079"/>
    <mergeCell ref="F1061:G1061"/>
    <mergeCell ref="F1057:G1057"/>
    <mergeCell ref="F1059:G1059"/>
    <mergeCell ref="F1067:G1067"/>
    <mergeCell ref="F1083:G1083"/>
    <mergeCell ref="F1081:G1081"/>
    <mergeCell ref="B1081:C1081"/>
    <mergeCell ref="B1083:C1083"/>
    <mergeCell ref="B1071:C1071"/>
    <mergeCell ref="B1073:C1073"/>
    <mergeCell ref="B965:C965"/>
    <mergeCell ref="B967:C967"/>
    <mergeCell ref="B968:M968"/>
    <mergeCell ref="B966:M966"/>
    <mergeCell ref="F967:G967"/>
    <mergeCell ref="B1028:M1028"/>
    <mergeCell ref="B1022:M1022"/>
    <mergeCell ref="B982:M982"/>
    <mergeCell ref="B1004:M1004"/>
    <mergeCell ref="B1006:M1006"/>
    <mergeCell ref="B1018:M1018"/>
    <mergeCell ref="B994:M994"/>
    <mergeCell ref="H995:I995"/>
    <mergeCell ref="B998:M998"/>
    <mergeCell ref="B996:M996"/>
    <mergeCell ref="B1002:M1002"/>
    <mergeCell ref="B1000:M1000"/>
    <mergeCell ref="B1102:M1102"/>
    <mergeCell ref="B1100:M1100"/>
    <mergeCell ref="B1108:M1108"/>
    <mergeCell ref="B1112:M1112"/>
    <mergeCell ref="B1104:M1104"/>
    <mergeCell ref="B1106:M1106"/>
    <mergeCell ref="B1110:M1110"/>
    <mergeCell ref="B1082:M1082"/>
    <mergeCell ref="H1083:I1083"/>
    <mergeCell ref="B1098:M1098"/>
    <mergeCell ref="B1086:M1086"/>
    <mergeCell ref="B1088:M1088"/>
    <mergeCell ref="H1095:I1095"/>
    <mergeCell ref="B1094:M1094"/>
    <mergeCell ref="B1096:M1096"/>
    <mergeCell ref="B1092:M1092"/>
    <mergeCell ref="F923:G923"/>
    <mergeCell ref="F909:G909"/>
    <mergeCell ref="F911:G911"/>
    <mergeCell ref="F913:G913"/>
    <mergeCell ref="F917:G917"/>
    <mergeCell ref="F915:G915"/>
    <mergeCell ref="B936:M936"/>
    <mergeCell ref="B935:C935"/>
    <mergeCell ref="B955:C955"/>
    <mergeCell ref="B957:C957"/>
    <mergeCell ref="F959:G959"/>
    <mergeCell ref="B959:C959"/>
    <mergeCell ref="B960:M960"/>
    <mergeCell ref="B962:M962"/>
    <mergeCell ref="F961:G961"/>
    <mergeCell ref="B939:C939"/>
    <mergeCell ref="B941:C941"/>
    <mergeCell ref="F937:G937"/>
    <mergeCell ref="B937:C937"/>
    <mergeCell ref="B938:M938"/>
    <mergeCell ref="B956:M956"/>
    <mergeCell ref="B958:M958"/>
    <mergeCell ref="F957:G957"/>
    <mergeCell ref="F939:G939"/>
    <mergeCell ref="B940:M940"/>
    <mergeCell ref="B1014:M1014"/>
    <mergeCell ref="B1016:M1016"/>
    <mergeCell ref="B1074:M1074"/>
    <mergeCell ref="B1076:M1076"/>
    <mergeCell ref="H1065:I1065"/>
    <mergeCell ref="B1062:M1062"/>
    <mergeCell ref="B1064:M1064"/>
    <mergeCell ref="B1066:M1066"/>
    <mergeCell ref="B1068:M1068"/>
    <mergeCell ref="B1070:M1070"/>
    <mergeCell ref="B1072:M1072"/>
    <mergeCell ref="B548:M548"/>
    <mergeCell ref="B554:M554"/>
    <mergeCell ref="B552:M552"/>
    <mergeCell ref="B550:M550"/>
    <mergeCell ref="B551:C551"/>
    <mergeCell ref="B549:C549"/>
    <mergeCell ref="B596:M596"/>
    <mergeCell ref="B591:C591"/>
    <mergeCell ref="B592:M592"/>
    <mergeCell ref="B593:C593"/>
    <mergeCell ref="B594:M594"/>
    <mergeCell ref="F599:G599"/>
    <mergeCell ref="B597:C597"/>
    <mergeCell ref="B579:C579"/>
    <mergeCell ref="B577:C577"/>
    <mergeCell ref="F573:G573"/>
    <mergeCell ref="J573:K573"/>
    <mergeCell ref="H573:I573"/>
    <mergeCell ref="B573:C573"/>
    <mergeCell ref="B568:M568"/>
    <mergeCell ref="B570:M570"/>
    <mergeCell ref="B572:M572"/>
    <mergeCell ref="B506:M506"/>
    <mergeCell ref="F507:G507"/>
    <mergeCell ref="F509:G509"/>
    <mergeCell ref="F511:G511"/>
    <mergeCell ref="F513:G513"/>
    <mergeCell ref="F515:G515"/>
    <mergeCell ref="B604:M604"/>
    <mergeCell ref="B602:M602"/>
    <mergeCell ref="B544:M544"/>
    <mergeCell ref="B540:M540"/>
    <mergeCell ref="B542:M542"/>
    <mergeCell ref="B555:C555"/>
    <mergeCell ref="B561:C561"/>
    <mergeCell ref="B649:C649"/>
    <mergeCell ref="B650:M650"/>
    <mergeCell ref="B645:C645"/>
    <mergeCell ref="B646:M646"/>
    <mergeCell ref="B643:C643"/>
    <mergeCell ref="B642:M642"/>
    <mergeCell ref="B641:C641"/>
    <mergeCell ref="B644:M644"/>
    <mergeCell ref="B648:M648"/>
    <mergeCell ref="B676:M676"/>
    <mergeCell ref="B677:C677"/>
    <mergeCell ref="B672:M672"/>
    <mergeCell ref="B682:M682"/>
    <mergeCell ref="B680:M680"/>
    <mergeCell ref="B674:M674"/>
    <mergeCell ref="B640:M640"/>
    <mergeCell ref="B638:M638"/>
    <mergeCell ref="B613:C613"/>
    <mergeCell ref="B617:C617"/>
    <mergeCell ref="B615:C615"/>
    <mergeCell ref="B621:C621"/>
    <mergeCell ref="B619:C619"/>
    <mergeCell ref="B623:C623"/>
    <mergeCell ref="B627:C627"/>
    <mergeCell ref="F615:G615"/>
    <mergeCell ref="F711:G711"/>
    <mergeCell ref="F707:G707"/>
    <mergeCell ref="J655:K655"/>
    <mergeCell ref="B656:M656"/>
    <mergeCell ref="B658:M658"/>
    <mergeCell ref="B659:C659"/>
    <mergeCell ref="B660:M660"/>
    <mergeCell ref="B662:M662"/>
    <mergeCell ref="B664:M664"/>
    <mergeCell ref="B654:M654"/>
    <mergeCell ref="B652:M652"/>
    <mergeCell ref="B493:C493"/>
    <mergeCell ref="B504:M504"/>
    <mergeCell ref="H493:I493"/>
    <mergeCell ref="B496:M496"/>
    <mergeCell ref="B494:M494"/>
    <mergeCell ref="F495:G495"/>
    <mergeCell ref="F493:G493"/>
    <mergeCell ref="B498:M498"/>
    <mergeCell ref="B1199:C1199"/>
    <mergeCell ref="B1201:C1201"/>
    <mergeCell ref="B1205:C1205"/>
    <mergeCell ref="F1197:G1197"/>
    <mergeCell ref="F1195:G1195"/>
    <mergeCell ref="B1203:C1203"/>
    <mergeCell ref="B1202:M1202"/>
    <mergeCell ref="B1200:M1200"/>
    <mergeCell ref="B1198:M1198"/>
    <mergeCell ref="B1204:M1204"/>
    <mergeCell ref="B1195:C1195"/>
    <mergeCell ref="F1163:G1163"/>
    <mergeCell ref="B1162:M1162"/>
    <mergeCell ref="B1160:M1160"/>
    <mergeCell ref="B1174:M1174"/>
    <mergeCell ref="B1152:M1152"/>
    <mergeCell ref="B1153:C1153"/>
    <mergeCell ref="B1164:M1164"/>
    <mergeCell ref="B1166:M1166"/>
    <mergeCell ref="F1157:G1157"/>
    <mergeCell ref="B1157:C1157"/>
    <mergeCell ref="B1143:C1143"/>
    <mergeCell ref="B1141:C1141"/>
    <mergeCell ref="B1149:C1149"/>
    <mergeCell ref="B1151:C1151"/>
    <mergeCell ref="F1013:G1013"/>
    <mergeCell ref="F1005:G1005"/>
    <mergeCell ref="F1007:G1007"/>
    <mergeCell ref="F1011:G1011"/>
    <mergeCell ref="F929:G929"/>
    <mergeCell ref="F927:G927"/>
    <mergeCell ref="F1023:G1023"/>
    <mergeCell ref="F1017:G1017"/>
    <mergeCell ref="F1021:G1021"/>
    <mergeCell ref="F1015:G1015"/>
    <mergeCell ref="F1019:G1019"/>
    <mergeCell ref="B1084:M1084"/>
    <mergeCell ref="B1090:M1090"/>
    <mergeCell ref="F1031:G1031"/>
    <mergeCell ref="F1029:G1029"/>
    <mergeCell ref="B1032:M1032"/>
    <mergeCell ref="B1048:M1048"/>
    <mergeCell ref="B1050:M1050"/>
    <mergeCell ref="B1080:M1080"/>
    <mergeCell ref="B1078:M1078"/>
    <mergeCell ref="B409:C409"/>
    <mergeCell ref="B408:M408"/>
    <mergeCell ref="B412:M412"/>
    <mergeCell ref="B414:M414"/>
    <mergeCell ref="B426:M426"/>
    <mergeCell ref="B400:M400"/>
    <mergeCell ref="B402:M402"/>
    <mergeCell ref="B406:M406"/>
    <mergeCell ref="B404:M404"/>
    <mergeCell ref="F409:G409"/>
    <mergeCell ref="B410:M410"/>
    <mergeCell ref="H475:I475"/>
    <mergeCell ref="B474:M474"/>
    <mergeCell ref="F469:G469"/>
    <mergeCell ref="B466:M466"/>
    <mergeCell ref="B468:M468"/>
    <mergeCell ref="F459:G459"/>
    <mergeCell ref="B464:M464"/>
    <mergeCell ref="B462:M462"/>
    <mergeCell ref="B460:M460"/>
    <mergeCell ref="B476:M476"/>
    <mergeCell ref="F477:G477"/>
    <mergeCell ref="F473:G473"/>
    <mergeCell ref="F475:G475"/>
    <mergeCell ref="B458:M458"/>
    <mergeCell ref="B472:M472"/>
    <mergeCell ref="B470:M470"/>
    <mergeCell ref="F489:G489"/>
    <mergeCell ref="B488:M488"/>
    <mergeCell ref="F461:G461"/>
    <mergeCell ref="F465:G465"/>
    <mergeCell ref="F439:G439"/>
    <mergeCell ref="F437:G437"/>
    <mergeCell ref="F457:G457"/>
    <mergeCell ref="J491:K491"/>
    <mergeCell ref="B490:M490"/>
    <mergeCell ref="B482:M482"/>
    <mergeCell ref="B484:M484"/>
    <mergeCell ref="B491:C491"/>
    <mergeCell ref="F491:G491"/>
    <mergeCell ref="B478:M478"/>
    <mergeCell ref="B480:M480"/>
    <mergeCell ref="H491:I491"/>
    <mergeCell ref="B492:M492"/>
    <mergeCell ref="B486:M486"/>
    <mergeCell ref="B407:C407"/>
    <mergeCell ref="F407:G407"/>
    <mergeCell ref="B457:C457"/>
    <mergeCell ref="B456:M456"/>
    <mergeCell ref="B452:M452"/>
    <mergeCell ref="B454:M454"/>
    <mergeCell ref="H451:I451"/>
    <mergeCell ref="F709:G709"/>
    <mergeCell ref="B718:M718"/>
    <mergeCell ref="B716:M716"/>
    <mergeCell ref="B714:M714"/>
    <mergeCell ref="B710:M710"/>
    <mergeCell ref="B712:M712"/>
    <mergeCell ref="B701:C701"/>
    <mergeCell ref="B703:C703"/>
    <mergeCell ref="B700:M700"/>
    <mergeCell ref="B698:M698"/>
    <mergeCell ref="B704:M704"/>
    <mergeCell ref="B705:C705"/>
    <mergeCell ref="F703:G703"/>
    <mergeCell ref="B697:C697"/>
    <mergeCell ref="B699:C699"/>
    <mergeCell ref="B639:C639"/>
    <mergeCell ref="B637:C637"/>
    <mergeCell ref="B635:C635"/>
    <mergeCell ref="B633:C633"/>
    <mergeCell ref="B655:C655"/>
    <mergeCell ref="B653:C653"/>
    <mergeCell ref="B651:C651"/>
    <mergeCell ref="B629:C629"/>
    <mergeCell ref="B631:C631"/>
    <mergeCell ref="B663:C663"/>
    <mergeCell ref="B647:C647"/>
    <mergeCell ref="B517:C517"/>
    <mergeCell ref="B519:C519"/>
    <mergeCell ref="B525:C525"/>
    <mergeCell ref="B527:C527"/>
    <mergeCell ref="H585:I585"/>
    <mergeCell ref="B584:M584"/>
    <mergeCell ref="F585:G585"/>
    <mergeCell ref="B578:M578"/>
    <mergeCell ref="B580:M580"/>
    <mergeCell ref="B575:C575"/>
    <mergeCell ref="B574:M574"/>
    <mergeCell ref="B583:C583"/>
    <mergeCell ref="B581:C581"/>
    <mergeCell ref="B587:C587"/>
    <mergeCell ref="B589:C589"/>
    <mergeCell ref="B595:C595"/>
    <mergeCell ref="B590:M590"/>
    <mergeCell ref="B513:C513"/>
    <mergeCell ref="B515:C515"/>
    <mergeCell ref="B585:C585"/>
    <mergeCell ref="F575:G575"/>
    <mergeCell ref="B582:M582"/>
    <mergeCell ref="B576:M576"/>
    <mergeCell ref="F595:G595"/>
    <mergeCell ref="B609:C609"/>
    <mergeCell ref="F609:G609"/>
    <mergeCell ref="B598:M598"/>
    <mergeCell ref="B600:M600"/>
    <mergeCell ref="F611:G611"/>
    <mergeCell ref="F613:G613"/>
    <mergeCell ref="B611:C611"/>
    <mergeCell ref="F605:G605"/>
    <mergeCell ref="F607:G607"/>
    <mergeCell ref="B446:M446"/>
    <mergeCell ref="B444:M444"/>
    <mergeCell ref="B450:M450"/>
    <mergeCell ref="H449:I449"/>
    <mergeCell ref="B448:M448"/>
    <mergeCell ref="B438:M438"/>
    <mergeCell ref="B436:M436"/>
    <mergeCell ref="B440:M440"/>
    <mergeCell ref="B442:M442"/>
    <mergeCell ref="F373:G373"/>
    <mergeCell ref="F411:G411"/>
    <mergeCell ref="F383:G383"/>
    <mergeCell ref="F379:G379"/>
    <mergeCell ref="F381:G381"/>
    <mergeCell ref="F375:G375"/>
    <mergeCell ref="F377:G377"/>
    <mergeCell ref="B393:C393"/>
    <mergeCell ref="B395:C395"/>
    <mergeCell ref="F363:G363"/>
    <mergeCell ref="B363:C363"/>
    <mergeCell ref="F367:G367"/>
    <mergeCell ref="B367:C367"/>
    <mergeCell ref="F369:G369"/>
    <mergeCell ref="B369:C369"/>
    <mergeCell ref="F365:G365"/>
    <mergeCell ref="F361:G361"/>
    <mergeCell ref="B425:C425"/>
    <mergeCell ref="B387:C387"/>
    <mergeCell ref="B391:C391"/>
    <mergeCell ref="B361:C361"/>
    <mergeCell ref="B365:C365"/>
    <mergeCell ref="B376:M376"/>
    <mergeCell ref="B374:M374"/>
    <mergeCell ref="B372:M372"/>
    <mergeCell ref="B373:C373"/>
    <mergeCell ref="B375:C375"/>
    <mergeCell ref="B383:C383"/>
    <mergeCell ref="F385:G385"/>
    <mergeCell ref="F387:G387"/>
    <mergeCell ref="B381:C381"/>
    <mergeCell ref="B385:C385"/>
    <mergeCell ref="B377:C377"/>
    <mergeCell ref="B379:C379"/>
    <mergeCell ref="B380:M380"/>
    <mergeCell ref="B382:M382"/>
    <mergeCell ref="B384:M384"/>
    <mergeCell ref="B378:M378"/>
    <mergeCell ref="B386:M386"/>
    <mergeCell ref="F371:G371"/>
    <mergeCell ref="B371:C371"/>
    <mergeCell ref="B370:M370"/>
    <mergeCell ref="B364:M364"/>
    <mergeCell ref="B366:M366"/>
    <mergeCell ref="B368:M368"/>
    <mergeCell ref="F359:G359"/>
    <mergeCell ref="F357:G357"/>
    <mergeCell ref="B358:M358"/>
    <mergeCell ref="B357:C357"/>
    <mergeCell ref="B360:M360"/>
    <mergeCell ref="B359:C359"/>
    <mergeCell ref="B362:M362"/>
    <mergeCell ref="F723:G723"/>
    <mergeCell ref="F721:G721"/>
    <mergeCell ref="B1150:M1150"/>
    <mergeCell ref="B1148:M1148"/>
    <mergeCell ref="B1144:M1144"/>
    <mergeCell ref="B1142:M1142"/>
    <mergeCell ref="F1203:G1203"/>
    <mergeCell ref="F1205:G1205"/>
    <mergeCell ref="B1196:M1196"/>
    <mergeCell ref="B1197:C1197"/>
    <mergeCell ref="B1173:C1173"/>
    <mergeCell ref="B1185:C1185"/>
    <mergeCell ref="B1175:C1175"/>
    <mergeCell ref="B1177:C1177"/>
    <mergeCell ref="F1175:G1175"/>
    <mergeCell ref="B1130:M1130"/>
    <mergeCell ref="B1138:M1138"/>
    <mergeCell ref="B1132:M1132"/>
    <mergeCell ref="B1134:M1134"/>
    <mergeCell ref="F1133:G1133"/>
    <mergeCell ref="F1135:G1135"/>
    <mergeCell ref="B1136:M1136"/>
    <mergeCell ref="F807:G807"/>
    <mergeCell ref="B779:C779"/>
    <mergeCell ref="B901:C901"/>
    <mergeCell ref="B902:M902"/>
    <mergeCell ref="B904:M904"/>
    <mergeCell ref="F903:G903"/>
    <mergeCell ref="B906:M906"/>
    <mergeCell ref="B981:C981"/>
    <mergeCell ref="B980:M980"/>
    <mergeCell ref="B951:C951"/>
    <mergeCell ref="B953:C953"/>
    <mergeCell ref="B976:M976"/>
    <mergeCell ref="B974:M974"/>
    <mergeCell ref="B983:C983"/>
    <mergeCell ref="B972:M972"/>
    <mergeCell ref="B978:M978"/>
    <mergeCell ref="B970:M970"/>
    <mergeCell ref="B992:M992"/>
    <mergeCell ref="B993:C993"/>
    <mergeCell ref="F993:G993"/>
    <mergeCell ref="B1043:C1043"/>
    <mergeCell ref="B1039:C1039"/>
    <mergeCell ref="B1041:C1041"/>
    <mergeCell ref="B1019:C1019"/>
    <mergeCell ref="B1029:C1029"/>
    <mergeCell ref="B1021:C1021"/>
    <mergeCell ref="B1023:C1023"/>
    <mergeCell ref="F991:G991"/>
    <mergeCell ref="F999:G999"/>
    <mergeCell ref="F1043:G1043"/>
    <mergeCell ref="F1039:G1039"/>
    <mergeCell ref="B1163:C1163"/>
    <mergeCell ref="B1172:M1172"/>
    <mergeCell ref="B1060:M1060"/>
    <mergeCell ref="B1058:M1058"/>
    <mergeCell ref="F1035:G1035"/>
    <mergeCell ref="B1036:M1036"/>
    <mergeCell ref="F741:G741"/>
    <mergeCell ref="F747:G747"/>
    <mergeCell ref="F749:G749"/>
    <mergeCell ref="F751:G751"/>
    <mergeCell ref="F729:G729"/>
    <mergeCell ref="F727:G727"/>
    <mergeCell ref="F737:G737"/>
    <mergeCell ref="F735:G735"/>
    <mergeCell ref="F753:G753"/>
    <mergeCell ref="F789:G789"/>
    <mergeCell ref="F795:G795"/>
    <mergeCell ref="B788:M788"/>
    <mergeCell ref="B785:C785"/>
    <mergeCell ref="F791:G791"/>
    <mergeCell ref="F793:G793"/>
    <mergeCell ref="F799:G799"/>
    <mergeCell ref="F801:G801"/>
    <mergeCell ref="F803:G803"/>
    <mergeCell ref="F805:G805"/>
    <mergeCell ref="B780:M780"/>
    <mergeCell ref="B899:C899"/>
    <mergeCell ref="B900:M900"/>
    <mergeCell ref="F899:G899"/>
    <mergeCell ref="F853:G853"/>
    <mergeCell ref="F855:G855"/>
    <mergeCell ref="B808:M808"/>
    <mergeCell ref="F809:G809"/>
    <mergeCell ref="B810:M810"/>
    <mergeCell ref="F811:G811"/>
    <mergeCell ref="B884:M884"/>
    <mergeCell ref="B907:C907"/>
    <mergeCell ref="F907:G907"/>
    <mergeCell ref="F901:G901"/>
    <mergeCell ref="F905:G905"/>
    <mergeCell ref="H905:I905"/>
    <mergeCell ref="B925:C925"/>
    <mergeCell ref="F919:G919"/>
    <mergeCell ref="F921:G921"/>
    <mergeCell ref="F925:G925"/>
    <mergeCell ref="F951:G951"/>
    <mergeCell ref="F943:G943"/>
    <mergeCell ref="F945:G945"/>
    <mergeCell ref="F949:G949"/>
    <mergeCell ref="F947:G947"/>
    <mergeCell ref="F987:G987"/>
    <mergeCell ref="F971:G971"/>
    <mergeCell ref="F979:G979"/>
    <mergeCell ref="F989:G989"/>
    <mergeCell ref="F889:G889"/>
    <mergeCell ref="F843:G843"/>
    <mergeCell ref="F835:G835"/>
    <mergeCell ref="F847:G847"/>
    <mergeCell ref="F849:G849"/>
    <mergeCell ref="F953:G953"/>
    <mergeCell ref="H945:I945"/>
    <mergeCell ref="B942:M942"/>
    <mergeCell ref="B943:C943"/>
    <mergeCell ref="B944:M944"/>
    <mergeCell ref="B945:C945"/>
    <mergeCell ref="B947:C947"/>
    <mergeCell ref="B946:M946"/>
    <mergeCell ref="B908:M908"/>
    <mergeCell ref="B950:M950"/>
    <mergeCell ref="B952:M952"/>
    <mergeCell ref="B949:C949"/>
    <mergeCell ref="B954:M954"/>
    <mergeCell ref="H949:I949"/>
    <mergeCell ref="B948:M948"/>
    <mergeCell ref="F1037:G1037"/>
    <mergeCell ref="B1034:M1034"/>
    <mergeCell ref="B1042:M1042"/>
    <mergeCell ref="B1040:M1040"/>
    <mergeCell ref="F1041:G1041"/>
    <mergeCell ref="B1030:M1030"/>
    <mergeCell ref="B1024:M1024"/>
    <mergeCell ref="B1026:M1026"/>
    <mergeCell ref="H1025:I1025"/>
    <mergeCell ref="B817:C817"/>
    <mergeCell ref="B819:C819"/>
    <mergeCell ref="F743:G743"/>
    <mergeCell ref="B743:C743"/>
    <mergeCell ref="B832:M832"/>
    <mergeCell ref="B836:M836"/>
    <mergeCell ref="B834:M834"/>
    <mergeCell ref="B815:C815"/>
    <mergeCell ref="B818:M818"/>
    <mergeCell ref="F975:G975"/>
    <mergeCell ref="B977:C977"/>
    <mergeCell ref="F977:G977"/>
    <mergeCell ref="B975:C975"/>
    <mergeCell ref="B985:C985"/>
    <mergeCell ref="B987:C987"/>
    <mergeCell ref="B988:M988"/>
    <mergeCell ref="B984:M984"/>
    <mergeCell ref="B986:M986"/>
    <mergeCell ref="F985:G985"/>
    <mergeCell ref="F981:G981"/>
    <mergeCell ref="F983:G983"/>
    <mergeCell ref="B979:C979"/>
    <mergeCell ref="B721:C721"/>
    <mergeCell ref="B723:C723"/>
    <mergeCell ref="B727:C727"/>
    <mergeCell ref="B725:C725"/>
    <mergeCell ref="B821:C821"/>
    <mergeCell ref="B823:C823"/>
    <mergeCell ref="B837:C837"/>
    <mergeCell ref="B833:C833"/>
    <mergeCell ref="B835:C835"/>
    <mergeCell ref="B831:C831"/>
    <mergeCell ref="B969:C969"/>
    <mergeCell ref="F969:G969"/>
    <mergeCell ref="F897:G897"/>
    <mergeCell ref="F955:G955"/>
    <mergeCell ref="F973:G973"/>
    <mergeCell ref="B973:C973"/>
    <mergeCell ref="B964:M964"/>
    <mergeCell ref="F965:G965"/>
    <mergeCell ref="B963:C963"/>
    <mergeCell ref="F963:G963"/>
    <mergeCell ref="B971:C971"/>
    <mergeCell ref="B1187:C1187"/>
    <mergeCell ref="B1181:C1181"/>
    <mergeCell ref="B1184:M1184"/>
    <mergeCell ref="B1186:M1186"/>
    <mergeCell ref="B1189:C1189"/>
    <mergeCell ref="F1185:G1185"/>
    <mergeCell ref="B1124:M1124"/>
    <mergeCell ref="B1126:M1126"/>
    <mergeCell ref="B1125:C1125"/>
    <mergeCell ref="B1131:C1131"/>
    <mergeCell ref="B1128:M1128"/>
    <mergeCell ref="B1180:M1180"/>
    <mergeCell ref="B1178:M1178"/>
    <mergeCell ref="B1182:M1182"/>
    <mergeCell ref="B1179:C1179"/>
    <mergeCell ref="B1176:M1176"/>
    <mergeCell ref="B1146:M1146"/>
    <mergeCell ref="B1140:M1140"/>
    <mergeCell ref="B1161:C1161"/>
    <mergeCell ref="B1169:C1169"/>
    <mergeCell ref="B1168:M1168"/>
    <mergeCell ref="B1170:M1170"/>
    <mergeCell ref="B1171:C1171"/>
    <mergeCell ref="B1165:C1165"/>
    <mergeCell ref="B1167:C1167"/>
    <mergeCell ref="F1173:G1173"/>
    <mergeCell ref="B1005:C1005"/>
    <mergeCell ref="B1009:C1009"/>
    <mergeCell ref="B1015:C1015"/>
    <mergeCell ref="B1013:C1013"/>
    <mergeCell ref="B1037:C1037"/>
    <mergeCell ref="B1035:C1035"/>
    <mergeCell ref="B1033:C1033"/>
    <mergeCell ref="B995:C995"/>
    <mergeCell ref="B999:C999"/>
    <mergeCell ref="B997:C997"/>
    <mergeCell ref="B991:C991"/>
    <mergeCell ref="B1031:C1031"/>
    <mergeCell ref="H1101:I1101"/>
    <mergeCell ref="H1105:I1105"/>
    <mergeCell ref="F1129:G1129"/>
    <mergeCell ref="B1117:C1117"/>
    <mergeCell ref="B1119:C1119"/>
    <mergeCell ref="B1114:M1114"/>
    <mergeCell ref="H1097:I1097"/>
    <mergeCell ref="H1099:I1099"/>
    <mergeCell ref="F1103:G1103"/>
    <mergeCell ref="B1190:M1190"/>
    <mergeCell ref="B1122:M1122"/>
    <mergeCell ref="F1033:G1033"/>
    <mergeCell ref="B1012:M1012"/>
    <mergeCell ref="B1020:M1020"/>
    <mergeCell ref="B1008:M1008"/>
    <mergeCell ref="F1009:G1009"/>
    <mergeCell ref="B990:M990"/>
    <mergeCell ref="F997:G997"/>
    <mergeCell ref="H999:I999"/>
    <mergeCell ref="F1001:G1001"/>
    <mergeCell ref="F1003:G1003"/>
    <mergeCell ref="H1005:I1005"/>
    <mergeCell ref="B1193:C1193"/>
    <mergeCell ref="B1191:C1191"/>
    <mergeCell ref="B1194:M1194"/>
    <mergeCell ref="B1192:M1192"/>
    <mergeCell ref="B1120:M1120"/>
    <mergeCell ref="B1038:M1038"/>
    <mergeCell ref="B1010:M1010"/>
    <mergeCell ref="B1188:M1188"/>
    <mergeCell ref="B1154:M1154"/>
    <mergeCell ref="B1155:C1155"/>
    <mergeCell ref="B1158:M1158"/>
    <mergeCell ref="B1159:C1159"/>
    <mergeCell ref="B1156:M1156"/>
    <mergeCell ref="B1183:C1183"/>
    <mergeCell ref="B1118:M1118"/>
    <mergeCell ref="B1116:M1116"/>
    <mergeCell ref="B1115:C1115"/>
    <mergeCell ref="B1121:C1121"/>
    <mergeCell ref="B1007:C1007"/>
    <mergeCell ref="B1091:C1091"/>
    <mergeCell ref="B1051:C1051"/>
    <mergeCell ref="B1049:C1049"/>
    <mergeCell ref="B1079:C1079"/>
    <mergeCell ref="B1077:C1077"/>
    <mergeCell ref="B1085:C1085"/>
    <mergeCell ref="B1055:C1055"/>
    <mergeCell ref="B1093:C1093"/>
    <mergeCell ref="B1109:C1109"/>
    <mergeCell ref="B1111:C1111"/>
    <mergeCell ref="B1113:C1113"/>
    <mergeCell ref="H1055:I1055"/>
    <mergeCell ref="B1054:M1054"/>
    <mergeCell ref="B1052:M1052"/>
    <mergeCell ref="B1053:C1053"/>
    <mergeCell ref="B1047:C1047"/>
    <mergeCell ref="B1044:M1044"/>
    <mergeCell ref="F1045:G1045"/>
    <mergeCell ref="B1045:C1045"/>
    <mergeCell ref="B1046:M1046"/>
    <mergeCell ref="F1047:G1047"/>
    <mergeCell ref="B1056:M1056"/>
    <mergeCell ref="F765:G765"/>
    <mergeCell ref="F763:G763"/>
    <mergeCell ref="F769:G769"/>
    <mergeCell ref="F739:G739"/>
    <mergeCell ref="B738:M738"/>
    <mergeCell ref="B739:C739"/>
    <mergeCell ref="F745:G745"/>
    <mergeCell ref="F767:G767"/>
    <mergeCell ref="B770:M770"/>
    <mergeCell ref="B722:M722"/>
    <mergeCell ref="B728:M728"/>
    <mergeCell ref="F883:G883"/>
    <mergeCell ref="B881:C881"/>
    <mergeCell ref="B882:M882"/>
    <mergeCell ref="F881:G881"/>
    <mergeCell ref="B878:M878"/>
    <mergeCell ref="B876:M876"/>
    <mergeCell ref="F877:G877"/>
    <mergeCell ref="F851:G851"/>
    <mergeCell ref="F839:G839"/>
    <mergeCell ref="F841:G841"/>
    <mergeCell ref="F879:G879"/>
    <mergeCell ref="F871:G871"/>
    <mergeCell ref="F875:G875"/>
    <mergeCell ref="F873:G873"/>
    <mergeCell ref="F861:G861"/>
    <mergeCell ref="F863:G863"/>
    <mergeCell ref="F865:G865"/>
    <mergeCell ref="B866:M866"/>
    <mergeCell ref="F859:G859"/>
    <mergeCell ref="B858:M858"/>
    <mergeCell ref="B856:M856"/>
    <mergeCell ref="B854:M854"/>
    <mergeCell ref="B855:C855"/>
    <mergeCell ref="B863:C863"/>
    <mergeCell ref="B865:C865"/>
    <mergeCell ref="H851:I851"/>
    <mergeCell ref="B851:C851"/>
    <mergeCell ref="B867:C867"/>
    <mergeCell ref="B861:C861"/>
    <mergeCell ref="B859:C859"/>
    <mergeCell ref="B857:C857"/>
    <mergeCell ref="B864:M864"/>
    <mergeCell ref="B862:M862"/>
    <mergeCell ref="B873:C873"/>
    <mergeCell ref="B871:C871"/>
    <mergeCell ref="B473:C473"/>
    <mergeCell ref="B449:C449"/>
    <mergeCell ref="B455:C455"/>
    <mergeCell ref="B453:C453"/>
    <mergeCell ref="B461:C461"/>
    <mergeCell ref="B463:C463"/>
    <mergeCell ref="B459:C459"/>
    <mergeCell ref="F415:G415"/>
    <mergeCell ref="F413:G413"/>
    <mergeCell ref="B411:C411"/>
    <mergeCell ref="B417:C417"/>
    <mergeCell ref="B415:C415"/>
    <mergeCell ref="B413:C413"/>
    <mergeCell ref="B433:C433"/>
    <mergeCell ref="B429:C429"/>
    <mergeCell ref="B431:C431"/>
    <mergeCell ref="B419:C419"/>
    <mergeCell ref="B421:C421"/>
    <mergeCell ref="B475:C475"/>
    <mergeCell ref="F405:G405"/>
    <mergeCell ref="F433:G433"/>
    <mergeCell ref="F421:G421"/>
    <mergeCell ref="B451:C451"/>
    <mergeCell ref="B405:C405"/>
    <mergeCell ref="B423:C423"/>
    <mergeCell ref="B427:C427"/>
    <mergeCell ref="F453:G453"/>
    <mergeCell ref="F455:G455"/>
    <mergeCell ref="F447:G447"/>
    <mergeCell ref="F449:G449"/>
    <mergeCell ref="B465:C465"/>
    <mergeCell ref="B467:C467"/>
    <mergeCell ref="B447:C447"/>
    <mergeCell ref="B439:C439"/>
    <mergeCell ref="B445:C445"/>
    <mergeCell ref="B443:C443"/>
    <mergeCell ref="B441:C441"/>
    <mergeCell ref="B437:C437"/>
    <mergeCell ref="B435:C435"/>
    <mergeCell ref="B469:C469"/>
    <mergeCell ref="B471:C471"/>
    <mergeCell ref="B481:C481"/>
    <mergeCell ref="B479:C479"/>
    <mergeCell ref="F481:G481"/>
    <mergeCell ref="F479:G479"/>
    <mergeCell ref="F463:G463"/>
    <mergeCell ref="F451:G451"/>
    <mergeCell ref="F483:G483"/>
    <mergeCell ref="F485:G485"/>
    <mergeCell ref="F487:G487"/>
    <mergeCell ref="F467:G467"/>
    <mergeCell ref="F471:G471"/>
    <mergeCell ref="F425:G425"/>
    <mergeCell ref="F427:G427"/>
    <mergeCell ref="F429:G429"/>
    <mergeCell ref="F423:G423"/>
    <mergeCell ref="F417:G417"/>
    <mergeCell ref="F419:G419"/>
    <mergeCell ref="F431:G431"/>
    <mergeCell ref="F435:G435"/>
    <mergeCell ref="F441:G441"/>
    <mergeCell ref="F445:G445"/>
    <mergeCell ref="F443:G443"/>
    <mergeCell ref="F869:G869"/>
    <mergeCell ref="B487:C487"/>
    <mergeCell ref="B485:C485"/>
    <mergeCell ref="B483:C483"/>
    <mergeCell ref="B489:C489"/>
    <mergeCell ref="B497:C497"/>
    <mergeCell ref="B495:C495"/>
    <mergeCell ref="B499:C499"/>
    <mergeCell ref="B477:C477"/>
    <mergeCell ref="F399:G399"/>
    <mergeCell ref="F397:G397"/>
    <mergeCell ref="F395:G395"/>
    <mergeCell ref="B397:C397"/>
    <mergeCell ref="B399:C399"/>
    <mergeCell ref="B401:C401"/>
    <mergeCell ref="B403:C403"/>
    <mergeCell ref="F401:G401"/>
    <mergeCell ref="F403:G403"/>
    <mergeCell ref="B885:C885"/>
    <mergeCell ref="B887:C887"/>
    <mergeCell ref="B505:C505"/>
    <mergeCell ref="B503:C503"/>
    <mergeCell ref="B501:C501"/>
    <mergeCell ref="B989:C989"/>
    <mergeCell ref="B875:C875"/>
    <mergeCell ref="B895:C895"/>
    <mergeCell ref="B893:C893"/>
    <mergeCell ref="B614:M614"/>
    <mergeCell ref="B612:M612"/>
    <mergeCell ref="B599:C599"/>
    <mergeCell ref="B601:C601"/>
    <mergeCell ref="B603:C603"/>
    <mergeCell ref="B607:C607"/>
    <mergeCell ref="B606:D606"/>
    <mergeCell ref="F619:G619"/>
    <mergeCell ref="F617:G617"/>
    <mergeCell ref="B610:M610"/>
    <mergeCell ref="B608:M608"/>
    <mergeCell ref="B618:M618"/>
    <mergeCell ref="J605:K605"/>
    <mergeCell ref="H605:I605"/>
    <mergeCell ref="B616:M616"/>
    <mergeCell ref="B605:C605"/>
    <mergeCell ref="F623:G623"/>
    <mergeCell ref="B625:C625"/>
    <mergeCell ref="F625:G625"/>
    <mergeCell ref="F621:G621"/>
    <mergeCell ref="B622:M622"/>
    <mergeCell ref="B630:M630"/>
    <mergeCell ref="F631:G631"/>
    <mergeCell ref="F637:G637"/>
    <mergeCell ref="F639:G639"/>
    <mergeCell ref="F633:G633"/>
    <mergeCell ref="F635:G635"/>
    <mergeCell ref="F629:G629"/>
    <mergeCell ref="F627:G627"/>
    <mergeCell ref="B636:M636"/>
    <mergeCell ref="B632:M632"/>
    <mergeCell ref="B634:M634"/>
    <mergeCell ref="B620:M620"/>
    <mergeCell ref="B628:M628"/>
    <mergeCell ref="B624:M624"/>
    <mergeCell ref="B626:M626"/>
    <mergeCell ref="B538:M538"/>
    <mergeCell ref="B534:M534"/>
    <mergeCell ref="B536:M536"/>
    <mergeCell ref="B535:C535"/>
    <mergeCell ref="B537:C537"/>
    <mergeCell ref="B528:M528"/>
    <mergeCell ref="B526:M526"/>
    <mergeCell ref="B531:C531"/>
    <mergeCell ref="B529:C529"/>
    <mergeCell ref="B533:C533"/>
    <mergeCell ref="F547:G547"/>
    <mergeCell ref="F545:G545"/>
    <mergeCell ref="H545:I545"/>
    <mergeCell ref="F543:G543"/>
    <mergeCell ref="B562:M562"/>
    <mergeCell ref="B564:M564"/>
    <mergeCell ref="F555:G555"/>
    <mergeCell ref="B560:M560"/>
    <mergeCell ref="B553:C553"/>
    <mergeCell ref="B557:C557"/>
    <mergeCell ref="B559:C559"/>
    <mergeCell ref="F561:G561"/>
    <mergeCell ref="B530:M530"/>
    <mergeCell ref="B532:M532"/>
    <mergeCell ref="B507:C507"/>
    <mergeCell ref="B511:C511"/>
    <mergeCell ref="B509:C509"/>
    <mergeCell ref="B508:M508"/>
    <mergeCell ref="B510:M510"/>
    <mergeCell ref="B512:M512"/>
    <mergeCell ref="B539:C539"/>
    <mergeCell ref="B541:C541"/>
    <mergeCell ref="B543:C543"/>
    <mergeCell ref="B547:C547"/>
    <mergeCell ref="B545:C545"/>
    <mergeCell ref="B566:M566"/>
    <mergeCell ref="B565:C565"/>
    <mergeCell ref="B563:C563"/>
    <mergeCell ref="B567:C567"/>
    <mergeCell ref="B569:C569"/>
    <mergeCell ref="B571:C571"/>
    <mergeCell ref="B588:M588"/>
    <mergeCell ref="B586:M586"/>
    <mergeCell ref="F589:G589"/>
    <mergeCell ref="B524:M524"/>
    <mergeCell ref="F525:G525"/>
    <mergeCell ref="B521:C521"/>
    <mergeCell ref="B523:C523"/>
    <mergeCell ref="B520:M520"/>
    <mergeCell ref="B518:M518"/>
    <mergeCell ref="B516:M516"/>
    <mergeCell ref="B514:M514"/>
    <mergeCell ref="B522:M522"/>
    <mergeCell ref="F521:G521"/>
    <mergeCell ref="J545:K545"/>
    <mergeCell ref="B546:M546"/>
    <mergeCell ref="J503:K503"/>
    <mergeCell ref="J505:K505"/>
    <mergeCell ref="H503:I503"/>
    <mergeCell ref="H501:I501"/>
    <mergeCell ref="F499:G499"/>
    <mergeCell ref="F501:G501"/>
    <mergeCell ref="B502:M502"/>
    <mergeCell ref="B500:M500"/>
    <mergeCell ref="F497:G497"/>
    <mergeCell ref="B556:M556"/>
    <mergeCell ref="B558:M558"/>
    <mergeCell ref="H505:I505"/>
    <mergeCell ref="F505:G505"/>
    <mergeCell ref="F503:G503"/>
    <mergeCell ref="F643:G643"/>
    <mergeCell ref="F641:G641"/>
    <mergeCell ref="F653:G653"/>
    <mergeCell ref="F657:G657"/>
    <mergeCell ref="F647:G647"/>
    <mergeCell ref="F649:G649"/>
    <mergeCell ref="F645:G645"/>
    <mergeCell ref="F655:G655"/>
    <mergeCell ref="F651:G651"/>
    <mergeCell ref="B841:C841"/>
    <mergeCell ref="B843:C843"/>
    <mergeCell ref="B870:M870"/>
    <mergeCell ref="B868:M868"/>
    <mergeCell ref="B874:M874"/>
    <mergeCell ref="B872:M872"/>
    <mergeCell ref="B852:M852"/>
    <mergeCell ref="B869:C869"/>
    <mergeCell ref="B839:C839"/>
    <mergeCell ref="B215:C215"/>
    <mergeCell ref="B209:C209"/>
    <mergeCell ref="B139:C139"/>
    <mergeCell ref="B141:C141"/>
    <mergeCell ref="B137:C137"/>
    <mergeCell ref="B143:C143"/>
    <mergeCell ref="B135:C135"/>
    <mergeCell ref="B133:C133"/>
    <mergeCell ref="B219:C219"/>
    <mergeCell ref="B221:C221"/>
    <mergeCell ref="B201:C201"/>
    <mergeCell ref="B203:C203"/>
    <mergeCell ref="B223:C223"/>
    <mergeCell ref="F229:G229"/>
    <mergeCell ref="F231:G231"/>
    <mergeCell ref="F221:G221"/>
    <mergeCell ref="F227:G227"/>
    <mergeCell ref="F209:G209"/>
    <mergeCell ref="F211:G211"/>
    <mergeCell ref="F225:G225"/>
    <mergeCell ref="F223:G223"/>
    <mergeCell ref="F219:G219"/>
    <mergeCell ref="F197:G197"/>
    <mergeCell ref="F195:G195"/>
    <mergeCell ref="F199:G199"/>
    <mergeCell ref="F133:G133"/>
    <mergeCell ref="F137:G137"/>
    <mergeCell ref="F139:G139"/>
    <mergeCell ref="F191:G191"/>
    <mergeCell ref="F189:G189"/>
    <mergeCell ref="F193:G193"/>
    <mergeCell ref="F181:G181"/>
    <mergeCell ref="F173:G173"/>
    <mergeCell ref="F241:G241"/>
    <mergeCell ref="F243:G243"/>
    <mergeCell ref="F239:G239"/>
    <mergeCell ref="F233:G233"/>
    <mergeCell ref="F237:G237"/>
    <mergeCell ref="F235:G235"/>
    <mergeCell ref="F249:G249"/>
    <mergeCell ref="F207:G207"/>
    <mergeCell ref="F203:G203"/>
    <mergeCell ref="F201:G201"/>
    <mergeCell ref="F205:G205"/>
    <mergeCell ref="F165:G165"/>
    <mergeCell ref="F167:G167"/>
    <mergeCell ref="F145:G145"/>
    <mergeCell ref="F143:G143"/>
    <mergeCell ref="F159:G159"/>
    <mergeCell ref="F163:G163"/>
    <mergeCell ref="F141:G141"/>
    <mergeCell ref="F151:G151"/>
    <mergeCell ref="F153:G153"/>
    <mergeCell ref="F265:G265"/>
    <mergeCell ref="F267:G267"/>
    <mergeCell ref="F251:G251"/>
    <mergeCell ref="F259:G259"/>
    <mergeCell ref="F261:G261"/>
    <mergeCell ref="F263:G263"/>
    <mergeCell ref="F255:G255"/>
    <mergeCell ref="F257:G257"/>
    <mergeCell ref="F253:G253"/>
    <mergeCell ref="F315:G315"/>
    <mergeCell ref="F317:G317"/>
    <mergeCell ref="F305:G305"/>
    <mergeCell ref="F303:G303"/>
    <mergeCell ref="F275:G275"/>
    <mergeCell ref="F273:G273"/>
    <mergeCell ref="F269:G269"/>
    <mergeCell ref="F271:G271"/>
    <mergeCell ref="F333:G333"/>
    <mergeCell ref="F335:G335"/>
    <mergeCell ref="F339:G339"/>
    <mergeCell ref="F337:G337"/>
    <mergeCell ref="F291:G291"/>
    <mergeCell ref="F293:G293"/>
    <mergeCell ref="F135:G135"/>
    <mergeCell ref="F169:G169"/>
    <mergeCell ref="F171:G171"/>
    <mergeCell ref="F161:G161"/>
    <mergeCell ref="F149:G149"/>
    <mergeCell ref="F147:G147"/>
    <mergeCell ref="F175:G175"/>
    <mergeCell ref="F245:G245"/>
    <mergeCell ref="F215:G215"/>
    <mergeCell ref="F217:G217"/>
    <mergeCell ref="F213:G213"/>
    <mergeCell ref="F247:G247"/>
    <mergeCell ref="B259:C259"/>
    <mergeCell ref="B257:C257"/>
    <mergeCell ref="B247:C247"/>
    <mergeCell ref="B245:C245"/>
    <mergeCell ref="B251:C251"/>
    <mergeCell ref="B253:C253"/>
    <mergeCell ref="B249:C249"/>
    <mergeCell ref="B255:C255"/>
    <mergeCell ref="B241:C241"/>
    <mergeCell ref="B237:C237"/>
    <mergeCell ref="B239:C239"/>
    <mergeCell ref="B243:C243"/>
    <mergeCell ref="B207:C207"/>
    <mergeCell ref="B205:C205"/>
    <mergeCell ref="B233:C233"/>
    <mergeCell ref="B231:C231"/>
    <mergeCell ref="B229:C229"/>
    <mergeCell ref="B235:C235"/>
    <mergeCell ref="B339:C339"/>
    <mergeCell ref="B331:C331"/>
    <mergeCell ref="B333:C333"/>
    <mergeCell ref="B337:C337"/>
    <mergeCell ref="B321:C321"/>
    <mergeCell ref="B329:C329"/>
    <mergeCell ref="B315:C315"/>
    <mergeCell ref="B275:C275"/>
    <mergeCell ref="B273:C273"/>
    <mergeCell ref="B155:C155"/>
    <mergeCell ref="B159:C159"/>
    <mergeCell ref="B281:C281"/>
    <mergeCell ref="B287:C287"/>
    <mergeCell ref="B289:C289"/>
    <mergeCell ref="B285:C285"/>
    <mergeCell ref="B283:C283"/>
    <mergeCell ref="B291:C291"/>
    <mergeCell ref="B261:C261"/>
    <mergeCell ref="B265:C265"/>
    <mergeCell ref="B267:C267"/>
    <mergeCell ref="B263:C263"/>
    <mergeCell ref="B269:C269"/>
    <mergeCell ref="B271:C271"/>
    <mergeCell ref="B277:C277"/>
    <mergeCell ref="B279:C279"/>
    <mergeCell ref="B301:C301"/>
    <mergeCell ref="B299:C299"/>
    <mergeCell ref="B311:C311"/>
    <mergeCell ref="B307:C307"/>
    <mergeCell ref="B305:C305"/>
    <mergeCell ref="B309:C309"/>
    <mergeCell ref="B297:C297"/>
    <mergeCell ref="B303:C303"/>
    <mergeCell ref="B293:C293"/>
    <mergeCell ref="B295:C295"/>
    <mergeCell ref="F19:G19"/>
    <mergeCell ref="F89:G89"/>
    <mergeCell ref="B95:C95"/>
    <mergeCell ref="B91:C91"/>
    <mergeCell ref="B93:C93"/>
    <mergeCell ref="B101:C101"/>
    <mergeCell ref="B104:M104"/>
    <mergeCell ref="B102:M102"/>
    <mergeCell ref="B106:M106"/>
    <mergeCell ref="B98:M98"/>
    <mergeCell ref="B100:M100"/>
    <mergeCell ref="B21:C21"/>
    <mergeCell ref="B27:C27"/>
    <mergeCell ref="B81:C81"/>
    <mergeCell ref="B79:C79"/>
    <mergeCell ref="B65:C65"/>
    <mergeCell ref="B77:C77"/>
    <mergeCell ref="B73:C73"/>
    <mergeCell ref="B75:C75"/>
    <mergeCell ref="B110:M110"/>
    <mergeCell ref="B108:M108"/>
    <mergeCell ref="B18:M18"/>
    <mergeCell ref="B20:M20"/>
    <mergeCell ref="B36:M36"/>
    <mergeCell ref="B62:M62"/>
    <mergeCell ref="B47:C47"/>
    <mergeCell ref="B55:C55"/>
    <mergeCell ref="B48:M48"/>
    <mergeCell ref="B54:M54"/>
    <mergeCell ref="B49:C49"/>
    <mergeCell ref="B94:M94"/>
    <mergeCell ref="F93:G93"/>
    <mergeCell ref="B70:M70"/>
    <mergeCell ref="B71:C71"/>
    <mergeCell ref="B69:C69"/>
    <mergeCell ref="B67:C67"/>
    <mergeCell ref="F91:G91"/>
    <mergeCell ref="F97:G97"/>
    <mergeCell ref="F101:G101"/>
    <mergeCell ref="F99:G99"/>
    <mergeCell ref="B105:C105"/>
    <mergeCell ref="B103:C103"/>
    <mergeCell ref="B97:C97"/>
    <mergeCell ref="B99:C99"/>
    <mergeCell ref="B151:C151"/>
    <mergeCell ref="B145:C145"/>
    <mergeCell ref="B167:C167"/>
    <mergeCell ref="B163:C163"/>
    <mergeCell ref="B165:C165"/>
    <mergeCell ref="B147:C147"/>
    <mergeCell ref="B149:C149"/>
    <mergeCell ref="B123:C123"/>
    <mergeCell ref="B122:M122"/>
    <mergeCell ref="B120:M120"/>
    <mergeCell ref="B118:M118"/>
    <mergeCell ref="B121:C121"/>
    <mergeCell ref="F117:G117"/>
    <mergeCell ref="B117:C117"/>
    <mergeCell ref="F119:G119"/>
    <mergeCell ref="B119:C119"/>
    <mergeCell ref="B157:C157"/>
    <mergeCell ref="B156:M156"/>
    <mergeCell ref="B164:M164"/>
    <mergeCell ref="B162:M162"/>
    <mergeCell ref="B166:M166"/>
    <mergeCell ref="B84:M84"/>
    <mergeCell ref="B86:M86"/>
    <mergeCell ref="F65:G65"/>
    <mergeCell ref="F103:G103"/>
    <mergeCell ref="F105:G105"/>
    <mergeCell ref="F63:G63"/>
    <mergeCell ref="F61:G61"/>
    <mergeCell ref="F59:G59"/>
    <mergeCell ref="F49:G49"/>
    <mergeCell ref="F51:G51"/>
    <mergeCell ref="F55:G55"/>
    <mergeCell ref="F57:G57"/>
    <mergeCell ref="B136:M136"/>
    <mergeCell ref="B138:M138"/>
    <mergeCell ref="B140:M140"/>
    <mergeCell ref="B142:M142"/>
    <mergeCell ref="B129:C129"/>
    <mergeCell ref="B130:M130"/>
    <mergeCell ref="B131:C131"/>
    <mergeCell ref="B127:C127"/>
    <mergeCell ref="F127:G127"/>
    <mergeCell ref="F129:G129"/>
    <mergeCell ref="B134:M134"/>
    <mergeCell ref="B8:M8"/>
    <mergeCell ref="B6:M6"/>
    <mergeCell ref="B7:C7"/>
    <mergeCell ref="F7:G7"/>
    <mergeCell ref="B1:M3"/>
    <mergeCell ref="D4:E4"/>
    <mergeCell ref="B4:C4"/>
    <mergeCell ref="B10:M10"/>
    <mergeCell ref="B12:M12"/>
    <mergeCell ref="F4:G4"/>
    <mergeCell ref="B14:M14"/>
    <mergeCell ref="F9:G9"/>
    <mergeCell ref="F33:G33"/>
    <mergeCell ref="B34:M34"/>
    <mergeCell ref="B33:C33"/>
    <mergeCell ref="F23:G23"/>
    <mergeCell ref="B23:C23"/>
    <mergeCell ref="F11:G11"/>
    <mergeCell ref="F13:G13"/>
    <mergeCell ref="F15:G15"/>
    <mergeCell ref="B15:C15"/>
    <mergeCell ref="B13:C13"/>
    <mergeCell ref="B17:C17"/>
    <mergeCell ref="B16:M16"/>
    <mergeCell ref="F17:G17"/>
    <mergeCell ref="B28:M28"/>
    <mergeCell ref="F29:G29"/>
    <mergeCell ref="B11:C11"/>
    <mergeCell ref="B9:C9"/>
    <mergeCell ref="F21:G21"/>
    <mergeCell ref="B22:M22"/>
    <mergeCell ref="F79:G79"/>
    <mergeCell ref="F77:G77"/>
    <mergeCell ref="F85:G85"/>
    <mergeCell ref="F83:G83"/>
    <mergeCell ref="B83:C83"/>
    <mergeCell ref="B85:C85"/>
    <mergeCell ref="F81:G81"/>
    <mergeCell ref="F87:G87"/>
    <mergeCell ref="B87:C87"/>
    <mergeCell ref="B89:C89"/>
    <mergeCell ref="F115:G115"/>
    <mergeCell ref="B115:C115"/>
    <mergeCell ref="F73:G73"/>
    <mergeCell ref="F71:G71"/>
    <mergeCell ref="F75:G75"/>
    <mergeCell ref="F69:G69"/>
    <mergeCell ref="F67:G67"/>
    <mergeCell ref="F95:G95"/>
    <mergeCell ref="B26:M26"/>
    <mergeCell ref="B24:M24"/>
    <mergeCell ref="B25:C25"/>
    <mergeCell ref="F25:G25"/>
    <mergeCell ref="F35:G35"/>
    <mergeCell ref="F31:G31"/>
    <mergeCell ref="F27:G27"/>
    <mergeCell ref="F47:G47"/>
    <mergeCell ref="B32:M32"/>
    <mergeCell ref="B30:M30"/>
    <mergeCell ref="B42:M42"/>
    <mergeCell ref="B40:M40"/>
    <mergeCell ref="B59:C59"/>
    <mergeCell ref="B60:M60"/>
    <mergeCell ref="B63:C63"/>
    <mergeCell ref="B61:C61"/>
    <mergeCell ref="B56:M56"/>
    <mergeCell ref="B57:C57"/>
    <mergeCell ref="F37:G37"/>
    <mergeCell ref="B38:M38"/>
    <mergeCell ref="F45:G45"/>
    <mergeCell ref="F43:G43"/>
    <mergeCell ref="F41:G41"/>
    <mergeCell ref="F39:G39"/>
    <mergeCell ref="B58:M58"/>
    <mergeCell ref="B19:C19"/>
    <mergeCell ref="B41:C41"/>
    <mergeCell ref="B29:C29"/>
    <mergeCell ref="B31:C31"/>
    <mergeCell ref="B37:C37"/>
    <mergeCell ref="B35:C35"/>
    <mergeCell ref="B39:C39"/>
    <mergeCell ref="F53:G53"/>
    <mergeCell ref="B52:M52"/>
    <mergeCell ref="B53:C53"/>
    <mergeCell ref="B50:M50"/>
    <mergeCell ref="B51:C51"/>
    <mergeCell ref="B45:C45"/>
    <mergeCell ref="B43:C43"/>
    <mergeCell ref="B46:M46"/>
    <mergeCell ref="B44:M44"/>
    <mergeCell ref="B76:M76"/>
    <mergeCell ref="B72:M72"/>
    <mergeCell ref="B80:M80"/>
    <mergeCell ref="B78:M78"/>
    <mergeCell ref="B90:M90"/>
    <mergeCell ref="B92:M92"/>
    <mergeCell ref="B66:M66"/>
    <mergeCell ref="B68:M68"/>
    <mergeCell ref="B64:M64"/>
    <mergeCell ref="B74:M74"/>
    <mergeCell ref="B82:M82"/>
    <mergeCell ref="B96:M96"/>
    <mergeCell ref="B88:M88"/>
    <mergeCell ref="B424:M424"/>
    <mergeCell ref="B428:M428"/>
    <mergeCell ref="B398:M398"/>
    <mergeCell ref="B396:M396"/>
    <mergeCell ref="B418:M418"/>
    <mergeCell ref="B420:M420"/>
    <mergeCell ref="B434:M434"/>
    <mergeCell ref="B416:M416"/>
    <mergeCell ref="B422:M422"/>
    <mergeCell ref="B327:C327"/>
    <mergeCell ref="B335:C335"/>
    <mergeCell ref="B349:C349"/>
    <mergeCell ref="B351:C351"/>
    <mergeCell ref="B355:C355"/>
    <mergeCell ref="B356:M356"/>
    <mergeCell ref="F343:G343"/>
    <mergeCell ref="F345:G345"/>
    <mergeCell ref="B319:C319"/>
    <mergeCell ref="F319:G319"/>
    <mergeCell ref="F321:G321"/>
    <mergeCell ref="F323:G323"/>
    <mergeCell ref="F391:G391"/>
    <mergeCell ref="B390:M390"/>
    <mergeCell ref="F393:G393"/>
    <mergeCell ref="B389:C389"/>
    <mergeCell ref="B394:M394"/>
    <mergeCell ref="B392:M392"/>
    <mergeCell ref="B388:M388"/>
    <mergeCell ref="F389:G389"/>
    <mergeCell ref="B432:M432"/>
    <mergeCell ref="B430:M430"/>
    <mergeCell ref="H351:I351"/>
    <mergeCell ref="B350:M350"/>
    <mergeCell ref="F355:G355"/>
    <mergeCell ref="J355:K355"/>
    <mergeCell ref="B354:M354"/>
    <mergeCell ref="B352:M352"/>
    <mergeCell ref="B353:C353"/>
    <mergeCell ref="H355:I355"/>
    <mergeCell ref="B348:M348"/>
    <mergeCell ref="B334:M334"/>
    <mergeCell ref="B336:M336"/>
    <mergeCell ref="F313:G313"/>
    <mergeCell ref="F341:G341"/>
    <mergeCell ref="F351:G351"/>
    <mergeCell ref="F353:G353"/>
    <mergeCell ref="F347:G347"/>
    <mergeCell ref="F349:G349"/>
    <mergeCell ref="F331:G331"/>
    <mergeCell ref="B345:C345"/>
    <mergeCell ref="B343:C343"/>
    <mergeCell ref="B346:M346"/>
    <mergeCell ref="B344:M344"/>
    <mergeCell ref="B317:C317"/>
    <mergeCell ref="B325:C325"/>
    <mergeCell ref="F311:G311"/>
    <mergeCell ref="B313:C313"/>
    <mergeCell ref="B323:C323"/>
    <mergeCell ref="F325:G325"/>
    <mergeCell ref="B347:C347"/>
    <mergeCell ref="B342:M342"/>
    <mergeCell ref="B341:C341"/>
    <mergeCell ref="F327:G327"/>
    <mergeCell ref="F329:G329"/>
    <mergeCell ref="B338:M338"/>
    <mergeCell ref="B340:M340"/>
    <mergeCell ref="B332:M332"/>
    <mergeCell ref="B330:M330"/>
    <mergeCell ref="B328:M328"/>
    <mergeCell ref="B326:M326"/>
    <mergeCell ref="B316:M316"/>
    <mergeCell ref="B318:M318"/>
    <mergeCell ref="B324:M324"/>
    <mergeCell ref="B320:M320"/>
    <mergeCell ref="B322:M322"/>
    <mergeCell ref="B314:M314"/>
    <mergeCell ref="F299:G299"/>
    <mergeCell ref="F301:G301"/>
    <mergeCell ref="F297:G297"/>
    <mergeCell ref="F295:G295"/>
    <mergeCell ref="F283:G283"/>
    <mergeCell ref="F285:G285"/>
    <mergeCell ref="F307:G307"/>
    <mergeCell ref="F309:G309"/>
    <mergeCell ref="F281:G281"/>
    <mergeCell ref="F277:G277"/>
    <mergeCell ref="F279:G279"/>
    <mergeCell ref="F289:G289"/>
    <mergeCell ref="F287:G287"/>
    <mergeCell ref="B113:C113"/>
    <mergeCell ref="B111:C111"/>
    <mergeCell ref="F121:G121"/>
    <mergeCell ref="B107:C107"/>
    <mergeCell ref="F107:G107"/>
    <mergeCell ref="B125:C125"/>
    <mergeCell ref="B109:C109"/>
    <mergeCell ref="F109:G109"/>
    <mergeCell ref="B153:C153"/>
    <mergeCell ref="B224:M224"/>
    <mergeCell ref="B222:M222"/>
    <mergeCell ref="B214:M214"/>
    <mergeCell ref="B218:M218"/>
    <mergeCell ref="B216:M216"/>
    <mergeCell ref="B220:M220"/>
    <mergeCell ref="H233:I233"/>
    <mergeCell ref="B226:M226"/>
    <mergeCell ref="B228:M228"/>
    <mergeCell ref="B234:M234"/>
    <mergeCell ref="B240:M240"/>
    <mergeCell ref="B238:M238"/>
    <mergeCell ref="B236:M236"/>
    <mergeCell ref="B242:M242"/>
    <mergeCell ref="B244:M244"/>
    <mergeCell ref="B248:M248"/>
    <mergeCell ref="B254:M254"/>
    <mergeCell ref="B250:M250"/>
    <mergeCell ref="B252:M252"/>
    <mergeCell ref="B246:M246"/>
    <mergeCell ref="B270:M270"/>
    <mergeCell ref="B268:M268"/>
    <mergeCell ref="B272:M272"/>
    <mergeCell ref="B276:M276"/>
    <mergeCell ref="B278:M278"/>
    <mergeCell ref="B280:M280"/>
    <mergeCell ref="B274:M274"/>
    <mergeCell ref="B264:M264"/>
    <mergeCell ref="B262:M262"/>
    <mergeCell ref="H255:I255"/>
    <mergeCell ref="J255:K255"/>
    <mergeCell ref="B256:M256"/>
    <mergeCell ref="L255:M255"/>
    <mergeCell ref="B258:M258"/>
    <mergeCell ref="B260:M260"/>
    <mergeCell ref="B266:M266"/>
    <mergeCell ref="B169:C169"/>
    <mergeCell ref="B173:C173"/>
    <mergeCell ref="B171:C171"/>
    <mergeCell ref="B177:C177"/>
    <mergeCell ref="B179:C179"/>
    <mergeCell ref="B175:C175"/>
    <mergeCell ref="B197:C197"/>
    <mergeCell ref="B189:C189"/>
    <mergeCell ref="B191:C191"/>
    <mergeCell ref="B185:C185"/>
    <mergeCell ref="B195:C195"/>
    <mergeCell ref="B187:C187"/>
    <mergeCell ref="B199:C199"/>
    <mergeCell ref="B193:C193"/>
    <mergeCell ref="B196:M196"/>
    <mergeCell ref="B200:M200"/>
    <mergeCell ref="B194:M194"/>
    <mergeCell ref="B188:M188"/>
    <mergeCell ref="B190:M190"/>
    <mergeCell ref="B198:M198"/>
    <mergeCell ref="B192:M192"/>
    <mergeCell ref="B186:M186"/>
    <mergeCell ref="B211:C211"/>
    <mergeCell ref="B213:C213"/>
    <mergeCell ref="B208:M208"/>
    <mergeCell ref="B204:M204"/>
    <mergeCell ref="B206:M206"/>
    <mergeCell ref="B212:M212"/>
    <mergeCell ref="B210:M210"/>
    <mergeCell ref="B202:M202"/>
    <mergeCell ref="B217:C217"/>
    <mergeCell ref="B227:C227"/>
    <mergeCell ref="B225:C225"/>
    <mergeCell ref="B232:M232"/>
    <mergeCell ref="B230:M230"/>
    <mergeCell ref="B174:M174"/>
    <mergeCell ref="B172:M172"/>
    <mergeCell ref="B168:M168"/>
    <mergeCell ref="B170:M170"/>
    <mergeCell ref="B183:C183"/>
    <mergeCell ref="B181:C181"/>
    <mergeCell ref="B182:M182"/>
    <mergeCell ref="B178:M178"/>
    <mergeCell ref="B180:M180"/>
    <mergeCell ref="B176:M176"/>
    <mergeCell ref="B184:M184"/>
    <mergeCell ref="F177:G177"/>
    <mergeCell ref="F183:G183"/>
    <mergeCell ref="F179:G179"/>
    <mergeCell ref="F131:G131"/>
    <mergeCell ref="F123:G123"/>
    <mergeCell ref="F125:G125"/>
    <mergeCell ref="F157:G157"/>
    <mergeCell ref="F155:G155"/>
    <mergeCell ref="F185:G185"/>
    <mergeCell ref="F187:G187"/>
    <mergeCell ref="B126:M126"/>
    <mergeCell ref="B132:M132"/>
    <mergeCell ref="B128:M128"/>
    <mergeCell ref="B158:M158"/>
    <mergeCell ref="B146:M146"/>
    <mergeCell ref="B150:M150"/>
    <mergeCell ref="B148:M148"/>
    <mergeCell ref="B152:M152"/>
    <mergeCell ref="B154:M154"/>
    <mergeCell ref="B160:M160"/>
    <mergeCell ref="B144:M144"/>
    <mergeCell ref="B161:C161"/>
    <mergeCell ref="B112:M112"/>
    <mergeCell ref="F111:G111"/>
    <mergeCell ref="F113:G113"/>
    <mergeCell ref="B116:M116"/>
    <mergeCell ref="B114:M114"/>
    <mergeCell ref="B124:M124"/>
    <mergeCell ref="B300:M300"/>
    <mergeCell ref="B302:M302"/>
    <mergeCell ref="B286:M286"/>
    <mergeCell ref="B284:M284"/>
    <mergeCell ref="B288:M288"/>
    <mergeCell ref="B282:M282"/>
    <mergeCell ref="B292:M292"/>
    <mergeCell ref="B294:M294"/>
    <mergeCell ref="B290:M290"/>
    <mergeCell ref="B310:M310"/>
    <mergeCell ref="B312:M312"/>
    <mergeCell ref="B298:M298"/>
    <mergeCell ref="B296:M296"/>
    <mergeCell ref="B308:M308"/>
    <mergeCell ref="B306:M306"/>
    <mergeCell ref="B304:M304"/>
    <mergeCell ref="B686:M686"/>
    <mergeCell ref="B688:M688"/>
    <mergeCell ref="B687:C687"/>
    <mergeCell ref="B657:C657"/>
    <mergeCell ref="B665:C665"/>
    <mergeCell ref="B661:C661"/>
    <mergeCell ref="B692:M692"/>
    <mergeCell ref="B693:C693"/>
    <mergeCell ref="B689:C689"/>
    <mergeCell ref="B691:C691"/>
    <mergeCell ref="B681:C681"/>
    <mergeCell ref="B683:C683"/>
    <mergeCell ref="B669:C669"/>
    <mergeCell ref="B667:C667"/>
    <mergeCell ref="B668:M668"/>
    <mergeCell ref="B666:M666"/>
    <mergeCell ref="F689:G689"/>
    <mergeCell ref="F695:G695"/>
    <mergeCell ref="F693:G693"/>
    <mergeCell ref="F691:G691"/>
    <mergeCell ref="F687:G687"/>
    <mergeCell ref="F669:G669"/>
    <mergeCell ref="F681:G681"/>
    <mergeCell ref="F685:G685"/>
    <mergeCell ref="F683:G683"/>
    <mergeCell ref="F679:G679"/>
    <mergeCell ref="F659:G659"/>
    <mergeCell ref="F661:G661"/>
    <mergeCell ref="F677:G677"/>
    <mergeCell ref="F675:G675"/>
    <mergeCell ref="B678:M678"/>
    <mergeCell ref="B670:M670"/>
    <mergeCell ref="B675:C675"/>
    <mergeCell ref="B673:C673"/>
    <mergeCell ref="B671:C671"/>
    <mergeCell ref="F671:G671"/>
    <mergeCell ref="F673:G673"/>
    <mergeCell ref="F663:G663"/>
    <mergeCell ref="F667:G667"/>
    <mergeCell ref="F665:G665"/>
    <mergeCell ref="B684:M684"/>
    <mergeCell ref="B696:M696"/>
    <mergeCell ref="B694:M694"/>
    <mergeCell ref="B690:M690"/>
    <mergeCell ref="H655:I655"/>
    <mergeCell ref="B685:C685"/>
    <mergeCell ref="B679:C679"/>
  </mergeCells>
  <hyperlinks>
    <hyperlink display="N++&gt;Co-op&gt;Levels" location="Main Menu!A1" ref="B1"/>
    <hyperlink display="Intro" location="Co-op&gt;Levels&gt;Intro!A1" ref="B4"/>
    <hyperlink display="Legacy" location="Co-op&gt;Levels&gt;Legacy!A1" ref="F4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5100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2</v>
      </c>
      <c r="D4" s="7" t="s">
        <v>3</v>
      </c>
      <c r="E4" s="6"/>
      <c r="F4" s="31" t="s">
        <v>5</v>
      </c>
      <c r="G4" s="6"/>
      <c r="H4" s="9"/>
      <c r="I4" s="9"/>
      <c r="J4" s="9"/>
      <c r="K4" s="9"/>
      <c r="L4" s="9"/>
      <c r="M4" s="9"/>
      <c r="N4" s="12"/>
    </row>
    <row r="5">
      <c r="A5" s="1"/>
      <c r="B5" s="4"/>
      <c r="C5" s="4"/>
      <c r="D5" s="4"/>
      <c r="E5" s="13" t="s">
        <v>9</v>
      </c>
      <c r="F5" s="13" t="s">
        <v>10</v>
      </c>
      <c r="G5" s="4"/>
      <c r="H5" s="4"/>
      <c r="I5" s="4"/>
      <c r="J5" s="4"/>
      <c r="K5" s="4"/>
      <c r="L5" s="4"/>
      <c r="M5" s="4"/>
      <c r="N5" s="4"/>
    </row>
    <row r="6">
      <c r="A6" s="1"/>
      <c r="B6" s="14" t="s">
        <v>5180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/>
    </row>
    <row r="7">
      <c r="A7" s="1"/>
      <c r="B7" s="4" t="s">
        <v>5183</v>
      </c>
      <c r="D7" s="9"/>
      <c r="E7" s="17" t="s">
        <v>14</v>
      </c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4" t="s">
        <v>5185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4"/>
    </row>
    <row r="9">
      <c r="A9" s="1"/>
      <c r="B9" s="4" t="s">
        <v>5187</v>
      </c>
      <c r="D9" s="9"/>
      <c r="E9" s="17" t="s">
        <v>14</v>
      </c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4" t="s">
        <v>5189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4"/>
    </row>
    <row r="11">
      <c r="A11" s="1"/>
      <c r="B11" s="4" t="s">
        <v>5194</v>
      </c>
      <c r="D11" s="9"/>
      <c r="E11" s="17" t="s">
        <v>14</v>
      </c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4" t="s">
        <v>5196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/>
    </row>
    <row r="13">
      <c r="A13" s="1"/>
      <c r="B13" s="4" t="s">
        <v>5199</v>
      </c>
      <c r="D13" s="9"/>
      <c r="E13" s="17" t="s">
        <v>14</v>
      </c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4" t="s">
        <v>5201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4"/>
    </row>
    <row r="15">
      <c r="A15" s="1"/>
      <c r="B15" s="4" t="s">
        <v>5204</v>
      </c>
      <c r="D15" s="9"/>
      <c r="E15" s="17" t="s">
        <v>14</v>
      </c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4" t="s">
        <v>5206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"/>
    </row>
    <row r="17">
      <c r="A17" s="1"/>
      <c r="B17" s="4" t="s">
        <v>5208</v>
      </c>
      <c r="D17" s="9"/>
      <c r="E17" s="17" t="s">
        <v>14</v>
      </c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4" t="s">
        <v>5211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4"/>
    </row>
    <row r="19">
      <c r="A19" s="1"/>
      <c r="B19" s="4" t="s">
        <v>5215</v>
      </c>
      <c r="D19" s="9"/>
      <c r="E19" s="17" t="s">
        <v>14</v>
      </c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4" t="s">
        <v>5217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4"/>
    </row>
    <row r="21">
      <c r="A21" s="1"/>
      <c r="B21" s="4" t="s">
        <v>5219</v>
      </c>
      <c r="D21" s="9"/>
      <c r="E21" s="17" t="s">
        <v>14</v>
      </c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4" t="s">
        <v>5221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4"/>
    </row>
    <row r="23">
      <c r="A23" s="1"/>
      <c r="B23" s="4" t="s">
        <v>5223</v>
      </c>
      <c r="D23" s="9"/>
      <c r="E23" s="17" t="s">
        <v>14</v>
      </c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4" t="s">
        <v>5225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4"/>
    </row>
    <row r="25">
      <c r="A25" s="1"/>
      <c r="B25" s="4" t="s">
        <v>5229</v>
      </c>
      <c r="D25" s="9"/>
      <c r="E25" s="17" t="s">
        <v>14</v>
      </c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4" t="s">
        <v>5231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4"/>
    </row>
    <row r="27">
      <c r="A27" s="1"/>
      <c r="B27" s="4" t="s">
        <v>5232</v>
      </c>
      <c r="D27" s="9"/>
      <c r="E27" s="17" t="s">
        <v>14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4" t="s">
        <v>5234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4"/>
    </row>
    <row r="29">
      <c r="A29" s="1"/>
      <c r="B29" s="4" t="s">
        <v>5236</v>
      </c>
      <c r="D29" s="9"/>
      <c r="E29" s="17" t="s">
        <v>14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4" t="s">
        <v>5237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4"/>
    </row>
    <row r="31">
      <c r="A31" s="1"/>
      <c r="B31" s="4" t="s">
        <v>5238</v>
      </c>
      <c r="D31" s="9"/>
      <c r="E31" s="17" t="s">
        <v>14</v>
      </c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4" t="s">
        <v>5239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4"/>
    </row>
    <row r="33">
      <c r="A33" s="1"/>
      <c r="B33" s="4" t="s">
        <v>5241</v>
      </c>
      <c r="D33" s="9"/>
      <c r="E33" s="17" t="s">
        <v>14</v>
      </c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4" t="s">
        <v>5242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4"/>
    </row>
    <row r="35">
      <c r="A35" s="1"/>
      <c r="B35" s="4" t="s">
        <v>5244</v>
      </c>
      <c r="D35" s="9"/>
      <c r="E35" s="17" t="s">
        <v>14</v>
      </c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4" t="s">
        <v>5245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/>
    </row>
    <row r="37">
      <c r="A37" s="1"/>
      <c r="B37" s="4" t="s">
        <v>5247</v>
      </c>
      <c r="D37" s="9"/>
      <c r="E37" s="17" t="s">
        <v>14</v>
      </c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4" t="s">
        <v>5248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4"/>
    </row>
    <row r="39">
      <c r="A39" s="1"/>
      <c r="B39" s="4" t="s">
        <v>5250</v>
      </c>
      <c r="D39" s="9"/>
      <c r="E39" s="17" t="s">
        <v>14</v>
      </c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4" t="s">
        <v>5251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4"/>
    </row>
    <row r="41">
      <c r="A41" s="1"/>
      <c r="B41" s="4" t="s">
        <v>5252</v>
      </c>
      <c r="D41" s="9"/>
      <c r="E41" s="17" t="s">
        <v>14</v>
      </c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4" t="s">
        <v>5254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4"/>
    </row>
    <row r="43">
      <c r="A43" s="1"/>
      <c r="B43" s="4" t="s">
        <v>5256</v>
      </c>
      <c r="D43" s="9"/>
      <c r="E43" s="17" t="s">
        <v>14</v>
      </c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4" t="s">
        <v>5257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4"/>
    </row>
    <row r="45">
      <c r="A45" s="1"/>
      <c r="B45" s="4" t="s">
        <v>5259</v>
      </c>
      <c r="D45" s="9"/>
      <c r="E45" s="17" t="s">
        <v>14</v>
      </c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4" t="s">
        <v>5260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4"/>
    </row>
    <row r="47">
      <c r="A47" s="1"/>
      <c r="B47" s="4" t="s">
        <v>5262</v>
      </c>
      <c r="D47" s="9"/>
      <c r="E47" s="17" t="s">
        <v>14</v>
      </c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4" t="s">
        <v>5263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4"/>
    </row>
    <row r="49">
      <c r="A49" s="1"/>
      <c r="B49" s="4" t="s">
        <v>5265</v>
      </c>
      <c r="D49" s="9"/>
      <c r="E49" s="17" t="s">
        <v>14</v>
      </c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4" t="s">
        <v>5267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4"/>
    </row>
    <row r="51">
      <c r="A51" s="1"/>
      <c r="B51" s="4" t="s">
        <v>5268</v>
      </c>
      <c r="D51" s="9"/>
      <c r="E51" s="17" t="s">
        <v>14</v>
      </c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4" t="s">
        <v>5270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4"/>
    </row>
    <row r="53">
      <c r="A53" s="1"/>
      <c r="B53" s="4" t="s">
        <v>5272</v>
      </c>
      <c r="D53" s="9"/>
      <c r="E53" s="17" t="s">
        <v>14</v>
      </c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4" t="s">
        <v>5273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4"/>
    </row>
    <row r="55">
      <c r="A55" s="1"/>
      <c r="B55" s="4" t="s">
        <v>5275</v>
      </c>
      <c r="D55" s="9"/>
      <c r="E55" s="17" t="s">
        <v>14</v>
      </c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4" t="s">
        <v>5276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4"/>
    </row>
    <row r="57">
      <c r="A57" s="1"/>
      <c r="B57" s="4" t="s">
        <v>5280</v>
      </c>
      <c r="D57" s="9"/>
      <c r="E57" s="17" t="s">
        <v>14</v>
      </c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4" t="s">
        <v>5281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4"/>
    </row>
    <row r="59">
      <c r="A59" s="1"/>
      <c r="B59" s="4" t="s">
        <v>5283</v>
      </c>
      <c r="D59" s="9"/>
      <c r="E59" s="17" t="s">
        <v>14</v>
      </c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4" t="s">
        <v>5284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4"/>
    </row>
    <row r="61">
      <c r="A61" s="1"/>
      <c r="B61" s="4" t="s">
        <v>5286</v>
      </c>
      <c r="D61" s="9"/>
      <c r="E61" s="17" t="s">
        <v>14</v>
      </c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4" t="s">
        <v>5287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4"/>
    </row>
    <row r="63">
      <c r="A63" s="1"/>
      <c r="B63" s="4" t="s">
        <v>5288</v>
      </c>
      <c r="D63" s="9"/>
      <c r="E63" s="17" t="s">
        <v>14</v>
      </c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4" t="s">
        <v>5290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4"/>
    </row>
    <row r="65">
      <c r="A65" s="1"/>
      <c r="B65" s="4" t="s">
        <v>5292</v>
      </c>
      <c r="D65" s="9"/>
      <c r="E65" s="17" t="s">
        <v>14</v>
      </c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4" t="s">
        <v>5294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4"/>
    </row>
    <row r="67">
      <c r="A67" s="1"/>
      <c r="B67" s="4" t="s">
        <v>5297</v>
      </c>
      <c r="D67" s="9"/>
      <c r="E67" s="17" t="s">
        <v>14</v>
      </c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4" t="s">
        <v>5298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4"/>
    </row>
    <row r="69">
      <c r="A69" s="1"/>
      <c r="B69" s="4" t="s">
        <v>5300</v>
      </c>
      <c r="D69" s="9"/>
      <c r="E69" s="17" t="s">
        <v>14</v>
      </c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4" t="s">
        <v>5302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4"/>
    </row>
    <row r="71">
      <c r="A71" s="1"/>
      <c r="B71" s="4" t="s">
        <v>5303</v>
      </c>
      <c r="D71" s="9"/>
      <c r="E71" s="17" t="s">
        <v>14</v>
      </c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4" t="s">
        <v>5304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4"/>
    </row>
    <row r="73">
      <c r="A73" s="1"/>
      <c r="B73" s="4" t="s">
        <v>5306</v>
      </c>
      <c r="D73" s="9"/>
      <c r="E73" s="17" t="s">
        <v>14</v>
      </c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4" t="s">
        <v>5310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4"/>
    </row>
    <row r="75">
      <c r="A75" s="1"/>
      <c r="B75" s="4" t="s">
        <v>5311</v>
      </c>
      <c r="D75" s="9"/>
      <c r="E75" s="17" t="s">
        <v>14</v>
      </c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4" t="s">
        <v>5312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4"/>
    </row>
    <row r="77">
      <c r="A77" s="1"/>
      <c r="B77" s="4" t="s">
        <v>5314</v>
      </c>
      <c r="D77" s="9"/>
      <c r="E77" s="17" t="s">
        <v>14</v>
      </c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4" t="s">
        <v>5315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4"/>
    </row>
    <row r="79">
      <c r="A79" s="1"/>
      <c r="B79" s="4" t="s">
        <v>5319</v>
      </c>
      <c r="D79" s="9"/>
      <c r="E79" s="17" t="s">
        <v>14</v>
      </c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4" t="s">
        <v>5320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4"/>
    </row>
    <row r="81">
      <c r="A81" s="1"/>
      <c r="B81" s="4" t="s">
        <v>5322</v>
      </c>
      <c r="D81" s="9"/>
      <c r="E81" s="17" t="s">
        <v>14</v>
      </c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4" t="s">
        <v>5323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4"/>
    </row>
    <row r="83">
      <c r="A83" s="1"/>
      <c r="B83" s="4" t="s">
        <v>5326</v>
      </c>
      <c r="D83" s="9"/>
      <c r="E83" s="17" t="s">
        <v>14</v>
      </c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4" t="s">
        <v>5328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4"/>
    </row>
    <row r="85">
      <c r="A85" s="1"/>
      <c r="B85" s="4" t="s">
        <v>5329</v>
      </c>
      <c r="D85" s="9"/>
      <c r="E85" s="17" t="s">
        <v>14</v>
      </c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4" t="s">
        <v>5330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4"/>
    </row>
    <row r="87">
      <c r="A87" s="1"/>
      <c r="B87" s="4" t="s">
        <v>5332</v>
      </c>
      <c r="D87" s="9"/>
      <c r="E87" s="17" t="s">
        <v>14</v>
      </c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4" t="s">
        <v>5333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4"/>
    </row>
    <row r="89">
      <c r="A89" s="1"/>
      <c r="B89" s="4" t="s">
        <v>5337</v>
      </c>
      <c r="D89" s="9"/>
      <c r="E89" s="17" t="s">
        <v>14</v>
      </c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4" t="s">
        <v>5338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4"/>
    </row>
    <row r="91">
      <c r="A91" s="1"/>
      <c r="B91" s="4" t="s">
        <v>5341</v>
      </c>
      <c r="D91" s="9"/>
      <c r="E91" s="17" t="s">
        <v>14</v>
      </c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4" t="s">
        <v>5343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4"/>
    </row>
    <row r="93">
      <c r="A93" s="1"/>
      <c r="B93" s="4" t="s">
        <v>5345</v>
      </c>
      <c r="D93" s="9"/>
      <c r="E93" s="17" t="s">
        <v>14</v>
      </c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4" t="s">
        <v>5346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4"/>
    </row>
    <row r="95">
      <c r="A95" s="1"/>
      <c r="B95" s="4" t="s">
        <v>5348</v>
      </c>
      <c r="D95" s="9"/>
      <c r="E95" s="17" t="s">
        <v>14</v>
      </c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4" t="s">
        <v>5352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4"/>
    </row>
    <row r="97">
      <c r="A97" s="1"/>
      <c r="B97" s="4" t="s">
        <v>5353</v>
      </c>
      <c r="D97" s="9"/>
      <c r="E97" s="17" t="s">
        <v>14</v>
      </c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4" t="s">
        <v>5355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4"/>
    </row>
    <row r="99">
      <c r="A99" s="1"/>
      <c r="B99" s="4" t="s">
        <v>5359</v>
      </c>
      <c r="D99" s="9"/>
      <c r="E99" s="17" t="s">
        <v>14</v>
      </c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4" t="s">
        <v>5360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4"/>
    </row>
    <row r="101">
      <c r="A101" s="1"/>
      <c r="B101" s="4" t="s">
        <v>5362</v>
      </c>
      <c r="D101" s="9"/>
      <c r="E101" s="17" t="s">
        <v>14</v>
      </c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4" t="s">
        <v>5364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4"/>
    </row>
    <row r="103">
      <c r="A103" s="1"/>
      <c r="B103" s="4" t="s">
        <v>5365</v>
      </c>
      <c r="D103" s="9"/>
      <c r="E103" s="17" t="s">
        <v>14</v>
      </c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4" t="s">
        <v>5366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4"/>
    </row>
    <row r="105">
      <c r="A105" s="1"/>
      <c r="B105" s="4" t="s">
        <v>5370</v>
      </c>
      <c r="D105" s="9"/>
      <c r="E105" s="17" t="s">
        <v>14</v>
      </c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4" t="s">
        <v>5372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"/>
    </row>
    <row r="107">
      <c r="A107" s="1"/>
      <c r="B107" s="4" t="s">
        <v>5373</v>
      </c>
      <c r="D107" s="9"/>
      <c r="E107" s="17" t="s">
        <v>14</v>
      </c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4" t="s">
        <v>5374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"/>
    </row>
    <row r="109">
      <c r="A109" s="1"/>
      <c r="B109" s="4" t="s">
        <v>5376</v>
      </c>
      <c r="D109" s="9"/>
      <c r="E109" s="17" t="s">
        <v>14</v>
      </c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4" t="s">
        <v>5377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"/>
    </row>
    <row r="111">
      <c r="A111" s="1"/>
      <c r="B111" s="4" t="s">
        <v>5381</v>
      </c>
      <c r="D111" s="9"/>
      <c r="E111" s="17" t="s">
        <v>14</v>
      </c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4" t="s">
        <v>5383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"/>
    </row>
    <row r="113">
      <c r="A113" s="1"/>
      <c r="B113" s="4" t="s">
        <v>5385</v>
      </c>
      <c r="D113" s="9"/>
      <c r="E113" s="17" t="s">
        <v>14</v>
      </c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4" t="s">
        <v>5386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"/>
    </row>
    <row r="115">
      <c r="A115" s="1"/>
      <c r="B115" s="4" t="s">
        <v>5387</v>
      </c>
      <c r="D115" s="9"/>
      <c r="E115" s="17" t="s">
        <v>14</v>
      </c>
      <c r="F115" s="18" t="str">
        <f>HYPERLINK("https://www.youtube.com/watch?v=y6I1j2BUEiM&amp;list=PLbU6uWaIKemqNvTeRxK-Ay6PRg9iwCKVi&amp;index=160&amp;t=0s",'Players&gt;List'!$B20 &amp; "++" &amp; 'Players&gt;List'!$B19)</f>
        <v>[KOS]++[HIT]</v>
      </c>
      <c r="H115" s="1"/>
      <c r="J115" s="1"/>
      <c r="K115" s="1"/>
      <c r="L115" s="1"/>
      <c r="M115" s="1"/>
      <c r="N115" s="1"/>
    </row>
    <row r="116">
      <c r="A116" s="1"/>
      <c r="B116" s="14" t="s">
        <v>5392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"/>
    </row>
    <row r="117">
      <c r="A117" s="1"/>
      <c r="B117" s="4" t="s">
        <v>5393</v>
      </c>
      <c r="D117" s="9"/>
      <c r="E117" s="17" t="s">
        <v>14</v>
      </c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4" t="s">
        <v>5397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"/>
    </row>
    <row r="119">
      <c r="A119" s="1"/>
      <c r="B119" s="4" t="s">
        <v>5399</v>
      </c>
      <c r="D119" s="9"/>
      <c r="E119" s="17" t="s">
        <v>14</v>
      </c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4" t="s">
        <v>5400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"/>
    </row>
    <row r="121">
      <c r="A121" s="1"/>
      <c r="B121" s="4" t="s">
        <v>5401</v>
      </c>
      <c r="D121" s="9"/>
      <c r="E121" s="17" t="s">
        <v>14</v>
      </c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4" t="s">
        <v>5402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"/>
    </row>
    <row r="123">
      <c r="A123" s="1"/>
      <c r="B123" s="4" t="s">
        <v>5404</v>
      </c>
      <c r="D123" s="9"/>
      <c r="E123" s="17" t="s">
        <v>14</v>
      </c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4" t="s">
        <v>5406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"/>
    </row>
    <row r="125">
      <c r="A125" s="1"/>
      <c r="B125" s="4" t="s">
        <v>5409</v>
      </c>
      <c r="D125" s="9"/>
      <c r="E125" s="17" t="s">
        <v>14</v>
      </c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4" t="s">
        <v>5410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"/>
    </row>
    <row r="127">
      <c r="A127" s="1"/>
      <c r="B127" s="4" t="s">
        <v>5412</v>
      </c>
      <c r="D127" s="9"/>
      <c r="E127" s="17" t="s">
        <v>14</v>
      </c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4" t="s">
        <v>5414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"/>
    </row>
    <row r="129">
      <c r="A129" s="1"/>
      <c r="B129" s="4" t="s">
        <v>5417</v>
      </c>
      <c r="D129" s="9"/>
      <c r="E129" s="17" t="s">
        <v>14</v>
      </c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4" t="s">
        <v>5418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"/>
    </row>
    <row r="131">
      <c r="A131" s="1"/>
      <c r="B131" s="4" t="s">
        <v>5420</v>
      </c>
      <c r="D131" s="9"/>
      <c r="E131" s="17" t="s">
        <v>14</v>
      </c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4" t="s">
        <v>5421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"/>
    </row>
    <row r="133">
      <c r="A133" s="1"/>
      <c r="B133" s="4" t="s">
        <v>5425</v>
      </c>
      <c r="D133" s="9"/>
      <c r="E133" s="17" t="s">
        <v>14</v>
      </c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4" t="s">
        <v>5427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"/>
    </row>
    <row r="135">
      <c r="A135" s="1"/>
      <c r="B135" s="4" t="s">
        <v>5428</v>
      </c>
      <c r="D135" s="9"/>
      <c r="E135" s="17" t="s">
        <v>14</v>
      </c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4" t="s">
        <v>5430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"/>
    </row>
    <row r="137">
      <c r="A137" s="1"/>
      <c r="B137" s="4" t="s">
        <v>5431</v>
      </c>
      <c r="D137" s="9"/>
      <c r="E137" s="17" t="s">
        <v>14</v>
      </c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4" t="s">
        <v>5432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"/>
    </row>
    <row r="139">
      <c r="A139" s="1"/>
      <c r="B139" s="4" t="s">
        <v>5436</v>
      </c>
      <c r="D139" s="9"/>
      <c r="E139" s="17" t="s">
        <v>14</v>
      </c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4" t="s">
        <v>5438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"/>
    </row>
    <row r="141">
      <c r="A141" s="1"/>
      <c r="B141" s="4" t="s">
        <v>5439</v>
      </c>
      <c r="D141" s="9"/>
      <c r="E141" s="17" t="s">
        <v>14</v>
      </c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4" t="s">
        <v>5440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"/>
    </row>
    <row r="143">
      <c r="A143" s="1"/>
      <c r="B143" s="4" t="s">
        <v>5444</v>
      </c>
      <c r="D143" s="9"/>
      <c r="E143" s="17" t="s">
        <v>14</v>
      </c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4" t="s">
        <v>5446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"/>
    </row>
    <row r="145">
      <c r="A145" s="1"/>
      <c r="B145" s="4" t="s">
        <v>5447</v>
      </c>
      <c r="D145" s="9"/>
      <c r="E145" s="17" t="s">
        <v>14</v>
      </c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4" t="s">
        <v>5448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"/>
    </row>
    <row r="147">
      <c r="A147" s="1"/>
      <c r="B147" s="4" t="s">
        <v>5452</v>
      </c>
      <c r="D147" s="9"/>
      <c r="E147" s="17" t="s">
        <v>14</v>
      </c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4" t="s">
        <v>5453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"/>
    </row>
    <row r="149">
      <c r="A149" s="1"/>
      <c r="B149" s="4" t="s">
        <v>5455</v>
      </c>
      <c r="D149" s="9"/>
      <c r="E149" s="17" t="s">
        <v>14</v>
      </c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4" t="s">
        <v>5456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"/>
    </row>
    <row r="151">
      <c r="A151" s="1"/>
      <c r="B151" s="4" t="s">
        <v>5459</v>
      </c>
      <c r="D151" s="9"/>
      <c r="E151" s="17" t="s">
        <v>14</v>
      </c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4" t="s">
        <v>5460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"/>
    </row>
    <row r="153">
      <c r="A153" s="1"/>
      <c r="B153" s="4" t="s">
        <v>5462</v>
      </c>
      <c r="D153" s="9"/>
      <c r="E153" s="17" t="s">
        <v>14</v>
      </c>
      <c r="F153" s="18" t="str">
        <f>HYPERLINK("https://youtu.be/4sUoqlpF4HE?t=876",'Players&gt;List'!$B32)</f>
        <v>[XEL]</v>
      </c>
      <c r="H153" s="1"/>
      <c r="I153" s="1"/>
      <c r="J153" s="1"/>
      <c r="K153" s="1"/>
      <c r="L153" s="1"/>
      <c r="M153" s="1"/>
      <c r="N153" s="1"/>
    </row>
    <row r="154">
      <c r="A154" s="1"/>
      <c r="B154" s="14" t="s">
        <v>5465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"/>
    </row>
    <row r="155">
      <c r="A155" s="1"/>
      <c r="B155" s="4" t="s">
        <v>5468</v>
      </c>
      <c r="D155" s="9"/>
      <c r="E155" s="17" t="s">
        <v>14</v>
      </c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4" t="s">
        <v>5469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"/>
    </row>
    <row r="157">
      <c r="A157" s="1"/>
      <c r="B157" s="4" t="s">
        <v>5471</v>
      </c>
      <c r="D157" s="9"/>
      <c r="E157" s="17" t="s">
        <v>14</v>
      </c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4" t="s">
        <v>5472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"/>
    </row>
    <row r="159">
      <c r="A159" s="1"/>
      <c r="B159" s="4" t="s">
        <v>5476</v>
      </c>
      <c r="D159" s="9"/>
      <c r="E159" s="17" t="s">
        <v>14</v>
      </c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4" t="s">
        <v>5477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"/>
    </row>
    <row r="161">
      <c r="A161" s="1"/>
      <c r="B161" s="4" t="s">
        <v>5479</v>
      </c>
      <c r="D161" s="9"/>
      <c r="E161" s="17" t="s">
        <v>14</v>
      </c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4" t="s">
        <v>5480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"/>
    </row>
    <row r="163">
      <c r="A163" s="1"/>
      <c r="B163" s="4" t="s">
        <v>5483</v>
      </c>
      <c r="D163" s="9"/>
      <c r="E163" s="17" t="s">
        <v>14</v>
      </c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4" t="s">
        <v>5485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"/>
    </row>
    <row r="165">
      <c r="A165" s="1"/>
      <c r="B165" s="4" t="s">
        <v>5486</v>
      </c>
      <c r="D165" s="9"/>
      <c r="E165" s="17" t="s">
        <v>14</v>
      </c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4" t="s">
        <v>5488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"/>
    </row>
    <row r="167">
      <c r="A167" s="1"/>
      <c r="B167" s="4" t="s">
        <v>5491</v>
      </c>
      <c r="D167" s="9"/>
      <c r="E167" s="17" t="s">
        <v>14</v>
      </c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4" t="s">
        <v>5492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"/>
    </row>
    <row r="169">
      <c r="A169" s="1"/>
      <c r="B169" s="4" t="s">
        <v>5497</v>
      </c>
      <c r="D169" s="9"/>
      <c r="E169" s="17" t="s">
        <v>14</v>
      </c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4" t="s">
        <v>5498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"/>
    </row>
    <row r="171">
      <c r="A171" s="1"/>
      <c r="B171" s="4" t="s">
        <v>5500</v>
      </c>
      <c r="D171" s="9"/>
      <c r="E171" s="17" t="s">
        <v>14</v>
      </c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4" t="s">
        <v>5501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"/>
    </row>
    <row r="173">
      <c r="A173" s="1"/>
      <c r="B173" s="4" t="s">
        <v>5502</v>
      </c>
      <c r="D173" s="9"/>
      <c r="E173" s="17" t="s">
        <v>14</v>
      </c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4" t="s">
        <v>5503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"/>
    </row>
    <row r="175">
      <c r="A175" s="1"/>
      <c r="B175" s="4" t="s">
        <v>5504</v>
      </c>
      <c r="D175" s="9"/>
      <c r="E175" s="17" t="s">
        <v>14</v>
      </c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4" t="s">
        <v>5506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"/>
    </row>
    <row r="177">
      <c r="A177" s="1"/>
      <c r="B177" s="4" t="s">
        <v>5508</v>
      </c>
      <c r="D177" s="9"/>
      <c r="E177" s="17" t="s">
        <v>14</v>
      </c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4" t="s">
        <v>5509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"/>
    </row>
    <row r="179">
      <c r="A179" s="1"/>
      <c r="B179" s="4" t="s">
        <v>5510</v>
      </c>
      <c r="D179" s="9"/>
      <c r="E179" s="17" t="s">
        <v>14</v>
      </c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4" t="s">
        <v>5512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"/>
    </row>
    <row r="181">
      <c r="A181" s="1"/>
      <c r="B181" s="4" t="s">
        <v>5513</v>
      </c>
      <c r="D181" s="9"/>
      <c r="E181" s="17" t="s">
        <v>14</v>
      </c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4" t="s">
        <v>5515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"/>
    </row>
    <row r="183">
      <c r="A183" s="1"/>
      <c r="B183" s="4" t="s">
        <v>5516</v>
      </c>
      <c r="D183" s="9"/>
      <c r="E183" s="17" t="s">
        <v>14</v>
      </c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4" t="s">
        <v>5518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"/>
    </row>
    <row r="185">
      <c r="A185" s="1"/>
      <c r="B185" s="4" t="s">
        <v>5520</v>
      </c>
      <c r="D185" s="9"/>
      <c r="E185" s="17" t="s">
        <v>14</v>
      </c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4" t="s">
        <v>5521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"/>
    </row>
    <row r="187">
      <c r="A187" s="1"/>
      <c r="B187" s="4" t="s">
        <v>5522</v>
      </c>
      <c r="D187" s="9"/>
      <c r="E187" s="17" t="s">
        <v>14</v>
      </c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4" t="s">
        <v>5523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"/>
    </row>
    <row r="189">
      <c r="A189" s="1"/>
      <c r="B189" s="4" t="s">
        <v>5525</v>
      </c>
      <c r="D189" s="9"/>
      <c r="E189" s="17" t="s">
        <v>14</v>
      </c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4" t="s">
        <v>5526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"/>
    </row>
    <row r="191">
      <c r="A191" s="1"/>
      <c r="B191" s="4" t="s">
        <v>5528</v>
      </c>
      <c r="D191" s="9"/>
      <c r="E191" s="17" t="s">
        <v>14</v>
      </c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4" t="s">
        <v>5529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"/>
    </row>
    <row r="193">
      <c r="A193" s="1"/>
      <c r="B193" s="4" t="s">
        <v>5530</v>
      </c>
      <c r="D193" s="9"/>
      <c r="E193" s="17" t="s">
        <v>14</v>
      </c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4" t="s">
        <v>5532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"/>
    </row>
    <row r="195">
      <c r="A195" s="1"/>
      <c r="B195" s="4" t="s">
        <v>5533</v>
      </c>
      <c r="D195" s="9"/>
      <c r="E195" s="17" t="s">
        <v>14</v>
      </c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4" t="s">
        <v>5535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"/>
    </row>
    <row r="197">
      <c r="A197" s="1"/>
      <c r="B197" s="4" t="s">
        <v>5536</v>
      </c>
      <c r="D197" s="9"/>
      <c r="E197" s="17" t="s">
        <v>14</v>
      </c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4" t="s">
        <v>5538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"/>
    </row>
    <row r="199">
      <c r="A199" s="1"/>
      <c r="B199" s="4" t="s">
        <v>5540</v>
      </c>
      <c r="D199" s="9"/>
      <c r="E199" s="17" t="s">
        <v>14</v>
      </c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4" t="s">
        <v>5541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"/>
    </row>
    <row r="201">
      <c r="A201" s="1"/>
      <c r="B201" s="4" t="s">
        <v>5542</v>
      </c>
      <c r="D201" s="9"/>
      <c r="E201" s="17" t="s">
        <v>14</v>
      </c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4" t="s">
        <v>5544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"/>
    </row>
    <row r="203">
      <c r="A203" s="1"/>
      <c r="B203" s="4" t="s">
        <v>5546</v>
      </c>
      <c r="D203" s="9"/>
      <c r="E203" s="17" t="s">
        <v>14</v>
      </c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4" t="s">
        <v>5547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"/>
    </row>
    <row r="205">
      <c r="A205" s="1"/>
      <c r="B205" s="4" t="s">
        <v>5549</v>
      </c>
      <c r="D205" s="9"/>
      <c r="E205" s="17" t="s">
        <v>14</v>
      </c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4" t="s">
        <v>5550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"/>
    </row>
    <row r="207">
      <c r="A207" s="1"/>
      <c r="B207" s="4" t="s">
        <v>5552</v>
      </c>
      <c r="D207" s="9"/>
      <c r="E207" s="17" t="s">
        <v>14</v>
      </c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4" t="s">
        <v>5553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"/>
    </row>
    <row r="209">
      <c r="A209" s="1"/>
      <c r="B209" s="4" t="s">
        <v>5555</v>
      </c>
      <c r="D209" s="9"/>
      <c r="E209" s="17" t="s">
        <v>14</v>
      </c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4" t="s">
        <v>5556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"/>
    </row>
    <row r="211">
      <c r="A211" s="1"/>
      <c r="B211" s="4" t="s">
        <v>5558</v>
      </c>
      <c r="D211" s="9"/>
      <c r="E211" s="17" t="s">
        <v>14</v>
      </c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4" t="s">
        <v>5559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"/>
    </row>
    <row r="213">
      <c r="A213" s="1"/>
      <c r="B213" s="4" t="s">
        <v>5561</v>
      </c>
      <c r="D213" s="9"/>
      <c r="E213" s="17" t="s">
        <v>14</v>
      </c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4" t="s">
        <v>5563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"/>
    </row>
    <row r="215">
      <c r="A215" s="1"/>
      <c r="B215" s="4" t="s">
        <v>5567</v>
      </c>
      <c r="D215" s="9"/>
      <c r="E215" s="17" t="s">
        <v>14</v>
      </c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4" t="s">
        <v>5568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"/>
    </row>
    <row r="217">
      <c r="A217" s="1"/>
      <c r="B217" s="4" t="s">
        <v>5570</v>
      </c>
      <c r="D217" s="9"/>
      <c r="E217" s="17" t="s">
        <v>14</v>
      </c>
      <c r="F217" s="18" t="str">
        <f>HYPERLINK("https://youtu.be/4sUoqlpF4HE?t=1209",'Players&gt;List'!$B32)</f>
        <v>[XEL]</v>
      </c>
      <c r="H217" s="1"/>
      <c r="I217" s="1"/>
      <c r="J217" s="1"/>
      <c r="K217" s="1"/>
      <c r="L217" s="1"/>
      <c r="M217" s="1"/>
      <c r="N217" s="1"/>
    </row>
    <row r="218">
      <c r="A218" s="1"/>
      <c r="B218" s="14" t="s">
        <v>5572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"/>
    </row>
    <row r="219">
      <c r="A219" s="1"/>
      <c r="B219" s="4" t="s">
        <v>5574</v>
      </c>
      <c r="D219" s="9"/>
      <c r="E219" s="17" t="s">
        <v>14</v>
      </c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4" t="s">
        <v>5576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"/>
    </row>
    <row r="221">
      <c r="A221" s="1"/>
      <c r="B221" s="4" t="s">
        <v>5577</v>
      </c>
      <c r="D221" s="9"/>
      <c r="E221" s="17" t="s">
        <v>14</v>
      </c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4" t="s">
        <v>5579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"/>
    </row>
    <row r="223">
      <c r="A223" s="1"/>
      <c r="B223" s="4" t="s">
        <v>5581</v>
      </c>
      <c r="D223" s="9"/>
      <c r="E223" s="17" t="s">
        <v>14</v>
      </c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4" t="s">
        <v>5582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"/>
    </row>
    <row r="225">
      <c r="A225" s="1"/>
      <c r="B225" s="4" t="s">
        <v>5583</v>
      </c>
      <c r="D225" s="9"/>
      <c r="E225" s="17" t="s">
        <v>14</v>
      </c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4" t="s">
        <v>5585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"/>
    </row>
    <row r="227">
      <c r="A227" s="1"/>
      <c r="B227" s="4" t="s">
        <v>5587</v>
      </c>
      <c r="D227" s="9"/>
      <c r="E227" s="17" t="s">
        <v>14</v>
      </c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4" t="s">
        <v>5588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"/>
    </row>
    <row r="229">
      <c r="A229" s="1"/>
      <c r="B229" s="4" t="s">
        <v>5589</v>
      </c>
      <c r="D229" s="9"/>
      <c r="E229" s="17" t="s">
        <v>14</v>
      </c>
      <c r="F229" s="18" t="str">
        <f>HYPERLINK("https://www.youtube.com/watch?v=KLF3fU993jE",'Players&gt;List'!$B8)</f>
        <v>[ABA]</v>
      </c>
      <c r="H229" s="18" t="str">
        <f>HYPERLINK("https://youtu.be/4sUoqlpF4HE?t=160",'Players&gt;List'!$B32)</f>
        <v>[XEL]</v>
      </c>
      <c r="J229" s="1"/>
      <c r="K229" s="1"/>
      <c r="L229" s="1"/>
      <c r="M229" s="1"/>
      <c r="N229" s="1"/>
    </row>
    <row r="230">
      <c r="A230" s="1"/>
      <c r="B230" s="14" t="s">
        <v>5592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"/>
    </row>
    <row r="231">
      <c r="A231" s="1"/>
      <c r="B231" s="4" t="s">
        <v>5595</v>
      </c>
      <c r="D231" s="9"/>
      <c r="E231" s="17" t="s">
        <v>14</v>
      </c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4" t="s">
        <v>5596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"/>
    </row>
    <row r="233">
      <c r="A233" s="1"/>
      <c r="B233" s="4" t="s">
        <v>5597</v>
      </c>
      <c r="D233" s="9"/>
      <c r="E233" s="17" t="s">
        <v>14</v>
      </c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4" t="s">
        <v>5598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"/>
    </row>
    <row r="235">
      <c r="A235" s="1"/>
      <c r="B235" s="4" t="s">
        <v>5600</v>
      </c>
      <c r="D235" s="9"/>
      <c r="E235" s="17" t="s">
        <v>14</v>
      </c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4" t="s">
        <v>5602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"/>
    </row>
    <row r="237">
      <c r="A237" s="1"/>
      <c r="B237" s="4" t="s">
        <v>5603</v>
      </c>
      <c r="D237" s="9"/>
      <c r="E237" s="17" t="s">
        <v>14</v>
      </c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4" t="s">
        <v>5604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"/>
    </row>
    <row r="239">
      <c r="A239" s="1"/>
      <c r="B239" s="4" t="s">
        <v>5606</v>
      </c>
      <c r="D239" s="9"/>
      <c r="E239" s="17" t="s">
        <v>14</v>
      </c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4" t="s">
        <v>5608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"/>
    </row>
    <row r="241">
      <c r="A241" s="1"/>
      <c r="B241" s="4" t="s">
        <v>5609</v>
      </c>
      <c r="D241" s="9"/>
      <c r="E241" s="17" t="s">
        <v>14</v>
      </c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4" t="s">
        <v>5610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"/>
    </row>
    <row r="243">
      <c r="A243" s="1"/>
      <c r="B243" s="4" t="s">
        <v>5612</v>
      </c>
      <c r="D243" s="9"/>
      <c r="E243" s="17" t="s">
        <v>14</v>
      </c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4" t="s">
        <v>5614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"/>
    </row>
    <row r="245">
      <c r="A245" s="1"/>
      <c r="B245" s="4" t="s">
        <v>5615</v>
      </c>
      <c r="D245" s="9"/>
      <c r="E245" s="17" t="s">
        <v>14</v>
      </c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4" t="s">
        <v>5616</v>
      </c>
      <c r="C246" s="16"/>
      <c r="D246" s="16"/>
      <c r="E246" s="49" t="s">
        <v>9</v>
      </c>
      <c r="F246" s="49" t="s">
        <v>10</v>
      </c>
      <c r="G246" s="14"/>
      <c r="H246" s="14"/>
      <c r="I246" s="14"/>
      <c r="J246" s="14"/>
      <c r="K246" s="14"/>
      <c r="L246" s="14"/>
      <c r="M246" s="14"/>
      <c r="N246" s="1"/>
    </row>
    <row r="247">
      <c r="A247" s="1"/>
      <c r="B247" s="4" t="s">
        <v>5620</v>
      </c>
      <c r="D247" s="9"/>
      <c r="E247" s="17" t="s">
        <v>14</v>
      </c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4" t="s">
        <v>5621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"/>
    </row>
    <row r="249">
      <c r="A249" s="1"/>
      <c r="B249" s="4" t="s">
        <v>5623</v>
      </c>
      <c r="D249" s="9"/>
      <c r="E249" s="17" t="s">
        <v>14</v>
      </c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4" t="s">
        <v>5624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"/>
    </row>
    <row r="251">
      <c r="A251" s="1"/>
      <c r="B251" s="4" t="s">
        <v>5626</v>
      </c>
      <c r="D251" s="9"/>
      <c r="E251" s="17" t="s">
        <v>14</v>
      </c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4" t="s">
        <v>5627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"/>
    </row>
    <row r="253">
      <c r="A253" s="1"/>
      <c r="B253" s="4" t="s">
        <v>5629</v>
      </c>
      <c r="D253" s="9"/>
      <c r="E253" s="17" t="s">
        <v>14</v>
      </c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4" t="s">
        <v>5630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"/>
    </row>
    <row r="255">
      <c r="A255" s="1"/>
      <c r="B255" s="4" t="s">
        <v>5632</v>
      </c>
      <c r="D255" s="9"/>
      <c r="E255" s="17" t="s">
        <v>14</v>
      </c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4" t="s">
        <v>5633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"/>
    </row>
    <row r="257">
      <c r="A257" s="1"/>
      <c r="B257" s="4" t="s">
        <v>5635</v>
      </c>
      <c r="D257" s="9"/>
      <c r="E257" s="17" t="s">
        <v>14</v>
      </c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4" t="s">
        <v>5636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"/>
    </row>
    <row r="259">
      <c r="A259" s="1"/>
      <c r="B259" s="4" t="s">
        <v>5638</v>
      </c>
      <c r="D259" s="9"/>
      <c r="E259" s="17" t="s">
        <v>14</v>
      </c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4" t="s">
        <v>5639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"/>
    </row>
    <row r="261">
      <c r="A261" s="1"/>
      <c r="B261" s="4" t="s">
        <v>5641</v>
      </c>
      <c r="D261" s="9"/>
      <c r="E261" s="17" t="s">
        <v>14</v>
      </c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4" t="s">
        <v>5642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"/>
    </row>
    <row r="263">
      <c r="A263" s="1"/>
      <c r="B263" s="4" t="s">
        <v>5646</v>
      </c>
      <c r="D263" s="9"/>
      <c r="E263" s="17" t="s">
        <v>14</v>
      </c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4" t="s">
        <v>5647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"/>
    </row>
    <row r="265">
      <c r="A265" s="1"/>
      <c r="B265" s="4" t="s">
        <v>5649</v>
      </c>
      <c r="D265" s="9"/>
      <c r="E265" s="17" t="s">
        <v>14</v>
      </c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4" t="s">
        <v>5650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"/>
    </row>
    <row r="267">
      <c r="A267" s="1"/>
      <c r="B267" s="4" t="s">
        <v>5652</v>
      </c>
      <c r="D267" s="9"/>
      <c r="E267" s="17" t="s">
        <v>14</v>
      </c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4" t="s">
        <v>5653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"/>
    </row>
    <row r="269">
      <c r="A269" s="1"/>
      <c r="B269" s="4" t="s">
        <v>5654</v>
      </c>
      <c r="D269" s="9"/>
      <c r="E269" s="17" t="s">
        <v>14</v>
      </c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4" t="s">
        <v>5656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"/>
    </row>
    <row r="271">
      <c r="A271" s="1"/>
      <c r="B271" s="4" t="s">
        <v>5657</v>
      </c>
      <c r="D271" s="9"/>
      <c r="E271" s="17" t="s">
        <v>14</v>
      </c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4" t="s">
        <v>5658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"/>
    </row>
    <row r="273">
      <c r="A273" s="1"/>
      <c r="B273" s="4" t="s">
        <v>5660</v>
      </c>
      <c r="D273" s="9"/>
      <c r="E273" s="17" t="s">
        <v>14</v>
      </c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4" t="s">
        <v>5662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"/>
    </row>
    <row r="275">
      <c r="A275" s="1"/>
      <c r="B275" s="4" t="s">
        <v>5663</v>
      </c>
      <c r="D275" s="9"/>
      <c r="E275" s="17" t="s">
        <v>14</v>
      </c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4" t="s">
        <v>5664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"/>
    </row>
    <row r="277">
      <c r="A277" s="1"/>
      <c r="B277" s="4" t="s">
        <v>5668</v>
      </c>
      <c r="D277" s="9"/>
      <c r="E277" s="17" t="s">
        <v>14</v>
      </c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4" t="s">
        <v>5670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"/>
    </row>
    <row r="279">
      <c r="A279" s="1"/>
      <c r="B279" s="4" t="s">
        <v>5673</v>
      </c>
      <c r="D279" s="9"/>
      <c r="E279" s="17" t="s">
        <v>14</v>
      </c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4" t="s">
        <v>5674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"/>
    </row>
    <row r="281">
      <c r="A281" s="1"/>
      <c r="B281" s="4" t="s">
        <v>5676</v>
      </c>
      <c r="D281" s="9"/>
      <c r="E281" s="17" t="s">
        <v>14</v>
      </c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4" t="s">
        <v>5677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"/>
    </row>
    <row r="283">
      <c r="A283" s="1"/>
      <c r="B283" s="4" t="s">
        <v>5679</v>
      </c>
      <c r="D283" s="9"/>
      <c r="E283" s="17" t="s">
        <v>14</v>
      </c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4" t="s">
        <v>5680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"/>
    </row>
    <row r="285">
      <c r="A285" s="1"/>
      <c r="B285" s="4" t="s">
        <v>5682</v>
      </c>
      <c r="D285" s="9"/>
      <c r="E285" s="17" t="s">
        <v>14</v>
      </c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4" t="s">
        <v>5683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"/>
    </row>
    <row r="287">
      <c r="A287" s="1"/>
      <c r="B287" s="4" t="s">
        <v>5685</v>
      </c>
      <c r="D287" s="9"/>
      <c r="E287" s="17" t="s">
        <v>14</v>
      </c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4" t="s">
        <v>5686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"/>
    </row>
    <row r="289">
      <c r="A289" s="1"/>
      <c r="B289" s="4" t="s">
        <v>5688</v>
      </c>
      <c r="D289" s="9"/>
      <c r="E289" s="17" t="s">
        <v>14</v>
      </c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4" t="s">
        <v>5689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"/>
    </row>
    <row r="291">
      <c r="A291" s="1"/>
      <c r="B291" s="4" t="s">
        <v>5691</v>
      </c>
      <c r="D291" s="9"/>
      <c r="E291" s="17" t="s">
        <v>14</v>
      </c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4" t="s">
        <v>5693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"/>
    </row>
    <row r="293">
      <c r="A293" s="1"/>
      <c r="B293" s="4" t="s">
        <v>5694</v>
      </c>
      <c r="D293" s="9"/>
      <c r="E293" s="17" t="s">
        <v>14</v>
      </c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4" t="s">
        <v>5695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"/>
    </row>
    <row r="295">
      <c r="A295" s="1"/>
      <c r="B295" s="4" t="s">
        <v>5697</v>
      </c>
      <c r="D295" s="9"/>
      <c r="E295" s="17" t="s">
        <v>14</v>
      </c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4" t="s">
        <v>5699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"/>
    </row>
    <row r="297">
      <c r="A297" s="1"/>
      <c r="B297" s="4" t="s">
        <v>5700</v>
      </c>
      <c r="D297" s="9"/>
      <c r="E297" s="17" t="s">
        <v>14</v>
      </c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4" t="s">
        <v>5702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"/>
    </row>
    <row r="299">
      <c r="A299" s="1"/>
      <c r="B299" s="4" t="s">
        <v>5704</v>
      </c>
      <c r="D299" s="9"/>
      <c r="E299" s="17" t="s">
        <v>14</v>
      </c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4" t="s">
        <v>5705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"/>
    </row>
    <row r="301">
      <c r="A301" s="1"/>
      <c r="B301" s="4" t="s">
        <v>5706</v>
      </c>
      <c r="D301" s="9"/>
      <c r="E301" s="17" t="s">
        <v>14</v>
      </c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4" t="s">
        <v>5708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"/>
    </row>
    <row r="303">
      <c r="A303" s="1"/>
      <c r="B303" s="4" t="s">
        <v>5710</v>
      </c>
      <c r="D303" s="9"/>
      <c r="E303" s="17" t="s">
        <v>14</v>
      </c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4" t="s">
        <v>5711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"/>
    </row>
    <row r="305">
      <c r="A305" s="1"/>
      <c r="B305" s="4" t="s">
        <v>5713</v>
      </c>
      <c r="D305" s="9"/>
      <c r="E305" s="17" t="s">
        <v>14</v>
      </c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4" t="s">
        <v>5715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"/>
    </row>
    <row r="307">
      <c r="A307" s="1"/>
      <c r="B307" s="4" t="s">
        <v>5716</v>
      </c>
      <c r="D307" s="9"/>
      <c r="E307" s="17" t="s">
        <v>14</v>
      </c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4" t="s">
        <v>5717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"/>
    </row>
    <row r="309">
      <c r="A309" s="1"/>
      <c r="B309" s="4" t="s">
        <v>5719</v>
      </c>
      <c r="D309" s="9"/>
      <c r="E309" s="17" t="s">
        <v>14</v>
      </c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4" t="s">
        <v>5721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"/>
    </row>
    <row r="311">
      <c r="A311" s="1"/>
      <c r="B311" s="4" t="s">
        <v>5722</v>
      </c>
      <c r="D311" s="9"/>
      <c r="E311" s="17" t="s">
        <v>14</v>
      </c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4" t="s">
        <v>3600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"/>
    </row>
    <row r="313">
      <c r="A313" s="1"/>
      <c r="B313" s="4" t="s">
        <v>5724</v>
      </c>
      <c r="D313" s="9"/>
      <c r="E313" s="17" t="s">
        <v>14</v>
      </c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4" t="s">
        <v>5726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"/>
    </row>
    <row r="315">
      <c r="A315" s="1"/>
      <c r="B315" s="4" t="s">
        <v>5727</v>
      </c>
      <c r="D315" s="9"/>
      <c r="E315" s="17" t="s">
        <v>14</v>
      </c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4" t="s">
        <v>5728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"/>
    </row>
    <row r="317">
      <c r="A317" s="1"/>
      <c r="B317" s="4" t="s">
        <v>5730</v>
      </c>
      <c r="D317" s="9"/>
      <c r="E317" s="17" t="s">
        <v>14</v>
      </c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4" t="s">
        <v>5732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"/>
    </row>
    <row r="319">
      <c r="A319" s="1"/>
      <c r="B319" s="4" t="s">
        <v>5733</v>
      </c>
      <c r="D319" s="9"/>
      <c r="E319" s="17" t="s">
        <v>14</v>
      </c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4" t="s">
        <v>5735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"/>
    </row>
    <row r="321">
      <c r="A321" s="1"/>
      <c r="B321" s="4" t="s">
        <v>5737</v>
      </c>
      <c r="D321" s="9"/>
      <c r="E321" s="17" t="s">
        <v>14</v>
      </c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4" t="s">
        <v>5738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"/>
    </row>
    <row r="323">
      <c r="A323" s="1"/>
      <c r="B323" s="4" t="s">
        <v>5739</v>
      </c>
      <c r="D323" s="9"/>
      <c r="E323" s="17" t="s">
        <v>14</v>
      </c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4" t="s">
        <v>5741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"/>
    </row>
    <row r="325">
      <c r="A325" s="1"/>
      <c r="B325" s="4" t="s">
        <v>5743</v>
      </c>
      <c r="D325" s="9"/>
      <c r="E325" s="17" t="s">
        <v>14</v>
      </c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4" t="s">
        <v>5744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"/>
    </row>
    <row r="327">
      <c r="A327" s="1"/>
      <c r="B327" s="4" t="s">
        <v>5745</v>
      </c>
      <c r="D327" s="9"/>
      <c r="E327" s="17" t="s">
        <v>14</v>
      </c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4" t="s">
        <v>5747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"/>
    </row>
    <row r="329">
      <c r="A329" s="1"/>
      <c r="B329" s="4" t="s">
        <v>5749</v>
      </c>
      <c r="D329" s="9"/>
      <c r="E329" s="17" t="s">
        <v>14</v>
      </c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4" t="s">
        <v>5751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"/>
    </row>
    <row r="331">
      <c r="A331" s="1"/>
      <c r="B331" s="4" t="s">
        <v>5753</v>
      </c>
      <c r="D331" s="9"/>
      <c r="E331" s="17" t="s">
        <v>14</v>
      </c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4" t="s">
        <v>5754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"/>
    </row>
    <row r="333">
      <c r="A333" s="1"/>
      <c r="B333" s="4" t="s">
        <v>5755</v>
      </c>
      <c r="D333" s="9"/>
      <c r="E333" s="17" t="s">
        <v>14</v>
      </c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4" t="s">
        <v>5757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"/>
    </row>
    <row r="335">
      <c r="A335" s="1"/>
      <c r="B335" s="4" t="s">
        <v>5759</v>
      </c>
      <c r="D335" s="9"/>
      <c r="E335" s="17" t="s">
        <v>14</v>
      </c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4" t="s">
        <v>5760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"/>
    </row>
    <row r="337">
      <c r="A337" s="1"/>
      <c r="B337" s="4" t="s">
        <v>5761</v>
      </c>
      <c r="D337" s="9"/>
      <c r="E337" s="17" t="s">
        <v>14</v>
      </c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4" t="s">
        <v>5763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"/>
    </row>
    <row r="339">
      <c r="A339" s="1"/>
      <c r="B339" s="4" t="s">
        <v>5764</v>
      </c>
      <c r="D339" s="9"/>
      <c r="E339" s="17" t="s">
        <v>14</v>
      </c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4" t="s">
        <v>5766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"/>
    </row>
    <row r="341">
      <c r="A341" s="1"/>
      <c r="B341" s="4" t="s">
        <v>5767</v>
      </c>
      <c r="D341" s="9"/>
      <c r="E341" s="17" t="s">
        <v>14</v>
      </c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4" t="s">
        <v>5768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"/>
    </row>
    <row r="343">
      <c r="A343" s="1"/>
      <c r="B343" s="4" t="s">
        <v>5770</v>
      </c>
      <c r="D343" s="9"/>
      <c r="E343" s="17" t="s">
        <v>14</v>
      </c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4" t="s">
        <v>5772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"/>
    </row>
    <row r="345">
      <c r="A345" s="1"/>
      <c r="B345" s="4" t="s">
        <v>5773</v>
      </c>
      <c r="D345" s="9"/>
      <c r="E345" s="17" t="s">
        <v>14</v>
      </c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4" t="s">
        <v>5774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"/>
    </row>
    <row r="347">
      <c r="A347" s="1"/>
      <c r="B347" s="4" t="s">
        <v>5776</v>
      </c>
      <c r="D347" s="9"/>
      <c r="E347" s="17" t="s">
        <v>14</v>
      </c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4" t="s">
        <v>5777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"/>
    </row>
    <row r="349">
      <c r="A349" s="1"/>
      <c r="B349" s="4" t="s">
        <v>5779</v>
      </c>
      <c r="D349" s="9"/>
      <c r="E349" s="17" t="s">
        <v>14</v>
      </c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4" t="s">
        <v>5780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"/>
    </row>
    <row r="351">
      <c r="A351" s="1"/>
      <c r="B351" s="4" t="s">
        <v>5782</v>
      </c>
      <c r="D351" s="9"/>
      <c r="E351" s="17" t="s">
        <v>14</v>
      </c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4" t="s">
        <v>5783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"/>
    </row>
    <row r="353">
      <c r="A353" s="1"/>
      <c r="B353" s="4" t="s">
        <v>5785</v>
      </c>
      <c r="D353" s="9"/>
      <c r="E353" s="17" t="s">
        <v>14</v>
      </c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4" t="s">
        <v>5786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"/>
    </row>
    <row r="355">
      <c r="A355" s="1"/>
      <c r="B355" s="4" t="s">
        <v>5788</v>
      </c>
      <c r="D355" s="9"/>
      <c r="E355" s="17" t="s">
        <v>14</v>
      </c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4" t="s">
        <v>5790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"/>
    </row>
    <row r="357">
      <c r="A357" s="1"/>
      <c r="B357" s="4" t="s">
        <v>5791</v>
      </c>
      <c r="D357" s="9"/>
      <c r="E357" s="17" t="s">
        <v>14</v>
      </c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4" t="s">
        <v>5792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"/>
    </row>
    <row r="359">
      <c r="A359" s="1"/>
      <c r="B359" s="4" t="s">
        <v>5794</v>
      </c>
      <c r="D359" s="9"/>
      <c r="E359" s="17" t="s">
        <v>14</v>
      </c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4" t="s">
        <v>5796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"/>
    </row>
    <row r="361">
      <c r="A361" s="1"/>
      <c r="B361" s="4" t="s">
        <v>5797</v>
      </c>
      <c r="D361" s="9"/>
      <c r="E361" s="17" t="s">
        <v>14</v>
      </c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4" t="s">
        <v>5798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"/>
    </row>
    <row r="363">
      <c r="A363" s="1"/>
      <c r="B363" s="4" t="s">
        <v>5800</v>
      </c>
      <c r="D363" s="9"/>
      <c r="E363" s="17" t="s">
        <v>14</v>
      </c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4" t="s">
        <v>5802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"/>
    </row>
    <row r="365">
      <c r="A365" s="1"/>
      <c r="B365" s="4" t="s">
        <v>5803</v>
      </c>
      <c r="D365" s="9"/>
      <c r="E365" s="17" t="s">
        <v>14</v>
      </c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4" t="s">
        <v>5805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"/>
    </row>
    <row r="367">
      <c r="A367" s="1"/>
      <c r="B367" s="4" t="s">
        <v>5807</v>
      </c>
      <c r="D367" s="9"/>
      <c r="E367" s="17" t="s">
        <v>14</v>
      </c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4" t="s">
        <v>5808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"/>
    </row>
    <row r="369">
      <c r="A369" s="1"/>
      <c r="B369" s="4" t="s">
        <v>5809</v>
      </c>
      <c r="D369" s="9"/>
      <c r="E369" s="17" t="s">
        <v>14</v>
      </c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4" t="s">
        <v>5811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"/>
    </row>
    <row r="371">
      <c r="A371" s="1"/>
      <c r="B371" s="4" t="s">
        <v>5813</v>
      </c>
      <c r="D371" s="9"/>
      <c r="E371" s="17" t="s">
        <v>14</v>
      </c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4" t="s">
        <v>5814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"/>
    </row>
    <row r="373">
      <c r="A373" s="1"/>
      <c r="B373" s="4" t="s">
        <v>5816</v>
      </c>
      <c r="D373" s="9"/>
      <c r="E373" s="17" t="s">
        <v>14</v>
      </c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4" t="s">
        <v>5818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"/>
    </row>
    <row r="375">
      <c r="A375" s="1"/>
      <c r="B375" s="4" t="s">
        <v>5819</v>
      </c>
      <c r="D375" s="9"/>
      <c r="E375" s="17" t="s">
        <v>14</v>
      </c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4" t="s">
        <v>5821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"/>
    </row>
    <row r="377">
      <c r="A377" s="1"/>
      <c r="B377" s="4" t="s">
        <v>5823</v>
      </c>
      <c r="D377" s="9"/>
      <c r="E377" s="17" t="s">
        <v>14</v>
      </c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4" t="s">
        <v>5824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"/>
    </row>
    <row r="379">
      <c r="A379" s="1"/>
      <c r="B379" s="4" t="s">
        <v>5825</v>
      </c>
      <c r="D379" s="9"/>
      <c r="E379" s="17" t="s">
        <v>14</v>
      </c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4" t="s">
        <v>5827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"/>
    </row>
    <row r="381">
      <c r="A381" s="1"/>
      <c r="B381" s="4" t="s">
        <v>5829</v>
      </c>
      <c r="D381" s="9"/>
      <c r="E381" s="17" t="s">
        <v>14</v>
      </c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4" t="s">
        <v>5830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"/>
    </row>
    <row r="383">
      <c r="A383" s="1"/>
      <c r="B383" s="4" t="s">
        <v>5832</v>
      </c>
      <c r="D383" s="9"/>
      <c r="E383" s="17" t="s">
        <v>14</v>
      </c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4" t="s">
        <v>5834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"/>
    </row>
    <row r="385">
      <c r="A385" s="1"/>
      <c r="B385" s="4" t="s">
        <v>5835</v>
      </c>
      <c r="D385" s="9"/>
      <c r="E385" s="17" t="s">
        <v>14</v>
      </c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4" t="s">
        <v>5836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"/>
    </row>
    <row r="387">
      <c r="A387" s="1"/>
      <c r="B387" s="4" t="s">
        <v>5838</v>
      </c>
      <c r="D387" s="9"/>
      <c r="E387" s="17" t="s">
        <v>14</v>
      </c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4" t="s">
        <v>5840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"/>
    </row>
    <row r="389">
      <c r="A389" s="1"/>
      <c r="B389" s="4" t="s">
        <v>5841</v>
      </c>
      <c r="D389" s="9"/>
      <c r="E389" s="17" t="s">
        <v>14</v>
      </c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4" t="s">
        <v>5842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"/>
    </row>
    <row r="391">
      <c r="A391" s="1"/>
      <c r="B391" s="4" t="s">
        <v>5844</v>
      </c>
      <c r="D391" s="9"/>
      <c r="E391" s="17" t="s">
        <v>14</v>
      </c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4" t="s">
        <v>3421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"/>
    </row>
    <row r="393">
      <c r="A393" s="1"/>
      <c r="B393" s="4" t="s">
        <v>5846</v>
      </c>
      <c r="D393" s="9"/>
      <c r="E393" s="17" t="s">
        <v>14</v>
      </c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4" t="s">
        <v>5847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"/>
    </row>
    <row r="395">
      <c r="A395" s="1"/>
      <c r="B395" s="4" t="s">
        <v>5849</v>
      </c>
      <c r="D395" s="9"/>
      <c r="E395" s="17" t="s">
        <v>14</v>
      </c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4" t="s">
        <v>5851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"/>
    </row>
    <row r="397">
      <c r="A397" s="1"/>
      <c r="B397" s="4" t="s">
        <v>5852</v>
      </c>
      <c r="D397" s="9"/>
      <c r="E397" s="17" t="s">
        <v>14</v>
      </c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4" t="s">
        <v>5853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"/>
    </row>
    <row r="399">
      <c r="A399" s="1"/>
      <c r="B399" s="4" t="s">
        <v>5856</v>
      </c>
      <c r="D399" s="9"/>
      <c r="E399" s="17" t="s">
        <v>14</v>
      </c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4" t="s">
        <v>5858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"/>
    </row>
    <row r="401">
      <c r="A401" s="1"/>
      <c r="B401" s="4" t="s">
        <v>5860</v>
      </c>
      <c r="D401" s="9"/>
      <c r="E401" s="17" t="s">
        <v>14</v>
      </c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4" t="s">
        <v>5861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"/>
    </row>
    <row r="403">
      <c r="A403" s="1"/>
      <c r="B403" s="4" t="s">
        <v>5863</v>
      </c>
      <c r="D403" s="9"/>
      <c r="E403" s="17" t="s">
        <v>14</v>
      </c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4" t="s">
        <v>5864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"/>
    </row>
    <row r="405">
      <c r="A405" s="1"/>
      <c r="B405" s="4" t="s">
        <v>5865</v>
      </c>
      <c r="D405" s="9"/>
      <c r="E405" s="17" t="s">
        <v>14</v>
      </c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4" t="s">
        <v>5867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"/>
    </row>
    <row r="407">
      <c r="A407" s="1"/>
      <c r="B407" s="4" t="s">
        <v>5868</v>
      </c>
      <c r="D407" s="9"/>
      <c r="E407" s="17" t="s">
        <v>14</v>
      </c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4" t="s">
        <v>5870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"/>
    </row>
    <row r="409">
      <c r="A409" s="1"/>
      <c r="B409" s="4" t="s">
        <v>5872</v>
      </c>
      <c r="D409" s="9"/>
      <c r="E409" s="17" t="s">
        <v>14</v>
      </c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4" t="s">
        <v>5873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"/>
    </row>
    <row r="411">
      <c r="A411" s="1"/>
      <c r="B411" s="4" t="s">
        <v>5875</v>
      </c>
      <c r="D411" s="9"/>
      <c r="E411" s="17" t="s">
        <v>14</v>
      </c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4" t="s">
        <v>5877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"/>
    </row>
    <row r="413">
      <c r="A413" s="1"/>
      <c r="B413" s="4" t="s">
        <v>5878</v>
      </c>
      <c r="D413" s="9"/>
      <c r="E413" s="17" t="s">
        <v>14</v>
      </c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4" t="s">
        <v>5880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"/>
    </row>
    <row r="415">
      <c r="A415" s="1"/>
      <c r="B415" s="4" t="s">
        <v>5882</v>
      </c>
      <c r="D415" s="9"/>
      <c r="E415" s="17" t="s">
        <v>14</v>
      </c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4" t="s">
        <v>5883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"/>
    </row>
    <row r="417">
      <c r="A417" s="1"/>
      <c r="B417" s="4" t="s">
        <v>5885</v>
      </c>
      <c r="D417" s="9"/>
      <c r="E417" s="17" t="s">
        <v>14</v>
      </c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4" t="s">
        <v>5886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"/>
    </row>
    <row r="419">
      <c r="A419" s="1"/>
      <c r="B419" s="4" t="s">
        <v>5888</v>
      </c>
      <c r="D419" s="9"/>
      <c r="E419" s="17" t="s">
        <v>14</v>
      </c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4" t="s">
        <v>5889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"/>
    </row>
    <row r="421">
      <c r="A421" s="1"/>
      <c r="B421" s="4" t="s">
        <v>5891</v>
      </c>
      <c r="D421" s="9"/>
      <c r="E421" s="17" t="s">
        <v>14</v>
      </c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4" t="s">
        <v>5893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"/>
    </row>
    <row r="423">
      <c r="A423" s="1"/>
      <c r="B423" s="4" t="s">
        <v>5894</v>
      </c>
      <c r="D423" s="9"/>
      <c r="E423" s="17" t="s">
        <v>14</v>
      </c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4" t="s">
        <v>5896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"/>
    </row>
    <row r="425">
      <c r="A425" s="1"/>
      <c r="B425" s="4" t="s">
        <v>5898</v>
      </c>
      <c r="D425" s="9"/>
      <c r="E425" s="17" t="s">
        <v>14</v>
      </c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4" t="s">
        <v>5899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"/>
    </row>
    <row r="427">
      <c r="A427" s="1"/>
      <c r="B427" s="4" t="s">
        <v>5900</v>
      </c>
      <c r="D427" s="9"/>
      <c r="E427" s="17" t="s">
        <v>14</v>
      </c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4" t="s">
        <v>5902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"/>
    </row>
    <row r="429">
      <c r="A429" s="1"/>
      <c r="B429" s="4" t="s">
        <v>5904</v>
      </c>
      <c r="D429" s="9"/>
      <c r="E429" s="17" t="s">
        <v>14</v>
      </c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4" t="s">
        <v>5905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"/>
    </row>
    <row r="431">
      <c r="A431" s="1"/>
      <c r="B431" s="4" t="s">
        <v>5906</v>
      </c>
      <c r="D431" s="9"/>
      <c r="E431" s="17" t="s">
        <v>14</v>
      </c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4" t="s">
        <v>5908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"/>
    </row>
    <row r="433">
      <c r="A433" s="1"/>
      <c r="B433" s="4" t="s">
        <v>5910</v>
      </c>
      <c r="D433" s="9"/>
      <c r="E433" s="17" t="s">
        <v>14</v>
      </c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4" t="s">
        <v>5911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"/>
    </row>
    <row r="435">
      <c r="A435" s="1"/>
      <c r="B435" s="4" t="s">
        <v>5912</v>
      </c>
      <c r="D435" s="9"/>
      <c r="E435" s="17" t="s">
        <v>14</v>
      </c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4" t="s">
        <v>5914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"/>
    </row>
    <row r="437">
      <c r="A437" s="1"/>
      <c r="B437" s="4" t="s">
        <v>5916</v>
      </c>
      <c r="D437" s="9"/>
      <c r="E437" s="17" t="s">
        <v>14</v>
      </c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4" t="s">
        <v>5917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"/>
    </row>
    <row r="439">
      <c r="A439" s="1"/>
      <c r="B439" s="4" t="s">
        <v>5919</v>
      </c>
      <c r="D439" s="9"/>
      <c r="E439" s="17" t="s">
        <v>14</v>
      </c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4" t="s">
        <v>5920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"/>
    </row>
    <row r="441">
      <c r="A441" s="1"/>
      <c r="B441" s="4" t="s">
        <v>5922</v>
      </c>
      <c r="D441" s="9"/>
      <c r="E441" s="17" t="s">
        <v>14</v>
      </c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4" t="s">
        <v>5923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"/>
    </row>
    <row r="443">
      <c r="A443" s="1"/>
      <c r="B443" s="4" t="s">
        <v>5925</v>
      </c>
      <c r="D443" s="9"/>
      <c r="E443" s="17" t="s">
        <v>14</v>
      </c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4" t="s">
        <v>5926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"/>
    </row>
    <row r="445">
      <c r="A445" s="1"/>
      <c r="B445" s="4" t="s">
        <v>5928</v>
      </c>
      <c r="D445" s="9"/>
      <c r="E445" s="17" t="s">
        <v>14</v>
      </c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4" t="s">
        <v>5929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"/>
    </row>
    <row r="447">
      <c r="A447" s="1"/>
      <c r="B447" s="4" t="s">
        <v>5931</v>
      </c>
      <c r="D447" s="9"/>
      <c r="E447" s="17" t="s">
        <v>14</v>
      </c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4" t="s">
        <v>5932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"/>
    </row>
    <row r="449">
      <c r="A449" s="1"/>
      <c r="B449" s="4" t="s">
        <v>5934</v>
      </c>
      <c r="D449" s="9"/>
      <c r="E449" s="17" t="s">
        <v>14</v>
      </c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4" t="s">
        <v>5935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"/>
    </row>
    <row r="451">
      <c r="A451" s="1"/>
      <c r="B451" s="4" t="s">
        <v>5937</v>
      </c>
      <c r="D451" s="9"/>
      <c r="E451" s="17" t="s">
        <v>14</v>
      </c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4" t="s">
        <v>5938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"/>
    </row>
    <row r="453">
      <c r="A453" s="1"/>
      <c r="B453" s="4" t="s">
        <v>5940</v>
      </c>
      <c r="D453" s="9"/>
      <c r="E453" s="17" t="s">
        <v>14</v>
      </c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4" t="s">
        <v>5941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"/>
    </row>
    <row r="455">
      <c r="A455" s="1"/>
      <c r="B455" s="4" t="s">
        <v>5943</v>
      </c>
      <c r="D455" s="9"/>
      <c r="E455" s="17" t="s">
        <v>14</v>
      </c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4" t="s">
        <v>5944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"/>
    </row>
    <row r="457">
      <c r="A457" s="1"/>
      <c r="B457" s="4" t="s">
        <v>5946</v>
      </c>
      <c r="D457" s="9"/>
      <c r="E457" s="17" t="s">
        <v>14</v>
      </c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4" t="s">
        <v>5947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"/>
    </row>
    <row r="459">
      <c r="A459" s="1"/>
      <c r="B459" s="4" t="s">
        <v>5949</v>
      </c>
      <c r="D459" s="9"/>
      <c r="E459" s="17" t="s">
        <v>14</v>
      </c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4" t="s">
        <v>5950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"/>
    </row>
    <row r="461">
      <c r="A461" s="1"/>
      <c r="B461" s="4" t="s">
        <v>5952</v>
      </c>
      <c r="D461" s="9"/>
      <c r="E461" s="17" t="s">
        <v>14</v>
      </c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4" t="s">
        <v>5953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"/>
    </row>
    <row r="463">
      <c r="A463" s="1"/>
      <c r="B463" s="4" t="s">
        <v>5954</v>
      </c>
      <c r="D463" s="9"/>
      <c r="E463" s="17" t="s">
        <v>14</v>
      </c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4" t="s">
        <v>5955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"/>
    </row>
    <row r="465">
      <c r="A465" s="1"/>
      <c r="B465" s="4" t="s">
        <v>5957</v>
      </c>
      <c r="D465" s="9"/>
      <c r="E465" s="17" t="s">
        <v>14</v>
      </c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4" t="s">
        <v>5959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"/>
    </row>
    <row r="467">
      <c r="A467" s="1"/>
      <c r="B467" s="4" t="s">
        <v>5960</v>
      </c>
      <c r="D467" s="9"/>
      <c r="E467" s="17" t="s">
        <v>14</v>
      </c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4" t="s">
        <v>5961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"/>
    </row>
    <row r="469">
      <c r="A469" s="1"/>
      <c r="B469" s="4" t="s">
        <v>5963</v>
      </c>
      <c r="D469" s="9"/>
      <c r="E469" s="17" t="s">
        <v>14</v>
      </c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4" t="s">
        <v>5964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"/>
    </row>
    <row r="471">
      <c r="A471" s="1"/>
      <c r="B471" s="4" t="s">
        <v>5966</v>
      </c>
      <c r="D471" s="9"/>
      <c r="E471" s="17" t="s">
        <v>14</v>
      </c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4" t="s">
        <v>5968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"/>
    </row>
    <row r="473">
      <c r="A473" s="1"/>
      <c r="B473" s="4" t="s">
        <v>5970</v>
      </c>
      <c r="D473" s="9"/>
      <c r="E473" s="17" t="s">
        <v>14</v>
      </c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4" t="s">
        <v>5971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"/>
    </row>
    <row r="475">
      <c r="A475" s="1"/>
      <c r="B475" s="4" t="s">
        <v>5972</v>
      </c>
      <c r="D475" s="9"/>
      <c r="E475" s="17" t="s">
        <v>14</v>
      </c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4" t="s">
        <v>5973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"/>
    </row>
    <row r="477">
      <c r="A477" s="1"/>
      <c r="B477" s="4" t="s">
        <v>5975</v>
      </c>
      <c r="D477" s="9"/>
      <c r="E477" s="17" t="s">
        <v>14</v>
      </c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4" t="s">
        <v>5976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"/>
    </row>
    <row r="479">
      <c r="A479" s="1"/>
      <c r="B479" s="4" t="s">
        <v>5977</v>
      </c>
      <c r="D479" s="9"/>
      <c r="E479" s="17" t="s">
        <v>14</v>
      </c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4" t="s">
        <v>5979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"/>
    </row>
    <row r="481">
      <c r="A481" s="1"/>
      <c r="B481" s="4" t="s">
        <v>5981</v>
      </c>
      <c r="D481" s="9"/>
      <c r="E481" s="17" t="s">
        <v>14</v>
      </c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4" t="s">
        <v>5982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"/>
    </row>
    <row r="483">
      <c r="A483" s="1"/>
      <c r="B483" s="4" t="s">
        <v>5983</v>
      </c>
      <c r="D483" s="9"/>
      <c r="E483" s="17" t="s">
        <v>14</v>
      </c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4" t="s">
        <v>5985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"/>
    </row>
    <row r="485">
      <c r="A485" s="1"/>
      <c r="B485" s="4" t="s">
        <v>5986</v>
      </c>
      <c r="D485" s="9"/>
      <c r="E485" s="17" t="s">
        <v>14</v>
      </c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4" t="s">
        <v>5988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"/>
    </row>
    <row r="487">
      <c r="A487" s="1"/>
      <c r="B487" s="4" t="s">
        <v>5989</v>
      </c>
      <c r="D487" s="9"/>
      <c r="E487" s="17" t="s">
        <v>14</v>
      </c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4" t="s">
        <v>5990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"/>
    </row>
    <row r="489">
      <c r="A489" s="1"/>
      <c r="B489" s="4" t="s">
        <v>5993</v>
      </c>
      <c r="D489" s="9"/>
      <c r="E489" s="17" t="s">
        <v>14</v>
      </c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4" t="s">
        <v>5994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"/>
    </row>
    <row r="491">
      <c r="A491" s="1"/>
      <c r="B491" s="4" t="s">
        <v>5995</v>
      </c>
      <c r="D491" s="9"/>
      <c r="E491" s="17" t="s">
        <v>14</v>
      </c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4" t="s">
        <v>5997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"/>
    </row>
    <row r="493">
      <c r="A493" s="1"/>
      <c r="B493" s="4" t="s">
        <v>5999</v>
      </c>
      <c r="D493" s="9"/>
      <c r="E493" s="17" t="s">
        <v>14</v>
      </c>
      <c r="F493" s="18" t="str">
        <f>HYPERLINK("https://www.youtube.com/watch?v=h4jqz6QM91Y&amp;list=PLbU6uWaIKemqNvTeRxK-Ay6PRg9iwCKVi&amp;index=171&amp;t=0s",'Players&gt;List'!$B20 &amp; "++" &amp; 'Players&gt;List'!$B19)</f>
        <v>[KOS]++[HIT]</v>
      </c>
      <c r="H493" s="1"/>
      <c r="I493" s="1"/>
      <c r="J493" s="1"/>
      <c r="K493" s="1"/>
      <c r="L493" s="1"/>
      <c r="M493" s="1"/>
      <c r="N493" s="1"/>
    </row>
    <row r="494">
      <c r="A494" s="1"/>
      <c r="B494" s="14" t="s">
        <v>6002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"/>
    </row>
    <row r="495">
      <c r="A495" s="1"/>
      <c r="B495" s="4" t="s">
        <v>6003</v>
      </c>
      <c r="D495" s="9"/>
      <c r="E495" s="17" t="s">
        <v>14</v>
      </c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4" t="s">
        <v>6004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"/>
    </row>
    <row r="497">
      <c r="A497" s="1"/>
      <c r="B497" s="4" t="s">
        <v>6005</v>
      </c>
      <c r="D497" s="9"/>
      <c r="E497" s="17" t="s">
        <v>14</v>
      </c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4" t="s">
        <v>6006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"/>
    </row>
    <row r="499">
      <c r="A499" s="1"/>
      <c r="B499" s="4" t="s">
        <v>6007</v>
      </c>
      <c r="D499" s="9"/>
      <c r="E499" s="17" t="s">
        <v>14</v>
      </c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4" t="s">
        <v>6008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"/>
    </row>
    <row r="501">
      <c r="A501" s="1"/>
      <c r="B501" s="4" t="s">
        <v>6009</v>
      </c>
      <c r="D501" s="9"/>
      <c r="E501" s="17" t="s">
        <v>14</v>
      </c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4" t="s">
        <v>6010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"/>
    </row>
    <row r="503">
      <c r="A503" s="1"/>
      <c r="B503" s="4" t="s">
        <v>6012</v>
      </c>
      <c r="D503" s="9"/>
      <c r="E503" s="17" t="s">
        <v>14</v>
      </c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4" t="s">
        <v>6013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"/>
    </row>
    <row r="505">
      <c r="A505" s="1"/>
      <c r="B505" s="4" t="s">
        <v>6015</v>
      </c>
      <c r="D505" s="9"/>
      <c r="E505" s="17" t="s">
        <v>14</v>
      </c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4" t="s">
        <v>6016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"/>
    </row>
    <row r="507">
      <c r="A507" s="1"/>
      <c r="B507" s="4" t="s">
        <v>6017</v>
      </c>
      <c r="D507" s="9"/>
      <c r="E507" s="17" t="s">
        <v>14</v>
      </c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4" t="s">
        <v>6018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"/>
    </row>
    <row r="509">
      <c r="A509" s="1"/>
      <c r="B509" s="4" t="s">
        <v>6020</v>
      </c>
      <c r="D509" s="9"/>
      <c r="E509" s="17" t="s">
        <v>14</v>
      </c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4" t="s">
        <v>6022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"/>
    </row>
    <row r="511">
      <c r="A511" s="1"/>
      <c r="B511" s="4" t="s">
        <v>6023</v>
      </c>
      <c r="D511" s="9"/>
      <c r="E511" s="17" t="s">
        <v>14</v>
      </c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4" t="s">
        <v>6024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"/>
    </row>
    <row r="513">
      <c r="A513" s="1"/>
      <c r="B513" s="4" t="s">
        <v>6026</v>
      </c>
      <c r="D513" s="9"/>
      <c r="E513" s="17" t="s">
        <v>14</v>
      </c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4" t="s">
        <v>6027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"/>
    </row>
    <row r="515">
      <c r="A515" s="1"/>
      <c r="B515" s="4" t="s">
        <v>6028</v>
      </c>
      <c r="D515" s="9"/>
      <c r="E515" s="17" t="s">
        <v>14</v>
      </c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4" t="s">
        <v>6029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"/>
    </row>
    <row r="517">
      <c r="A517" s="1"/>
      <c r="B517" s="4" t="s">
        <v>6031</v>
      </c>
      <c r="D517" s="9"/>
      <c r="E517" s="17" t="s">
        <v>14</v>
      </c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4" t="s">
        <v>6032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"/>
    </row>
    <row r="519">
      <c r="A519" s="1"/>
      <c r="B519" s="4" t="s">
        <v>6037</v>
      </c>
      <c r="D519" s="9"/>
      <c r="E519" s="17" t="s">
        <v>14</v>
      </c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4" t="s">
        <v>6038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"/>
    </row>
    <row r="521">
      <c r="A521" s="1"/>
      <c r="B521" s="4" t="s">
        <v>6040</v>
      </c>
      <c r="D521" s="9"/>
      <c r="E521" s="17" t="s">
        <v>14</v>
      </c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4" t="s">
        <v>6041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"/>
    </row>
    <row r="523">
      <c r="A523" s="1"/>
      <c r="B523" s="4" t="s">
        <v>6043</v>
      </c>
      <c r="D523" s="9"/>
      <c r="E523" s="17" t="s">
        <v>14</v>
      </c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4" t="s">
        <v>6044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"/>
    </row>
    <row r="525">
      <c r="A525" s="1"/>
      <c r="B525" s="4" t="s">
        <v>6046</v>
      </c>
      <c r="D525" s="9"/>
      <c r="E525" s="17" t="s">
        <v>14</v>
      </c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4" t="s">
        <v>6047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"/>
    </row>
    <row r="527">
      <c r="A527" s="1"/>
      <c r="B527" s="4" t="s">
        <v>6049</v>
      </c>
      <c r="D527" s="9"/>
      <c r="E527" s="17" t="s">
        <v>14</v>
      </c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4" t="s">
        <v>6050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"/>
    </row>
    <row r="529">
      <c r="A529" s="1"/>
      <c r="B529" s="4" t="s">
        <v>6051</v>
      </c>
      <c r="D529" s="9"/>
      <c r="E529" s="17" t="s">
        <v>14</v>
      </c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4" t="s">
        <v>6053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"/>
    </row>
    <row r="531">
      <c r="A531" s="1"/>
      <c r="B531" s="4" t="s">
        <v>6055</v>
      </c>
      <c r="D531" s="9"/>
      <c r="E531" s="17" t="s">
        <v>14</v>
      </c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4" t="s">
        <v>6056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"/>
    </row>
    <row r="533">
      <c r="A533" s="1"/>
      <c r="B533" s="4" t="s">
        <v>6057</v>
      </c>
      <c r="D533" s="9"/>
      <c r="E533" s="17" t="s">
        <v>14</v>
      </c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4" t="s">
        <v>6058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"/>
    </row>
    <row r="535">
      <c r="A535" s="1"/>
      <c r="B535" s="4" t="s">
        <v>6060</v>
      </c>
      <c r="D535" s="9"/>
      <c r="E535" s="17" t="s">
        <v>14</v>
      </c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4" t="s">
        <v>6061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"/>
    </row>
    <row r="537">
      <c r="A537" s="1"/>
      <c r="B537" s="4" t="s">
        <v>6063</v>
      </c>
      <c r="D537" s="9"/>
      <c r="E537" s="17" t="s">
        <v>14</v>
      </c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4" t="s">
        <v>6064</v>
      </c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"/>
    </row>
    <row r="539">
      <c r="A539" s="1"/>
      <c r="B539" s="4" t="s">
        <v>6065</v>
      </c>
      <c r="D539" s="9"/>
      <c r="E539" s="17" t="s">
        <v>14</v>
      </c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4" t="s">
        <v>6067</v>
      </c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"/>
    </row>
    <row r="541">
      <c r="A541" s="1"/>
      <c r="B541" s="4" t="s">
        <v>6069</v>
      </c>
      <c r="D541" s="9"/>
      <c r="E541" s="17" t="s">
        <v>14</v>
      </c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4" t="s">
        <v>6070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"/>
    </row>
    <row r="543">
      <c r="A543" s="1"/>
      <c r="B543" s="4" t="s">
        <v>6071</v>
      </c>
      <c r="D543" s="9"/>
      <c r="E543" s="17" t="s">
        <v>14</v>
      </c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4" t="s">
        <v>6072</v>
      </c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"/>
    </row>
    <row r="545">
      <c r="A545" s="1"/>
      <c r="B545" s="4" t="s">
        <v>6074</v>
      </c>
      <c r="D545" s="9"/>
      <c r="E545" s="17" t="s">
        <v>14</v>
      </c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4" t="s">
        <v>6075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"/>
    </row>
    <row r="547">
      <c r="A547" s="1"/>
      <c r="B547" s="4" t="s">
        <v>6077</v>
      </c>
      <c r="D547" s="9"/>
      <c r="E547" s="17" t="s">
        <v>14</v>
      </c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4" t="s">
        <v>6078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"/>
    </row>
    <row r="549">
      <c r="A549" s="1"/>
      <c r="B549" s="4" t="s">
        <v>6079</v>
      </c>
      <c r="D549" s="9"/>
      <c r="E549" s="17" t="s">
        <v>14</v>
      </c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4" t="s">
        <v>6080</v>
      </c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"/>
    </row>
    <row r="551">
      <c r="A551" s="1"/>
      <c r="B551" s="4" t="s">
        <v>6082</v>
      </c>
      <c r="D551" s="9"/>
      <c r="E551" s="17" t="s">
        <v>14</v>
      </c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4" t="s">
        <v>6083</v>
      </c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"/>
    </row>
    <row r="553">
      <c r="A553" s="1"/>
      <c r="B553" s="4" t="s">
        <v>6085</v>
      </c>
      <c r="D553" s="9"/>
      <c r="E553" s="17" t="s">
        <v>14</v>
      </c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4" t="s">
        <v>6086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"/>
    </row>
    <row r="555">
      <c r="A555" s="1"/>
      <c r="B555" s="4" t="s">
        <v>6087</v>
      </c>
      <c r="D555" s="9"/>
      <c r="E555" s="17" t="s">
        <v>14</v>
      </c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4" t="s">
        <v>6088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"/>
    </row>
    <row r="557">
      <c r="A557" s="1"/>
      <c r="B557" s="4" t="s">
        <v>6090</v>
      </c>
      <c r="D557" s="9"/>
      <c r="E557" s="17" t="s">
        <v>14</v>
      </c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4" t="s">
        <v>6092</v>
      </c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"/>
    </row>
    <row r="559">
      <c r="A559" s="1"/>
      <c r="B559" s="4" t="s">
        <v>6093</v>
      </c>
      <c r="D559" s="9"/>
      <c r="E559" s="17" t="s">
        <v>14</v>
      </c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4" t="s">
        <v>6094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"/>
    </row>
    <row r="561">
      <c r="A561" s="1"/>
      <c r="B561" s="4" t="s">
        <v>6096</v>
      </c>
      <c r="D561" s="9"/>
      <c r="E561" s="17" t="s">
        <v>14</v>
      </c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4" t="s">
        <v>6098</v>
      </c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"/>
    </row>
    <row r="563">
      <c r="A563" s="1"/>
      <c r="B563" s="4" t="s">
        <v>6099</v>
      </c>
      <c r="D563" s="9"/>
      <c r="E563" s="17" t="s">
        <v>14</v>
      </c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4" t="s">
        <v>6100</v>
      </c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"/>
    </row>
    <row r="565">
      <c r="A565" s="1"/>
      <c r="B565" s="4" t="s">
        <v>6102</v>
      </c>
      <c r="D565" s="9"/>
      <c r="E565" s="17" t="s">
        <v>14</v>
      </c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4" t="s">
        <v>6104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"/>
    </row>
    <row r="567">
      <c r="A567" s="1"/>
      <c r="B567" s="4" t="s">
        <v>6105</v>
      </c>
      <c r="D567" s="9"/>
      <c r="E567" s="17" t="s">
        <v>14</v>
      </c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4" t="s">
        <v>6107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"/>
    </row>
    <row r="569">
      <c r="A569" s="1"/>
      <c r="B569" s="4" t="s">
        <v>6109</v>
      </c>
      <c r="D569" s="9"/>
      <c r="E569" s="17" t="s">
        <v>14</v>
      </c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4" t="s">
        <v>6110</v>
      </c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"/>
    </row>
    <row r="571">
      <c r="A571" s="1"/>
      <c r="B571" s="4" t="s">
        <v>6112</v>
      </c>
      <c r="D571" s="9"/>
      <c r="E571" s="17" t="s">
        <v>14</v>
      </c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4" t="s">
        <v>6114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"/>
    </row>
    <row r="573">
      <c r="A573" s="1"/>
      <c r="B573" s="4" t="s">
        <v>6115</v>
      </c>
      <c r="D573" s="9"/>
      <c r="E573" s="17" t="s">
        <v>14</v>
      </c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4" t="s">
        <v>6116</v>
      </c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"/>
    </row>
    <row r="575">
      <c r="A575" s="1"/>
      <c r="B575" s="4" t="s">
        <v>6118</v>
      </c>
      <c r="D575" s="9"/>
      <c r="E575" s="17" t="s">
        <v>14</v>
      </c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4" t="s">
        <v>6120</v>
      </c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"/>
    </row>
    <row r="577">
      <c r="A577" s="1"/>
      <c r="B577" s="4" t="s">
        <v>6121</v>
      </c>
      <c r="D577" s="9"/>
      <c r="E577" s="17" t="s">
        <v>14</v>
      </c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4" t="s">
        <v>6122</v>
      </c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"/>
    </row>
    <row r="579">
      <c r="A579" s="1"/>
      <c r="B579" s="4" t="s">
        <v>6124</v>
      </c>
      <c r="D579" s="9"/>
      <c r="E579" s="17" t="s">
        <v>14</v>
      </c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4" t="s">
        <v>6126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"/>
    </row>
    <row r="581">
      <c r="A581" s="1"/>
      <c r="B581" s="4" t="s">
        <v>6127</v>
      </c>
      <c r="D581" s="9"/>
      <c r="E581" s="17" t="s">
        <v>14</v>
      </c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4" t="s">
        <v>6128</v>
      </c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"/>
    </row>
    <row r="583">
      <c r="A583" s="1"/>
      <c r="B583" s="4" t="s">
        <v>6130</v>
      </c>
      <c r="D583" s="9"/>
      <c r="E583" s="17" t="s">
        <v>14</v>
      </c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4" t="s">
        <v>6132</v>
      </c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"/>
    </row>
    <row r="585">
      <c r="A585" s="1"/>
      <c r="B585" s="4" t="s">
        <v>6133</v>
      </c>
      <c r="D585" s="9"/>
      <c r="E585" s="17" t="s">
        <v>14</v>
      </c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4" t="s">
        <v>6134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"/>
    </row>
    <row r="587">
      <c r="A587" s="1"/>
      <c r="B587" s="4" t="s">
        <v>6136</v>
      </c>
      <c r="D587" s="9"/>
      <c r="E587" s="17" t="s">
        <v>14</v>
      </c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4" t="s">
        <v>6138</v>
      </c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"/>
    </row>
    <row r="589">
      <c r="A589" s="1"/>
      <c r="B589" s="4" t="s">
        <v>6139</v>
      </c>
      <c r="D589" s="9"/>
      <c r="E589" s="17" t="s">
        <v>14</v>
      </c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4" t="s">
        <v>6140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"/>
    </row>
    <row r="591">
      <c r="A591" s="1"/>
      <c r="B591" s="4" t="s">
        <v>6142</v>
      </c>
      <c r="D591" s="9"/>
      <c r="E591" s="17" t="s">
        <v>14</v>
      </c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4" t="s">
        <v>6144</v>
      </c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"/>
    </row>
    <row r="593">
      <c r="A593" s="1"/>
      <c r="B593" s="4" t="s">
        <v>6145</v>
      </c>
      <c r="D593" s="9"/>
      <c r="E593" s="17" t="s">
        <v>14</v>
      </c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4" t="s">
        <v>6146</v>
      </c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"/>
    </row>
    <row r="595">
      <c r="A595" s="1"/>
      <c r="B595" s="4" t="s">
        <v>6148</v>
      </c>
      <c r="D595" s="9"/>
      <c r="E595" s="17" t="s">
        <v>14</v>
      </c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4" t="s">
        <v>6149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"/>
    </row>
    <row r="597">
      <c r="A597" s="1"/>
      <c r="B597" s="4" t="s">
        <v>6151</v>
      </c>
      <c r="D597" s="9"/>
      <c r="E597" s="17" t="s">
        <v>14</v>
      </c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4" t="s">
        <v>6152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"/>
    </row>
    <row r="599">
      <c r="A599" s="1"/>
      <c r="B599" s="4" t="s">
        <v>6153</v>
      </c>
      <c r="D599" s="9"/>
      <c r="E599" s="17" t="s">
        <v>14</v>
      </c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4" t="s">
        <v>6154</v>
      </c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"/>
    </row>
    <row r="601">
      <c r="A601" s="1"/>
      <c r="B601" s="4" t="s">
        <v>6156</v>
      </c>
      <c r="D601" s="9"/>
      <c r="E601" s="17" t="s">
        <v>14</v>
      </c>
      <c r="F601" s="18" t="str">
        <f>HYPERLINK("https://www.youtube.com/watch?v=lY-4E9ptnpE&amp;list=PLbU6uWaIKemqNvTeRxK-Ay6PRg9iwCKVi&amp;index=172&amp;t=0s",'Players&gt;List'!$B20 &amp; "++" &amp; 'Players&gt;List'!$B19)</f>
        <v>[KOS]++[HIT]</v>
      </c>
      <c r="H601" s="1"/>
      <c r="I601" s="1"/>
      <c r="J601" s="1"/>
      <c r="K601" s="1"/>
      <c r="L601" s="1"/>
      <c r="M601" s="1"/>
      <c r="N601" s="1"/>
    </row>
    <row r="602">
      <c r="A602" s="1"/>
      <c r="B602" s="14" t="s">
        <v>6159</v>
      </c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"/>
    </row>
    <row r="603">
      <c r="A603" s="1"/>
      <c r="B603" s="4" t="s">
        <v>6161</v>
      </c>
      <c r="D603" s="9"/>
      <c r="E603" s="17" t="s">
        <v>14</v>
      </c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4" t="s">
        <v>6162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"/>
    </row>
    <row r="605">
      <c r="A605" s="1"/>
      <c r="B605" s="4" t="s">
        <v>6163</v>
      </c>
      <c r="D605" s="9"/>
      <c r="E605" s="17" t="s">
        <v>14</v>
      </c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4" t="s">
        <v>6164</v>
      </c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"/>
    </row>
    <row r="607">
      <c r="A607" s="1"/>
      <c r="B607" s="4" t="s">
        <v>6166</v>
      </c>
      <c r="D607" s="9"/>
      <c r="E607" s="17" t="s">
        <v>14</v>
      </c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4" t="s">
        <v>6167</v>
      </c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"/>
    </row>
    <row r="609">
      <c r="A609" s="1"/>
      <c r="B609" s="4" t="s">
        <v>6169</v>
      </c>
      <c r="D609" s="9"/>
      <c r="E609" s="17" t="s">
        <v>14</v>
      </c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4" t="s">
        <v>6170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"/>
    </row>
    <row r="611">
      <c r="A611" s="1"/>
      <c r="B611" s="4" t="s">
        <v>6172</v>
      </c>
      <c r="D611" s="9"/>
      <c r="E611" s="17" t="s">
        <v>14</v>
      </c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4" t="s">
        <v>6174</v>
      </c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"/>
    </row>
    <row r="613">
      <c r="A613" s="1"/>
      <c r="B613" s="4" t="s">
        <v>6175</v>
      </c>
      <c r="D613" s="9"/>
      <c r="E613" s="17" t="s">
        <v>14</v>
      </c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4" t="s">
        <v>6176</v>
      </c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"/>
    </row>
    <row r="615">
      <c r="A615" s="1"/>
      <c r="B615" s="4" t="s">
        <v>6178</v>
      </c>
      <c r="D615" s="9"/>
      <c r="E615" s="17" t="s">
        <v>14</v>
      </c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4" t="s">
        <v>6180</v>
      </c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"/>
    </row>
    <row r="617">
      <c r="A617" s="1"/>
      <c r="B617" s="4" t="s">
        <v>6181</v>
      </c>
      <c r="D617" s="9"/>
      <c r="E617" s="17" t="s">
        <v>14</v>
      </c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4" t="s">
        <v>6182</v>
      </c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"/>
    </row>
    <row r="619">
      <c r="A619" s="1"/>
      <c r="B619" s="4" t="s">
        <v>6184</v>
      </c>
      <c r="D619" s="9"/>
      <c r="E619" s="17" t="s">
        <v>14</v>
      </c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4" t="s">
        <v>6186</v>
      </c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"/>
    </row>
    <row r="621">
      <c r="A621" s="1"/>
      <c r="B621" s="4" t="s">
        <v>6187</v>
      </c>
      <c r="D621" s="9"/>
      <c r="E621" s="17" t="s">
        <v>14</v>
      </c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4" t="s">
        <v>6188</v>
      </c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"/>
    </row>
    <row r="623">
      <c r="A623" s="1"/>
      <c r="B623" s="4" t="s">
        <v>6190</v>
      </c>
      <c r="D623" s="9"/>
      <c r="E623" s="17" t="s">
        <v>14</v>
      </c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4" t="s">
        <v>6192</v>
      </c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"/>
    </row>
    <row r="625">
      <c r="A625" s="1"/>
      <c r="B625" s="4" t="s">
        <v>6193</v>
      </c>
      <c r="D625" s="9"/>
      <c r="E625" s="17" t="s">
        <v>14</v>
      </c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4" t="s">
        <v>6194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"/>
    </row>
    <row r="627">
      <c r="A627" s="1"/>
      <c r="B627" s="4" t="s">
        <v>6195</v>
      </c>
      <c r="D627" s="9"/>
      <c r="E627" s="17" t="s">
        <v>14</v>
      </c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4" t="s">
        <v>6196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"/>
    </row>
    <row r="629">
      <c r="A629" s="1"/>
      <c r="B629" s="4" t="s">
        <v>6198</v>
      </c>
      <c r="D629" s="9"/>
      <c r="E629" s="17" t="s">
        <v>14</v>
      </c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4" t="s">
        <v>6200</v>
      </c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"/>
    </row>
    <row r="631">
      <c r="A631" s="1"/>
      <c r="B631" s="4" t="s">
        <v>6201</v>
      </c>
      <c r="D631" s="9"/>
      <c r="E631" s="17" t="s">
        <v>14</v>
      </c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4" t="s">
        <v>6202</v>
      </c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"/>
    </row>
    <row r="633">
      <c r="A633" s="1"/>
      <c r="B633" s="4" t="s">
        <v>6204</v>
      </c>
      <c r="D633" s="9"/>
      <c r="E633" s="17" t="s">
        <v>14</v>
      </c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4" t="s">
        <v>6205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"/>
    </row>
    <row r="635">
      <c r="A635" s="1"/>
      <c r="B635" s="4" t="s">
        <v>6207</v>
      </c>
      <c r="D635" s="9"/>
      <c r="E635" s="17" t="s">
        <v>14</v>
      </c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4" t="s">
        <v>6208</v>
      </c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"/>
    </row>
    <row r="637">
      <c r="A637" s="1"/>
      <c r="B637" s="4" t="s">
        <v>6210</v>
      </c>
      <c r="D637" s="9"/>
      <c r="E637" s="17" t="s">
        <v>14</v>
      </c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4" t="s">
        <v>6212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"/>
    </row>
    <row r="639">
      <c r="A639" s="1"/>
      <c r="B639" s="4" t="s">
        <v>6213</v>
      </c>
      <c r="D639" s="9"/>
      <c r="E639" s="17" t="s">
        <v>14</v>
      </c>
      <c r="F639" s="18" t="str">
        <f>HYPERLINK("https://www.youtube.com/watch?v=MjDtJ787MNo&amp;list=PLbU6uWaIKemqNvTeRxK-Ay6PRg9iwCKVi&amp;index=173&amp;t=0s",'Players&gt;List'!$B20 &amp; "++" &amp; 'Players&gt;List'!$B19)</f>
        <v>[KOS]++[HIT]</v>
      </c>
      <c r="H639" s="1"/>
      <c r="I639" s="1"/>
      <c r="J639" s="1"/>
      <c r="K639" s="1"/>
      <c r="L639" s="1"/>
      <c r="M639" s="1"/>
      <c r="N639" s="1"/>
    </row>
    <row r="640">
      <c r="A640" s="1"/>
      <c r="B640" s="14" t="s">
        <v>6216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"/>
    </row>
    <row r="641">
      <c r="A641" s="1"/>
      <c r="B641" s="4" t="s">
        <v>6217</v>
      </c>
      <c r="D641" s="9"/>
      <c r="E641" s="17" t="s">
        <v>14</v>
      </c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4" t="s">
        <v>6218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"/>
    </row>
    <row r="643">
      <c r="A643" s="1"/>
      <c r="B643" s="4" t="s">
        <v>6220</v>
      </c>
      <c r="D643" s="9"/>
      <c r="E643" s="17" t="s">
        <v>14</v>
      </c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4" t="s">
        <v>6222</v>
      </c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"/>
    </row>
    <row r="645">
      <c r="A645" s="1"/>
      <c r="B645" s="4" t="s">
        <v>6223</v>
      </c>
      <c r="D645" s="9"/>
      <c r="E645" s="17" t="s">
        <v>14</v>
      </c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4" t="s">
        <v>6224</v>
      </c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"/>
    </row>
    <row r="647">
      <c r="A647" s="1"/>
      <c r="B647" s="4" t="s">
        <v>6226</v>
      </c>
      <c r="D647" s="9"/>
      <c r="E647" s="17" t="s">
        <v>14</v>
      </c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4" t="s">
        <v>6228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"/>
    </row>
    <row r="649">
      <c r="A649" s="1"/>
      <c r="B649" s="4" t="s">
        <v>6229</v>
      </c>
      <c r="D649" s="9"/>
      <c r="E649" s="17" t="s">
        <v>14</v>
      </c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4" t="s">
        <v>6230</v>
      </c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"/>
    </row>
    <row r="651">
      <c r="A651" s="1"/>
      <c r="B651" s="4" t="s">
        <v>6232</v>
      </c>
      <c r="D651" s="9"/>
      <c r="E651" s="17" t="s">
        <v>14</v>
      </c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4" t="s">
        <v>6234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"/>
    </row>
    <row r="653">
      <c r="A653" s="1"/>
      <c r="B653" s="4" t="s">
        <v>6235</v>
      </c>
      <c r="D653" s="9"/>
      <c r="E653" s="17" t="s">
        <v>14</v>
      </c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4" t="s">
        <v>6236</v>
      </c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"/>
    </row>
    <row r="655">
      <c r="A655" s="1"/>
      <c r="B655" s="4" t="s">
        <v>6238</v>
      </c>
      <c r="D655" s="9"/>
      <c r="E655" s="17" t="s">
        <v>14</v>
      </c>
      <c r="F655" s="18" t="str">
        <f>HYPERLINK("https://www.youtube.com/watch?v=O_GOKgrk8ZU&amp;list=PLbU6uWaIKemqNvTeRxK-Ay6PRg9iwCKVi&amp;index=174&amp;t=0s",'Players&gt;List'!$B20 &amp; "++" &amp; 'Players&gt;List'!$B19)</f>
        <v>[KOS]++[HIT]</v>
      </c>
      <c r="H655" s="1"/>
      <c r="I655" s="1"/>
      <c r="J655" s="1"/>
      <c r="K655" s="1"/>
      <c r="L655" s="1"/>
      <c r="M655" s="1"/>
      <c r="N655" s="1"/>
    </row>
    <row r="656">
      <c r="A656" s="1"/>
      <c r="B656" s="14" t="s">
        <v>6240</v>
      </c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"/>
    </row>
    <row r="657">
      <c r="A657" s="1"/>
      <c r="B657" s="4" t="s">
        <v>6242</v>
      </c>
      <c r="D657" s="9"/>
      <c r="E657" s="17" t="s">
        <v>14</v>
      </c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4" t="s">
        <v>6243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"/>
    </row>
    <row r="659">
      <c r="A659" s="1"/>
      <c r="B659" s="4" t="s">
        <v>6245</v>
      </c>
      <c r="D659" s="9"/>
      <c r="E659" s="17" t="s">
        <v>14</v>
      </c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4" t="s">
        <v>6246</v>
      </c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"/>
    </row>
    <row r="661">
      <c r="A661" s="1"/>
      <c r="B661" s="4" t="s">
        <v>6249</v>
      </c>
      <c r="D661" s="9"/>
      <c r="E661" s="17" t="s">
        <v>14</v>
      </c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4" t="s">
        <v>6250</v>
      </c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"/>
    </row>
    <row r="663">
      <c r="A663" s="1"/>
      <c r="B663" s="4" t="s">
        <v>6251</v>
      </c>
      <c r="D663" s="9"/>
      <c r="E663" s="17" t="s">
        <v>14</v>
      </c>
      <c r="F663" s="18" t="str">
        <f>HYPERLINK("https://www.youtube.com/watch?v=VoREhghrm1A&amp;list=PLbU6uWaIKemqNvTeRxK-Ay6PRg9iwCKVi&amp;index=175&amp;t=0s",'Players&gt;List'!$B20 &amp; "++" &amp; 'Players&gt;List'!$B19)</f>
        <v>[KOS]++[HIT]</v>
      </c>
      <c r="H663" s="1"/>
      <c r="I663" s="1"/>
      <c r="J663" s="1"/>
      <c r="K663" s="1"/>
      <c r="L663" s="1"/>
      <c r="M663" s="1"/>
      <c r="N663" s="1"/>
    </row>
    <row r="664">
      <c r="A664" s="1"/>
      <c r="B664" s="14" t="s">
        <v>6254</v>
      </c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"/>
    </row>
    <row r="665">
      <c r="A665" s="1"/>
      <c r="B665" s="4" t="s">
        <v>6255</v>
      </c>
      <c r="D665" s="9"/>
      <c r="E665" s="17" t="s">
        <v>14</v>
      </c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</sheetData>
  <mergeCells count="675">
    <mergeCell ref="B507:C507"/>
    <mergeCell ref="B493:C493"/>
    <mergeCell ref="B495:C495"/>
    <mergeCell ref="B505:C505"/>
    <mergeCell ref="B501:C501"/>
    <mergeCell ref="B497:C497"/>
    <mergeCell ref="B499:C499"/>
    <mergeCell ref="B503:C503"/>
    <mergeCell ref="B459:C459"/>
    <mergeCell ref="B473:C473"/>
    <mergeCell ref="B465:C465"/>
    <mergeCell ref="B469:C469"/>
    <mergeCell ref="B519:C519"/>
    <mergeCell ref="B517:C517"/>
    <mergeCell ref="B483:C483"/>
    <mergeCell ref="B479:C479"/>
    <mergeCell ref="B481:C481"/>
    <mergeCell ref="B475:C475"/>
    <mergeCell ref="B477:C477"/>
    <mergeCell ref="B511:C511"/>
    <mergeCell ref="B513:C513"/>
    <mergeCell ref="B489:C489"/>
    <mergeCell ref="B487:C487"/>
    <mergeCell ref="B521:C521"/>
    <mergeCell ref="B457:C457"/>
    <mergeCell ref="B445:C445"/>
    <mergeCell ref="B447:C447"/>
    <mergeCell ref="B443:C443"/>
    <mergeCell ref="B509:C509"/>
    <mergeCell ref="B515:C515"/>
    <mergeCell ref="B455:C455"/>
    <mergeCell ref="B453:C453"/>
    <mergeCell ref="B431:C431"/>
    <mergeCell ref="B423:C423"/>
    <mergeCell ref="B429:C429"/>
    <mergeCell ref="B427:C427"/>
    <mergeCell ref="B425:C425"/>
    <mergeCell ref="B439:C439"/>
    <mergeCell ref="B441:C441"/>
    <mergeCell ref="B461:C461"/>
    <mergeCell ref="B463:C463"/>
    <mergeCell ref="B491:C491"/>
    <mergeCell ref="B485:C485"/>
    <mergeCell ref="B471:C471"/>
    <mergeCell ref="B467:C467"/>
    <mergeCell ref="B401:C401"/>
    <mergeCell ref="B399:C399"/>
    <mergeCell ref="B367:C367"/>
    <mergeCell ref="B375:C375"/>
    <mergeCell ref="B371:C371"/>
    <mergeCell ref="B369:C369"/>
    <mergeCell ref="B373:C373"/>
    <mergeCell ref="B395:C395"/>
    <mergeCell ref="B387:C387"/>
    <mergeCell ref="B391:C391"/>
    <mergeCell ref="B389:C389"/>
    <mergeCell ref="B365:C365"/>
    <mergeCell ref="B393:C393"/>
    <mergeCell ref="B363:C363"/>
    <mergeCell ref="B381:C381"/>
    <mergeCell ref="B433:C433"/>
    <mergeCell ref="B421:C421"/>
    <mergeCell ref="B415:C415"/>
    <mergeCell ref="B419:C419"/>
    <mergeCell ref="B417:C417"/>
    <mergeCell ref="B409:C409"/>
    <mergeCell ref="B411:C411"/>
    <mergeCell ref="B437:C437"/>
    <mergeCell ref="B403:C403"/>
    <mergeCell ref="B407:C407"/>
    <mergeCell ref="B435:C435"/>
    <mergeCell ref="B397:C397"/>
    <mergeCell ref="B405:C405"/>
    <mergeCell ref="B413:C413"/>
    <mergeCell ref="B361:C361"/>
    <mergeCell ref="B359:C359"/>
    <mergeCell ref="B377:C377"/>
    <mergeCell ref="B379:C379"/>
    <mergeCell ref="B385:C385"/>
    <mergeCell ref="B383:C383"/>
    <mergeCell ref="B527:C527"/>
    <mergeCell ref="B528:M528"/>
    <mergeCell ref="B538:M538"/>
    <mergeCell ref="B534:M534"/>
    <mergeCell ref="B536:M536"/>
    <mergeCell ref="B532:M532"/>
    <mergeCell ref="B530:M530"/>
    <mergeCell ref="B500:M500"/>
    <mergeCell ref="B502:M502"/>
    <mergeCell ref="B506:M506"/>
    <mergeCell ref="B504:M504"/>
    <mergeCell ref="B514:M514"/>
    <mergeCell ref="B512:M512"/>
    <mergeCell ref="B498:M498"/>
    <mergeCell ref="B508:M508"/>
    <mergeCell ref="B525:C525"/>
    <mergeCell ref="B524:M524"/>
    <mergeCell ref="B526:M526"/>
    <mergeCell ref="B516:M516"/>
    <mergeCell ref="B518:M518"/>
    <mergeCell ref="B510:M510"/>
    <mergeCell ref="B600:M600"/>
    <mergeCell ref="B598:M598"/>
    <mergeCell ref="B584:M584"/>
    <mergeCell ref="B582:M582"/>
    <mergeCell ref="B602:M602"/>
    <mergeCell ref="F601:G601"/>
    <mergeCell ref="B576:M576"/>
    <mergeCell ref="B574:M574"/>
    <mergeCell ref="B592:M592"/>
    <mergeCell ref="B572:M572"/>
    <mergeCell ref="B586:M586"/>
    <mergeCell ref="B480:M480"/>
    <mergeCell ref="B482:M482"/>
    <mergeCell ref="B490:M490"/>
    <mergeCell ref="B494:M494"/>
    <mergeCell ref="B492:M492"/>
    <mergeCell ref="F493:G493"/>
    <mergeCell ref="B484:M484"/>
    <mergeCell ref="B496:M496"/>
    <mergeCell ref="B478:M478"/>
    <mergeCell ref="B580:M580"/>
    <mergeCell ref="B578:M578"/>
    <mergeCell ref="B590:M590"/>
    <mergeCell ref="B588:M588"/>
    <mergeCell ref="B589:C589"/>
    <mergeCell ref="B522:M522"/>
    <mergeCell ref="B520:M520"/>
    <mergeCell ref="B472:M472"/>
    <mergeCell ref="B466:M466"/>
    <mergeCell ref="B464:M464"/>
    <mergeCell ref="B474:M474"/>
    <mergeCell ref="B470:M470"/>
    <mergeCell ref="B468:M468"/>
    <mergeCell ref="B476:M476"/>
    <mergeCell ref="B570:M570"/>
    <mergeCell ref="B568:M568"/>
    <mergeCell ref="B567:C567"/>
    <mergeCell ref="B486:M486"/>
    <mergeCell ref="B488:M488"/>
    <mergeCell ref="B545:C545"/>
    <mergeCell ref="B547:C547"/>
    <mergeCell ref="B558:M558"/>
    <mergeCell ref="B560:M560"/>
    <mergeCell ref="B555:C555"/>
    <mergeCell ref="B556:M556"/>
    <mergeCell ref="B563:C563"/>
    <mergeCell ref="B565:C565"/>
    <mergeCell ref="B564:M564"/>
    <mergeCell ref="B566:M566"/>
    <mergeCell ref="B651:C651"/>
    <mergeCell ref="B653:C653"/>
    <mergeCell ref="B665:C665"/>
    <mergeCell ref="B663:C663"/>
    <mergeCell ref="B655:C655"/>
    <mergeCell ref="B657:C657"/>
    <mergeCell ref="B661:C661"/>
    <mergeCell ref="B659:C659"/>
    <mergeCell ref="B645:C645"/>
    <mergeCell ref="B643:C643"/>
    <mergeCell ref="B649:C649"/>
    <mergeCell ref="B641:C641"/>
    <mergeCell ref="B639:C639"/>
    <mergeCell ref="B647:C647"/>
    <mergeCell ref="B614:M614"/>
    <mergeCell ref="B616:M616"/>
    <mergeCell ref="B604:M604"/>
    <mergeCell ref="B608:M608"/>
    <mergeCell ref="B606:M606"/>
    <mergeCell ref="B610:M610"/>
    <mergeCell ref="B612:M612"/>
    <mergeCell ref="B620:M620"/>
    <mergeCell ref="B624:M624"/>
    <mergeCell ref="B646:M646"/>
    <mergeCell ref="B648:M648"/>
    <mergeCell ref="B658:M658"/>
    <mergeCell ref="B656:M656"/>
    <mergeCell ref="B642:M642"/>
    <mergeCell ref="B640:M640"/>
    <mergeCell ref="B644:M644"/>
    <mergeCell ref="B650:M650"/>
    <mergeCell ref="B652:M652"/>
    <mergeCell ref="B654:M654"/>
    <mergeCell ref="B660:M660"/>
    <mergeCell ref="B619:C619"/>
    <mergeCell ref="B618:M618"/>
    <mergeCell ref="B625:C625"/>
    <mergeCell ref="B623:C623"/>
    <mergeCell ref="B613:C613"/>
    <mergeCell ref="B617:C617"/>
    <mergeCell ref="B615:C615"/>
    <mergeCell ref="B631:C631"/>
    <mergeCell ref="B629:C629"/>
    <mergeCell ref="B627:C627"/>
    <mergeCell ref="B633:C633"/>
    <mergeCell ref="B621:C621"/>
    <mergeCell ref="B622:M622"/>
    <mergeCell ref="B626:M626"/>
    <mergeCell ref="B630:M630"/>
    <mergeCell ref="B628:M628"/>
    <mergeCell ref="B632:M632"/>
    <mergeCell ref="B634:M634"/>
    <mergeCell ref="B636:M636"/>
    <mergeCell ref="B638:M638"/>
    <mergeCell ref="F639:G639"/>
    <mergeCell ref="F655:G655"/>
    <mergeCell ref="F663:G663"/>
    <mergeCell ref="B664:M664"/>
    <mergeCell ref="B662:M662"/>
    <mergeCell ref="B594:M594"/>
    <mergeCell ref="B596:M596"/>
    <mergeCell ref="B569:C569"/>
    <mergeCell ref="B573:C573"/>
    <mergeCell ref="B571:C571"/>
    <mergeCell ref="B559:C559"/>
    <mergeCell ref="B591:C591"/>
    <mergeCell ref="B583:C583"/>
    <mergeCell ref="B581:C581"/>
    <mergeCell ref="B579:C579"/>
    <mergeCell ref="B577:C577"/>
    <mergeCell ref="B575:C575"/>
    <mergeCell ref="B561:C561"/>
    <mergeCell ref="B543:C543"/>
    <mergeCell ref="B539:C539"/>
    <mergeCell ref="B541:C541"/>
    <mergeCell ref="B603:C603"/>
    <mergeCell ref="B601:C601"/>
    <mergeCell ref="B593:C593"/>
    <mergeCell ref="B595:C595"/>
    <mergeCell ref="B597:C597"/>
    <mergeCell ref="B611:C611"/>
    <mergeCell ref="B607:C607"/>
    <mergeCell ref="B605:C605"/>
    <mergeCell ref="B609:C609"/>
    <mergeCell ref="B599:C599"/>
    <mergeCell ref="B635:C635"/>
    <mergeCell ref="B637:C637"/>
    <mergeCell ref="B451:C451"/>
    <mergeCell ref="B449:C449"/>
    <mergeCell ref="B585:C585"/>
    <mergeCell ref="B587:C587"/>
    <mergeCell ref="B553:C553"/>
    <mergeCell ref="B551:C551"/>
    <mergeCell ref="B535:C535"/>
    <mergeCell ref="B529:C529"/>
    <mergeCell ref="B531:C531"/>
    <mergeCell ref="B533:C533"/>
    <mergeCell ref="B523:C523"/>
    <mergeCell ref="B557:C557"/>
    <mergeCell ref="B537:C537"/>
    <mergeCell ref="B549:C549"/>
    <mergeCell ref="B554:M554"/>
    <mergeCell ref="B562:M562"/>
    <mergeCell ref="B552:M552"/>
    <mergeCell ref="B550:M550"/>
    <mergeCell ref="B540:M540"/>
    <mergeCell ref="B542:M542"/>
    <mergeCell ref="B548:M548"/>
    <mergeCell ref="B546:M546"/>
    <mergeCell ref="B544:M544"/>
    <mergeCell ref="B460:M460"/>
    <mergeCell ref="B462:M462"/>
    <mergeCell ref="B458:M458"/>
    <mergeCell ref="B444:M444"/>
    <mergeCell ref="B454:M454"/>
    <mergeCell ref="B446:M446"/>
    <mergeCell ref="B452:M452"/>
    <mergeCell ref="B448:M448"/>
    <mergeCell ref="B450:M450"/>
    <mergeCell ref="B456:M456"/>
    <mergeCell ref="B422:M422"/>
    <mergeCell ref="B424:M424"/>
    <mergeCell ref="B438:M438"/>
    <mergeCell ref="B440:M440"/>
    <mergeCell ref="B436:M436"/>
    <mergeCell ref="B434:M434"/>
    <mergeCell ref="B62:M62"/>
    <mergeCell ref="B64:M64"/>
    <mergeCell ref="B63:C63"/>
    <mergeCell ref="B79:C79"/>
    <mergeCell ref="B73:C73"/>
    <mergeCell ref="B75:C75"/>
    <mergeCell ref="B77:C77"/>
    <mergeCell ref="B68:M68"/>
    <mergeCell ref="B70:M70"/>
    <mergeCell ref="B69:C69"/>
    <mergeCell ref="B72:M72"/>
    <mergeCell ref="B74:M74"/>
    <mergeCell ref="B78:M78"/>
    <mergeCell ref="B76:M76"/>
    <mergeCell ref="B80:M80"/>
    <mergeCell ref="B82:M82"/>
    <mergeCell ref="B56:M56"/>
    <mergeCell ref="B58:M58"/>
    <mergeCell ref="B60:M60"/>
    <mergeCell ref="B65:C65"/>
    <mergeCell ref="B71:C71"/>
    <mergeCell ref="B97:C97"/>
    <mergeCell ref="B95:C95"/>
    <mergeCell ref="B99:C99"/>
    <mergeCell ref="B101:C101"/>
    <mergeCell ref="B102:M102"/>
    <mergeCell ref="B100:M100"/>
    <mergeCell ref="B96:M96"/>
    <mergeCell ref="B98:M98"/>
    <mergeCell ref="B92:M92"/>
    <mergeCell ref="B90:M90"/>
    <mergeCell ref="B94:M94"/>
    <mergeCell ref="B86:M86"/>
    <mergeCell ref="B88:M88"/>
    <mergeCell ref="B84:M84"/>
    <mergeCell ref="B87:C87"/>
    <mergeCell ref="B55:C55"/>
    <mergeCell ref="B57:C57"/>
    <mergeCell ref="B49:C49"/>
    <mergeCell ref="B53:C53"/>
    <mergeCell ref="B51:C51"/>
    <mergeCell ref="B45:C45"/>
    <mergeCell ref="B47:C47"/>
    <mergeCell ref="B54:M54"/>
    <mergeCell ref="B52:M52"/>
    <mergeCell ref="B59:C59"/>
    <mergeCell ref="B61:C61"/>
    <mergeCell ref="B66:M66"/>
    <mergeCell ref="B67:C67"/>
    <mergeCell ref="B93:C93"/>
    <mergeCell ref="B89:C89"/>
    <mergeCell ref="B110:M110"/>
    <mergeCell ref="B112:M112"/>
    <mergeCell ref="B111:C111"/>
    <mergeCell ref="B113:C113"/>
    <mergeCell ref="B115:C115"/>
    <mergeCell ref="B109:C109"/>
    <mergeCell ref="B107:C107"/>
    <mergeCell ref="B117:C117"/>
    <mergeCell ref="B119:C119"/>
    <mergeCell ref="B108:M108"/>
    <mergeCell ref="B104:M104"/>
    <mergeCell ref="B118:M118"/>
    <mergeCell ref="B120:M120"/>
    <mergeCell ref="B116:M116"/>
    <mergeCell ref="B106:M106"/>
    <mergeCell ref="B105:C105"/>
    <mergeCell ref="B141:C141"/>
    <mergeCell ref="B140:M140"/>
    <mergeCell ref="B130:M130"/>
    <mergeCell ref="B142:M142"/>
    <mergeCell ref="B138:M138"/>
    <mergeCell ref="B136:M136"/>
    <mergeCell ref="B137:C137"/>
    <mergeCell ref="B139:C139"/>
    <mergeCell ref="B134:M134"/>
    <mergeCell ref="B133:C133"/>
    <mergeCell ref="B146:M146"/>
    <mergeCell ref="B152:M152"/>
    <mergeCell ref="B148:M148"/>
    <mergeCell ref="B150:M150"/>
    <mergeCell ref="F153:G153"/>
    <mergeCell ref="B154:M154"/>
    <mergeCell ref="B122:M122"/>
    <mergeCell ref="B124:M124"/>
    <mergeCell ref="B126:M126"/>
    <mergeCell ref="B144:M144"/>
    <mergeCell ref="B164:M164"/>
    <mergeCell ref="B166:M166"/>
    <mergeCell ref="B132:M132"/>
    <mergeCell ref="B125:C125"/>
    <mergeCell ref="B123:C123"/>
    <mergeCell ref="B129:C129"/>
    <mergeCell ref="B135:C135"/>
    <mergeCell ref="B131:C131"/>
    <mergeCell ref="B155:C155"/>
    <mergeCell ref="B156:M156"/>
    <mergeCell ref="B167:C167"/>
    <mergeCell ref="B153:C153"/>
    <mergeCell ref="B157:C157"/>
    <mergeCell ref="B159:C159"/>
    <mergeCell ref="B161:C161"/>
    <mergeCell ref="B158:M158"/>
    <mergeCell ref="B162:M162"/>
    <mergeCell ref="B160:M160"/>
    <mergeCell ref="B169:C169"/>
    <mergeCell ref="B168:M168"/>
    <mergeCell ref="B128:M128"/>
    <mergeCell ref="B127:C127"/>
    <mergeCell ref="B180:M180"/>
    <mergeCell ref="B179:C179"/>
    <mergeCell ref="B172:M172"/>
    <mergeCell ref="B171:C171"/>
    <mergeCell ref="B163:C163"/>
    <mergeCell ref="B165:C165"/>
    <mergeCell ref="B182:M182"/>
    <mergeCell ref="B176:M176"/>
    <mergeCell ref="B170:M170"/>
    <mergeCell ref="B174:M174"/>
    <mergeCell ref="B178:M178"/>
    <mergeCell ref="B173:C173"/>
    <mergeCell ref="F4:G4"/>
    <mergeCell ref="B6:M6"/>
    <mergeCell ref="D4:E4"/>
    <mergeCell ref="B4:C4"/>
    <mergeCell ref="B15:C15"/>
    <mergeCell ref="B14:M14"/>
    <mergeCell ref="B10:M10"/>
    <mergeCell ref="B12:M12"/>
    <mergeCell ref="B11:C11"/>
    <mergeCell ref="B7:C7"/>
    <mergeCell ref="B9:C9"/>
    <mergeCell ref="B21:C21"/>
    <mergeCell ref="B19:C19"/>
    <mergeCell ref="B16:M16"/>
    <mergeCell ref="B18:M18"/>
    <mergeCell ref="B17:C17"/>
    <mergeCell ref="B1:M3"/>
    <mergeCell ref="B13:C13"/>
    <mergeCell ref="B8:M8"/>
    <mergeCell ref="B40:M40"/>
    <mergeCell ref="B32:M32"/>
    <mergeCell ref="B34:M34"/>
    <mergeCell ref="B30:M30"/>
    <mergeCell ref="B31:C31"/>
    <mergeCell ref="B48:M48"/>
    <mergeCell ref="B46:M46"/>
    <mergeCell ref="B50:M50"/>
    <mergeCell ref="B22:M22"/>
    <mergeCell ref="B20:M20"/>
    <mergeCell ref="B23:C23"/>
    <mergeCell ref="B24:M24"/>
    <mergeCell ref="B27:C27"/>
    <mergeCell ref="B29:C29"/>
    <mergeCell ref="B25:C25"/>
    <mergeCell ref="B35:C35"/>
    <mergeCell ref="B33:C33"/>
    <mergeCell ref="B26:M26"/>
    <mergeCell ref="B28:M28"/>
    <mergeCell ref="B37:C37"/>
    <mergeCell ref="B38:M38"/>
    <mergeCell ref="B39:C39"/>
    <mergeCell ref="B36:M36"/>
    <mergeCell ref="B44:M44"/>
    <mergeCell ref="B43:C43"/>
    <mergeCell ref="B42:M42"/>
    <mergeCell ref="B41:C41"/>
    <mergeCell ref="B218:M218"/>
    <mergeCell ref="F217:G217"/>
    <mergeCell ref="B216:M216"/>
    <mergeCell ref="B214:M214"/>
    <mergeCell ref="B215:C215"/>
    <mergeCell ref="B220:M220"/>
    <mergeCell ref="B212:M212"/>
    <mergeCell ref="B210:M210"/>
    <mergeCell ref="B222:M222"/>
    <mergeCell ref="B311:C311"/>
    <mergeCell ref="B299:C299"/>
    <mergeCell ref="B313:C313"/>
    <mergeCell ref="B319:C319"/>
    <mergeCell ref="B297:C297"/>
    <mergeCell ref="B269:C269"/>
    <mergeCell ref="B271:C271"/>
    <mergeCell ref="B273:C273"/>
    <mergeCell ref="B265:C265"/>
    <mergeCell ref="B267:C267"/>
    <mergeCell ref="B207:C207"/>
    <mergeCell ref="B205:C205"/>
    <mergeCell ref="B197:C197"/>
    <mergeCell ref="B199:C199"/>
    <mergeCell ref="B339:C339"/>
    <mergeCell ref="B331:C331"/>
    <mergeCell ref="B329:C329"/>
    <mergeCell ref="B263:C263"/>
    <mergeCell ref="B327:C327"/>
    <mergeCell ref="B325:C325"/>
    <mergeCell ref="B337:C337"/>
    <mergeCell ref="B335:C335"/>
    <mergeCell ref="B305:C305"/>
    <mergeCell ref="B301:C301"/>
    <mergeCell ref="B309:C309"/>
    <mergeCell ref="B307:C307"/>
    <mergeCell ref="B293:C293"/>
    <mergeCell ref="B295:C295"/>
    <mergeCell ref="B315:C315"/>
    <mergeCell ref="B317:C317"/>
    <mergeCell ref="B323:C323"/>
    <mergeCell ref="B321:C321"/>
    <mergeCell ref="B412:M412"/>
    <mergeCell ref="B410:M410"/>
    <mergeCell ref="B408:M408"/>
    <mergeCell ref="B404:M404"/>
    <mergeCell ref="B402:M402"/>
    <mergeCell ref="B400:M400"/>
    <mergeCell ref="B398:M398"/>
    <mergeCell ref="B396:M396"/>
    <mergeCell ref="B394:M394"/>
    <mergeCell ref="B406:M406"/>
    <mergeCell ref="B300:M300"/>
    <mergeCell ref="B298:M298"/>
    <mergeCell ref="B328:M328"/>
    <mergeCell ref="B336:M336"/>
    <mergeCell ref="B330:M330"/>
    <mergeCell ref="B349:C349"/>
    <mergeCell ref="B343:C343"/>
    <mergeCell ref="B347:C347"/>
    <mergeCell ref="B351:C351"/>
    <mergeCell ref="B341:C341"/>
    <mergeCell ref="B340:M340"/>
    <mergeCell ref="B342:M342"/>
    <mergeCell ref="B355:C355"/>
    <mergeCell ref="B356:M356"/>
    <mergeCell ref="B346:M346"/>
    <mergeCell ref="B348:M348"/>
    <mergeCell ref="B357:C357"/>
    <mergeCell ref="B353:C353"/>
    <mergeCell ref="B302:M302"/>
    <mergeCell ref="B352:M352"/>
    <mergeCell ref="B344:M344"/>
    <mergeCell ref="B338:M338"/>
    <mergeCell ref="B354:M354"/>
    <mergeCell ref="B432:M432"/>
    <mergeCell ref="B430:M430"/>
    <mergeCell ref="B442:M442"/>
    <mergeCell ref="B426:M426"/>
    <mergeCell ref="B428:M428"/>
    <mergeCell ref="B420:M420"/>
    <mergeCell ref="B414:M414"/>
    <mergeCell ref="B416:M416"/>
    <mergeCell ref="B418:M418"/>
    <mergeCell ref="F115:G115"/>
    <mergeCell ref="B114:M114"/>
    <mergeCell ref="H115:I115"/>
    <mergeCell ref="B121:C121"/>
    <mergeCell ref="B91:C91"/>
    <mergeCell ref="B85:C85"/>
    <mergeCell ref="B81:C81"/>
    <mergeCell ref="B83:C83"/>
    <mergeCell ref="B103:C103"/>
    <mergeCell ref="B177:C177"/>
    <mergeCell ref="B175:C175"/>
    <mergeCell ref="B143:C143"/>
    <mergeCell ref="B151:C151"/>
    <mergeCell ref="B149:C149"/>
    <mergeCell ref="B145:C145"/>
    <mergeCell ref="B147:C147"/>
    <mergeCell ref="B380:M380"/>
    <mergeCell ref="B370:M370"/>
    <mergeCell ref="B358:M358"/>
    <mergeCell ref="B360:M360"/>
    <mergeCell ref="B296:M296"/>
    <mergeCell ref="B294:M294"/>
    <mergeCell ref="B292:M292"/>
    <mergeCell ref="B274:M274"/>
    <mergeCell ref="B278:M278"/>
    <mergeCell ref="B276:M276"/>
    <mergeCell ref="B272:M272"/>
    <mergeCell ref="B244:M244"/>
    <mergeCell ref="B248:M248"/>
    <mergeCell ref="B275:C275"/>
    <mergeCell ref="B277:C277"/>
    <mergeCell ref="B261:C261"/>
    <mergeCell ref="F229:G229"/>
    <mergeCell ref="B240:M240"/>
    <mergeCell ref="B253:C253"/>
    <mergeCell ref="B270:M270"/>
    <mergeCell ref="B243:C243"/>
    <mergeCell ref="B251:C251"/>
    <mergeCell ref="B228:M228"/>
    <mergeCell ref="B226:M226"/>
    <mergeCell ref="B227:C227"/>
    <mergeCell ref="B224:M224"/>
    <mergeCell ref="B184:M184"/>
    <mergeCell ref="B186:M186"/>
    <mergeCell ref="B192:M192"/>
    <mergeCell ref="B223:C223"/>
    <mergeCell ref="B221:C221"/>
    <mergeCell ref="B181:C181"/>
    <mergeCell ref="B213:C213"/>
    <mergeCell ref="B219:C219"/>
    <mergeCell ref="B225:C225"/>
    <mergeCell ref="B211:C211"/>
    <mergeCell ref="B217:C217"/>
    <mergeCell ref="B195:C195"/>
    <mergeCell ref="B262:M262"/>
    <mergeCell ref="B264:M264"/>
    <mergeCell ref="B266:M266"/>
    <mergeCell ref="B268:M268"/>
    <mergeCell ref="B247:C247"/>
    <mergeCell ref="B245:C245"/>
    <mergeCell ref="B249:C249"/>
    <mergeCell ref="B246:D246"/>
    <mergeCell ref="B239:C239"/>
    <mergeCell ref="B241:C241"/>
    <mergeCell ref="B260:M260"/>
    <mergeCell ref="B256:M256"/>
    <mergeCell ref="B258:M258"/>
    <mergeCell ref="B257:C257"/>
    <mergeCell ref="B259:C259"/>
    <mergeCell ref="B237:C237"/>
    <mergeCell ref="B234:M234"/>
    <mergeCell ref="B236:M236"/>
    <mergeCell ref="B254:M254"/>
    <mergeCell ref="B255:C255"/>
    <mergeCell ref="B250:M250"/>
    <mergeCell ref="B252:M252"/>
    <mergeCell ref="B235:C235"/>
    <mergeCell ref="B238:M238"/>
    <mergeCell ref="B242:M242"/>
    <mergeCell ref="B233:C233"/>
    <mergeCell ref="B229:C229"/>
    <mergeCell ref="B232:M232"/>
    <mergeCell ref="H229:I229"/>
    <mergeCell ref="B230:M230"/>
    <mergeCell ref="B231:C231"/>
    <mergeCell ref="B376:M376"/>
    <mergeCell ref="B364:M364"/>
    <mergeCell ref="B368:M368"/>
    <mergeCell ref="B366:M366"/>
    <mergeCell ref="B372:M372"/>
    <mergeCell ref="B374:M374"/>
    <mergeCell ref="B392:M392"/>
    <mergeCell ref="B388:M388"/>
    <mergeCell ref="B390:M390"/>
    <mergeCell ref="B386:M386"/>
    <mergeCell ref="B378:M378"/>
    <mergeCell ref="B384:M384"/>
    <mergeCell ref="B382:M382"/>
    <mergeCell ref="B308:M308"/>
    <mergeCell ref="B310:M310"/>
    <mergeCell ref="B318:M318"/>
    <mergeCell ref="B332:M332"/>
    <mergeCell ref="B322:M322"/>
    <mergeCell ref="B320:M320"/>
    <mergeCell ref="B326:M326"/>
    <mergeCell ref="B324:M324"/>
    <mergeCell ref="B334:M334"/>
    <mergeCell ref="B333:C333"/>
    <mergeCell ref="B350:M350"/>
    <mergeCell ref="B345:C345"/>
    <mergeCell ref="B362:M362"/>
    <mergeCell ref="B306:M306"/>
    <mergeCell ref="B304:M304"/>
    <mergeCell ref="B303:C303"/>
    <mergeCell ref="B316:M316"/>
    <mergeCell ref="B314:M314"/>
    <mergeCell ref="B312:M312"/>
    <mergeCell ref="B289:C289"/>
    <mergeCell ref="B287:C287"/>
    <mergeCell ref="B291:C291"/>
    <mergeCell ref="B290:M290"/>
    <mergeCell ref="B285:C285"/>
    <mergeCell ref="B286:M286"/>
    <mergeCell ref="B281:C281"/>
    <mergeCell ref="B279:C279"/>
    <mergeCell ref="B283:C283"/>
    <mergeCell ref="B280:M280"/>
    <mergeCell ref="B282:M282"/>
    <mergeCell ref="B288:M288"/>
    <mergeCell ref="B284:M284"/>
    <mergeCell ref="B209:C209"/>
    <mergeCell ref="B201:C201"/>
    <mergeCell ref="B203:C203"/>
    <mergeCell ref="B208:M208"/>
    <mergeCell ref="B202:M202"/>
    <mergeCell ref="B200:M200"/>
    <mergeCell ref="B204:M204"/>
    <mergeCell ref="B206:M206"/>
    <mergeCell ref="B198:M198"/>
    <mergeCell ref="B196:M196"/>
    <mergeCell ref="B193:C193"/>
    <mergeCell ref="B194:M194"/>
    <mergeCell ref="B185:C185"/>
    <mergeCell ref="B183:C183"/>
    <mergeCell ref="B188:M188"/>
    <mergeCell ref="B190:M190"/>
    <mergeCell ref="B187:C187"/>
    <mergeCell ref="B191:C191"/>
    <mergeCell ref="B189:C189"/>
  </mergeCells>
  <hyperlinks>
    <hyperlink display="N++&gt;Co-op&gt;Levels" location="Main Menu!A1" ref="B1"/>
    <hyperlink display="Intro" location="Co-op&gt;Levels&gt;Intro!A1" ref="B4"/>
    <hyperlink display="N++" location="Co-op&gt;Levels&gt;N++!A1" ref="D4"/>
  </hyperlin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5264</v>
      </c>
      <c r="N1" s="4"/>
    </row>
    <row r="2">
      <c r="A2" s="1"/>
      <c r="N2" s="4"/>
    </row>
    <row r="3">
      <c r="A3" s="1"/>
      <c r="N3" s="4"/>
    </row>
    <row r="4">
      <c r="A4" s="1"/>
      <c r="B4" s="31" t="s">
        <v>39</v>
      </c>
      <c r="D4" s="7" t="s">
        <v>41</v>
      </c>
      <c r="E4" s="6"/>
      <c r="F4" s="9"/>
      <c r="G4" s="9"/>
      <c r="H4" s="9"/>
      <c r="I4" s="9"/>
      <c r="J4" s="9"/>
      <c r="K4" s="9"/>
      <c r="L4" s="9"/>
      <c r="M4" s="9"/>
      <c r="N4" s="12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10" t="s">
        <v>5271</v>
      </c>
      <c r="L6" s="11">
        <f>COUNTIF(B8:B33, "[***]")</f>
        <v>25</v>
      </c>
      <c r="N6" s="10"/>
    </row>
    <row r="7">
      <c r="A7" s="4"/>
      <c r="N7" s="10"/>
    </row>
    <row r="8">
      <c r="A8" s="1"/>
      <c r="B8" s="15" t="s">
        <v>5277</v>
      </c>
      <c r="C8" s="14" t="s">
        <v>5278</v>
      </c>
      <c r="D8" s="16"/>
      <c r="E8" s="16"/>
      <c r="F8" s="42" t="str">
        <f>HYPERLINK("https://www.youtube.com/channel/UCgi1GH7VP-wzcWQdZup-lCQ","YouTube")</f>
        <v>YouTube</v>
      </c>
      <c r="G8" s="16"/>
      <c r="H8" s="43"/>
      <c r="I8" s="16"/>
      <c r="J8" s="43" t="s">
        <v>5289</v>
      </c>
      <c r="K8" s="44">
        <v>43535.0</v>
      </c>
      <c r="L8" s="16"/>
      <c r="M8" s="16"/>
      <c r="N8" s="1"/>
    </row>
    <row r="9">
      <c r="A9" s="1"/>
      <c r="B9" s="15" t="s">
        <v>5295</v>
      </c>
      <c r="C9" s="14" t="s">
        <v>5296</v>
      </c>
      <c r="D9" s="16"/>
      <c r="E9" s="16"/>
      <c r="F9" s="42" t="str">
        <f>HYPERLINK("https://www.youtube.com/channel/UCEn4OnaVskRNYwz5UNtrG-Q","YouTube")</f>
        <v>YouTube</v>
      </c>
      <c r="G9" s="16"/>
      <c r="H9" s="42" t="str">
        <f>HYPERLINK("https://www.twitch.tv/aweinstock","Twitch")</f>
        <v>Twitch</v>
      </c>
      <c r="I9" s="16"/>
      <c r="J9" s="43" t="str">
        <f>IMAGE("https://yt3.ggpht.com/a-/AAuE7mCFmKEbIJkMu6XRvS9Xvov7vqVRvyeHCeo0HA=s288-mo-c-c0xffffffff-rj-k-no", 1)</f>
        <v/>
      </c>
      <c r="K9" s="44">
        <v>43385.0</v>
      </c>
      <c r="L9" s="16"/>
      <c r="M9" s="16"/>
      <c r="N9" s="1"/>
    </row>
    <row r="10">
      <c r="A10" s="1"/>
      <c r="B10" s="15" t="s">
        <v>5307</v>
      </c>
      <c r="C10" s="14" t="s">
        <v>5309</v>
      </c>
      <c r="D10" s="16"/>
      <c r="E10" s="16"/>
      <c r="F10" s="42" t="str">
        <f>HYPERLINK("https://www.youtube.com/channel/UC2bdAdBG53PjjniTTO0MeyQ","YouTube")</f>
        <v>YouTube</v>
      </c>
      <c r="G10" s="16"/>
      <c r="H10" s="42" t="str">
        <f>HYPERLINK("https://www.twitch.tv/ibcamwhobu/","Twitch")</f>
        <v>Twitch</v>
      </c>
      <c r="I10" s="16"/>
      <c r="J10" s="43" t="str">
        <f>IMAGE("https://yt3.ggpht.com/a-/AAuE7mD8TVF3-Ubhr6zjRwVeXP0ULOihJ1OJfMJhGA=s288-mo-c-c0xffffffff-rj-k-no", 1)</f>
        <v/>
      </c>
      <c r="K10" s="44">
        <v>43584.0</v>
      </c>
      <c r="L10" s="16"/>
      <c r="M10" s="16"/>
      <c r="N10" s="1"/>
    </row>
    <row r="11">
      <c r="A11" s="1"/>
      <c r="B11" s="15" t="s">
        <v>5317</v>
      </c>
      <c r="C11" s="14" t="s">
        <v>5318</v>
      </c>
      <c r="D11" s="16"/>
      <c r="E11" s="16"/>
      <c r="F11" s="42" t="str">
        <f>HYPERLINK("https://www.youtube.com/channel/UCi_pHclHM_dlHoj77fdvDpg","YouTube")</f>
        <v>YouTube</v>
      </c>
      <c r="G11" s="16"/>
      <c r="H11" s="43"/>
      <c r="I11" s="16"/>
      <c r="J11" s="43" t="str">
        <f>IMAGE("https://yt3.ggpht.com/a-/AAuE7mBx9TcMW5waOCu54Ses_2Oa-1RQ-TVNv9Q4dQ=s288-mo-c-c0xffffffff-rj-k-no", 1)</f>
        <v/>
      </c>
      <c r="K11" s="44">
        <v>43591.0</v>
      </c>
      <c r="L11" s="16"/>
      <c r="M11" s="16"/>
      <c r="N11" s="1"/>
    </row>
    <row r="12">
      <c r="A12" s="1"/>
      <c r="B12" s="15" t="s">
        <v>5324</v>
      </c>
      <c r="C12" s="14" t="s">
        <v>5325</v>
      </c>
      <c r="D12" s="16"/>
      <c r="E12" s="16"/>
      <c r="F12" s="42" t="str">
        <f>HYPERLINK("https://www.youtube.com/channel/UCz2KxBan1xMsdrm5bGKNEtQ","YouTube")</f>
        <v>YouTube</v>
      </c>
      <c r="G12" s="16"/>
      <c r="H12" s="42" t="str">
        <f>HYPERLINK("https://www.twitch.tv/EleMiner","Twitch")</f>
        <v>Twitch</v>
      </c>
      <c r="I12" s="16"/>
      <c r="J12" s="43" t="str">
        <f>IMAGE("https://yt3.ggpht.com/a-/AAuE7mD5y4gVXboApg3R_ncYMpyJSJ59kxbYF7yjSg=s288-mo-c-c0xffffffff-rj-k-no", 1)</f>
        <v/>
      </c>
      <c r="K12" s="44">
        <v>43525.0</v>
      </c>
      <c r="L12" s="16"/>
      <c r="M12" s="16"/>
      <c r="N12" s="1"/>
    </row>
    <row r="13">
      <c r="A13" s="1"/>
      <c r="B13" s="15" t="s">
        <v>5334</v>
      </c>
      <c r="C13" s="14" t="s">
        <v>5335</v>
      </c>
      <c r="D13" s="16"/>
      <c r="E13" s="16"/>
      <c r="F13" s="43"/>
      <c r="G13" s="16"/>
      <c r="H13" s="43"/>
      <c r="I13" s="16"/>
      <c r="J13" s="43" t="s">
        <v>5289</v>
      </c>
      <c r="K13" s="44">
        <v>43227.0</v>
      </c>
      <c r="L13" s="16"/>
      <c r="M13" s="16"/>
      <c r="N13" s="1"/>
    </row>
    <row r="14">
      <c r="A14" s="1"/>
      <c r="B14" s="15" t="s">
        <v>5339</v>
      </c>
      <c r="C14" s="14" t="s">
        <v>5340</v>
      </c>
      <c r="D14" s="16"/>
      <c r="E14" s="16"/>
      <c r="F14" s="42" t="str">
        <f>HYPERLINK("https://www.youtube.com/channel/UCOE-oCsJ_3aynbJ6JRyr6CQ","YouTube")</f>
        <v>YouTube</v>
      </c>
      <c r="G14" s="16"/>
      <c r="H14" s="42" t="str">
        <f>HYPERLINK("https://www.twitch.tv/alphaespy","Twitch")</f>
        <v>Twitch</v>
      </c>
      <c r="I14" s="16"/>
      <c r="J14" s="43" t="str">
        <f>IMAGE("https://yt3.ggpht.com/a-/AAuE7mAJ6m8l4RFclyV5I7FzPwv-IbNIRarxCa0Rag=s288-mo-c-c0xffffffff-rj-k-no", 1)</f>
        <v/>
      </c>
      <c r="K14" s="44">
        <v>43541.0</v>
      </c>
      <c r="L14" s="16"/>
      <c r="M14" s="16"/>
      <c r="N14" s="1"/>
    </row>
    <row r="15">
      <c r="A15" s="1"/>
      <c r="B15" s="15" t="s">
        <v>5349</v>
      </c>
      <c r="C15" s="14" t="s">
        <v>5350</v>
      </c>
      <c r="D15" s="16"/>
      <c r="E15" s="16"/>
      <c r="F15" s="42" t="str">
        <f>HYPERLINK("https://www.youtube.com/channel/UCytAXG2a4zJKbmWgorJUEJg","YouTube")</f>
        <v>YouTube</v>
      </c>
      <c r="G15" s="16"/>
      <c r="H15" s="42" t="str">
        <f>HYPERLINK("https://www.twitch.tv/fnyt","Twitch")</f>
        <v>Twitch</v>
      </c>
      <c r="I15" s="16"/>
      <c r="J15" s="43" t="str">
        <f>IMAGE("https://yt3.ggpht.com/a-/AAuE7mCgS9-i-iZMSe2aSrFGgQsj_CSrlihUmGsScA=s288-mo-c-c0xffffffff-rj-k-no", 1)</f>
        <v/>
      </c>
      <c r="K15" s="44">
        <v>43579.0</v>
      </c>
      <c r="L15" s="16"/>
      <c r="M15" s="16"/>
      <c r="N15" s="1"/>
    </row>
    <row r="16">
      <c r="A16" s="1"/>
      <c r="B16" s="15" t="s">
        <v>5357</v>
      </c>
      <c r="C16" s="14" t="s">
        <v>5358</v>
      </c>
      <c r="D16" s="16"/>
      <c r="E16" s="16"/>
      <c r="F16" s="42" t="str">
        <f>HYPERLINK("https://www.youtube.com/channel/UCGDn7jYClW8QMqiZsdtkwyw","YouTube")</f>
        <v>YouTube</v>
      </c>
      <c r="G16" s="16"/>
      <c r="H16" s="42" t="str">
        <f>HYPERLINK("https://www.twitch.tv/gealx3","Twitch")</f>
        <v>Twitch</v>
      </c>
      <c r="I16" s="16"/>
      <c r="J16" s="43" t="str">
        <f>IMAGE("https://yt3.ggpht.com/a-/AAuE7mB8PjYCMvBdqYTirjKHI8zE3iHUSkvyMsNTDA=s288-mo-c-c0xffffffff-rj-k-no", 1)</f>
        <v/>
      </c>
      <c r="K16" s="44">
        <v>43570.0</v>
      </c>
      <c r="L16" s="16"/>
      <c r="M16" s="16"/>
      <c r="N16" s="1"/>
    </row>
    <row r="17">
      <c r="A17" s="1"/>
      <c r="B17" s="15" t="s">
        <v>5367</v>
      </c>
      <c r="C17" s="14" t="s">
        <v>5368</v>
      </c>
      <c r="D17" s="16"/>
      <c r="E17" s="16"/>
      <c r="F17" s="42" t="str">
        <f>HYPERLINK("https://www.youtube.com/channel/UCqgXeeo5DPOacu6CKbPgDfQ","YouTube")</f>
        <v>YouTube</v>
      </c>
      <c r="G17" s="16"/>
      <c r="H17" s="42" t="str">
        <f>HYPERLINK("https://www.twitch.tv/golfkid","Twitch")</f>
        <v>Twitch</v>
      </c>
      <c r="I17" s="16"/>
      <c r="J17" s="43" t="str">
        <f>IMAGE("https://yt3.ggpht.com/a-/AAuE7mD8lfi6pS9RyVPOxUTWcH6lrlypJremr03XOA=s288-mo-c-c0xffffffff-rj-k-no", 1)</f>
        <v/>
      </c>
      <c r="K17" s="44">
        <v>43397.0</v>
      </c>
      <c r="L17" s="16"/>
      <c r="M17" s="16"/>
      <c r="N17" s="1"/>
    </row>
    <row r="18">
      <c r="A18" s="1"/>
      <c r="B18" s="15" t="s">
        <v>5379</v>
      </c>
      <c r="C18" s="14" t="s">
        <v>5380</v>
      </c>
      <c r="D18" s="16"/>
      <c r="E18" s="16"/>
      <c r="F18" s="42" t="str">
        <f>HYPERLINK("https://www.youtube.com/channel/UCxKH7E-tCTj3d9Xbecw2zlg","YouTube")</f>
        <v>YouTube</v>
      </c>
      <c r="G18" s="16"/>
      <c r="H18" s="43"/>
      <c r="I18" s="16"/>
      <c r="J18" s="43" t="s">
        <v>5289</v>
      </c>
      <c r="K18" s="44">
        <v>43577.0</v>
      </c>
      <c r="L18" s="16"/>
      <c r="M18" s="16"/>
      <c r="N18" s="1"/>
    </row>
    <row r="19">
      <c r="A19" s="1"/>
      <c r="B19" s="15" t="s">
        <v>5388</v>
      </c>
      <c r="C19" s="14" t="s">
        <v>5389</v>
      </c>
      <c r="D19" s="16"/>
      <c r="E19" s="16"/>
      <c r="F19" s="42" t="str">
        <f>HYPERLINK("https://www.youtube.com/channel/UCyOnbj1GDMf2PPPEJZb1BJA","YouTube")</f>
        <v>YouTube</v>
      </c>
      <c r="G19" s="16"/>
      <c r="H19" s="42" t="str">
        <f>HYPERLINK("https://www.twitch.tv/hit_freezy/","Twitch")</f>
        <v>Twitch</v>
      </c>
      <c r="I19" s="16"/>
      <c r="J19" s="43" t="s">
        <v>5289</v>
      </c>
      <c r="K19" s="44">
        <v>43260.0</v>
      </c>
      <c r="L19" s="16"/>
      <c r="M19" s="16"/>
      <c r="N19" s="1"/>
    </row>
    <row r="20">
      <c r="A20" s="1"/>
      <c r="B20" s="15" t="s">
        <v>5394</v>
      </c>
      <c r="C20" s="14" t="s">
        <v>5395</v>
      </c>
      <c r="D20" s="16"/>
      <c r="E20" s="16"/>
      <c r="F20" s="42" t="str">
        <f>HYPERLINK("https://www.youtube.com/channel/UC4Fqv-dZ4khZeRxBBUbbzVg","YouTube")</f>
        <v>YouTube</v>
      </c>
      <c r="G20" s="16"/>
      <c r="H20" s="42" t="str">
        <f>HYPERLINK("https://www.twitch.tv/746kostucha","Twitch")</f>
        <v>Twitch</v>
      </c>
      <c r="I20" s="16"/>
      <c r="J20" s="43" t="str">
        <f>IMAGE("https://steamcdn-a.akamaihd.net/steamcommunity/public/images/avatars/55/5551f0bec95f0ebdf3b7481ce94e02e13695d75c_full.jpg", 1)</f>
        <v/>
      </c>
      <c r="K20" s="44">
        <v>43400.0</v>
      </c>
      <c r="L20" s="16"/>
      <c r="M20" s="16"/>
      <c r="N20" s="1"/>
    </row>
    <row r="21">
      <c r="A21" s="1"/>
      <c r="B21" s="15" t="s">
        <v>5407</v>
      </c>
      <c r="C21" s="14" t="s">
        <v>5408</v>
      </c>
      <c r="D21" s="16"/>
      <c r="E21" s="16"/>
      <c r="F21" s="42" t="str">
        <f>HYPERLINK("https://www.youtube.com/user/xploshun1337/","YouTube")</f>
        <v>YouTube</v>
      </c>
      <c r="G21" s="16"/>
      <c r="H21" s="43"/>
      <c r="I21" s="16"/>
      <c r="J21" s="43" t="s">
        <v>5289</v>
      </c>
      <c r="K21" s="44">
        <v>43509.0</v>
      </c>
      <c r="L21" s="16"/>
      <c r="M21" s="16"/>
      <c r="N21" s="1"/>
    </row>
    <row r="22">
      <c r="A22" s="1"/>
      <c r="B22" s="15" t="s">
        <v>5415</v>
      </c>
      <c r="C22" s="14" t="s">
        <v>5416</v>
      </c>
      <c r="D22" s="16"/>
      <c r="E22" s="16"/>
      <c r="F22" s="42" t="str">
        <f>HYPERLINK("https://www.youtube.com/channel/UCWhztlQ_ld-lSJKTzimWcDA","YouTube")</f>
        <v>YouTube</v>
      </c>
      <c r="G22" s="16"/>
      <c r="H22" s="43"/>
      <c r="I22" s="16"/>
      <c r="J22" s="43" t="str">
        <f>IMAGE("https://yt3.ggpht.com/a-/AAuE7mBsVwHBF1nXKgnwxqfi2eJXgIQxj9JtrYWXsg=s288-mo-c-c0xffffffff-rj-k-no", 1)</f>
        <v/>
      </c>
      <c r="K22" s="44">
        <v>43264.0</v>
      </c>
      <c r="L22" s="16"/>
      <c r="M22" s="16"/>
      <c r="N22" s="1"/>
    </row>
    <row r="23">
      <c r="A23" s="1"/>
      <c r="B23" s="15" t="s">
        <v>5423</v>
      </c>
      <c r="C23" s="14" t="s">
        <v>5424</v>
      </c>
      <c r="D23" s="16"/>
      <c r="E23" s="16"/>
      <c r="F23" s="42" t="str">
        <f>HYPERLINK("https://www.youtube.com/channel/UC6lRG4Dhvkvt_CQ4sZcLNVA","YouTube")</f>
        <v>YouTube</v>
      </c>
      <c r="G23" s="16"/>
      <c r="H23" s="42" t="str">
        <f>HYPERLINK("https://www.twitch.tv/moletrooper/","Twitch")</f>
        <v>Twitch</v>
      </c>
      <c r="I23" s="16"/>
      <c r="J23" s="43" t="str">
        <f>IMAGE("https://yt3.ggpht.com/a-/AAuE7mB4cNB2m7IfWIisExcq03eY7iMHGQQw1IMxUw=s288-mo-c-c0xffffffff-rj-k-no", 1)</f>
        <v/>
      </c>
      <c r="K23" s="44">
        <v>43050.0</v>
      </c>
      <c r="L23" s="16"/>
      <c r="M23" s="16"/>
      <c r="N23" s="1"/>
    </row>
    <row r="24">
      <c r="A24" s="1"/>
      <c r="B24" s="15" t="s">
        <v>5434</v>
      </c>
      <c r="C24" s="14" t="s">
        <v>5435</v>
      </c>
      <c r="D24" s="16"/>
      <c r="E24" s="16"/>
      <c r="F24" s="43"/>
      <c r="G24" s="16"/>
      <c r="H24" s="42" t="str">
        <f>HYPERLINK("https://www.twitch.tv/untamednim","Twitch")</f>
        <v>Twitch</v>
      </c>
      <c r="I24" s="16"/>
      <c r="J24" s="43" t="str">
        <f>IMAGE("https://static-cdn.jtvnw.net/jtv_user_pictures/20519098c36d3729-profile_image-70x70.jpeg", 1)</f>
        <v/>
      </c>
      <c r="K24" s="44">
        <v>43552.0</v>
      </c>
      <c r="L24" s="16"/>
      <c r="M24" s="16"/>
      <c r="N24" s="1"/>
    </row>
    <row r="25">
      <c r="A25" s="1"/>
      <c r="B25" s="15" t="s">
        <v>5441</v>
      </c>
      <c r="C25" s="14" t="s">
        <v>5442</v>
      </c>
      <c r="D25" s="16"/>
      <c r="E25" s="16"/>
      <c r="F25" s="42" t="str">
        <f>HYPERLINK("https://www.youtube.com/channel/UCmokL2tD_CAjoSqLVf1m38Q","YouTube")</f>
        <v>YouTube</v>
      </c>
      <c r="G25" s="16"/>
      <c r="H25" s="43"/>
      <c r="I25" s="16"/>
      <c r="J25" s="43" t="s">
        <v>5289</v>
      </c>
      <c r="K25" s="44">
        <v>43541.0</v>
      </c>
      <c r="L25" s="16"/>
      <c r="M25" s="16"/>
      <c r="N25" s="1"/>
    </row>
    <row r="26">
      <c r="A26" s="1"/>
      <c r="B26" s="15" t="s">
        <v>5449</v>
      </c>
      <c r="C26" s="14" t="s">
        <v>5450</v>
      </c>
      <c r="D26" s="16"/>
      <c r="E26" s="16"/>
      <c r="F26" s="42" t="str">
        <f>HYPERLINK("https://www.youtube.com/channel/UCKLsy3VSOogvn5C3sfhM-iw","YouTube")</f>
        <v>YouTube</v>
      </c>
      <c r="G26" s="16"/>
      <c r="H26" s="43"/>
      <c r="I26" s="16"/>
      <c r="J26" s="43" t="str">
        <f>IMAGE("https://yt3.ggpht.com/a-/AAuE7mDHHlSoKBMdSMLRe7TtfZAo8DNfdhzYbXPYSg=s288-mo-c-c0xffffffff-rj-k-no", 1)</f>
        <v/>
      </c>
      <c r="K26" s="44">
        <v>42604.0</v>
      </c>
      <c r="L26" s="16"/>
      <c r="M26" s="16"/>
      <c r="N26" s="1"/>
    </row>
    <row r="27">
      <c r="A27" s="1"/>
      <c r="B27" s="15" t="s">
        <v>5457</v>
      </c>
      <c r="C27" s="14" t="s">
        <v>5458</v>
      </c>
      <c r="D27" s="16"/>
      <c r="E27" s="16"/>
      <c r="F27" s="42" t="str">
        <f>HYPERLINK("https://www.youtube.com/channel/UCRu6DfosZnWrHFk6v7VGnmQ","YouTube")</f>
        <v>YouTube</v>
      </c>
      <c r="G27" s="16"/>
      <c r="H27" s="42" t="str">
        <f>HYPERLINK("https://www.twitch.tv/xskylighter","Twitch")</f>
        <v>Twitch</v>
      </c>
      <c r="I27" s="16"/>
      <c r="J27" s="43" t="str">
        <f>IMAGE("https://yt3.ggpht.com/a-/AAuE7mDzlAoGrFWkP5fG3f5dM0b63Ti1Iy3UtJXD1A=s288-mo-c-c0xffffffff-rj-k-no", 1)</f>
        <v/>
      </c>
      <c r="K27" s="44">
        <v>43482.0</v>
      </c>
      <c r="L27" s="16"/>
      <c r="M27" s="16"/>
      <c r="N27" s="1"/>
    </row>
    <row r="28">
      <c r="A28" s="1"/>
      <c r="B28" s="15" t="s">
        <v>5466</v>
      </c>
      <c r="C28" s="14" t="s">
        <v>5467</v>
      </c>
      <c r="D28" s="16"/>
      <c r="E28" s="16"/>
      <c r="F28" s="42" t="str">
        <f>HYPERLINK("https://www.youtube.com/channel/UCSx09N0uvIyKCe6V6Jk14YA","YouTube")</f>
        <v>YouTube</v>
      </c>
      <c r="G28" s="16"/>
      <c r="H28" s="43"/>
      <c r="I28" s="16"/>
      <c r="J28" s="43" t="str">
        <f>IMAGE("https://yt3.ggpht.com/a-/AAuE7mAdtu1RB7g9p6C2vxycQYbjsEqFIQt-8363mg=s288-mo-c-c0xffffffff-rj-k-no", 1)</f>
        <v/>
      </c>
      <c r="K28" s="44">
        <v>43549.0</v>
      </c>
      <c r="L28" s="16"/>
      <c r="M28" s="16"/>
      <c r="N28" s="1"/>
    </row>
    <row r="29">
      <c r="A29" s="1"/>
      <c r="B29" s="15" t="s">
        <v>5473</v>
      </c>
      <c r="C29" s="14" t="s">
        <v>5474</v>
      </c>
      <c r="D29" s="16"/>
      <c r="E29" s="16"/>
      <c r="F29" s="42" t="str">
        <f>HYPERLINK("https://www.youtube.com/channel/UCS1qXV-3Dzqu0oPH_CK1sFg","YouTube")</f>
        <v>YouTube</v>
      </c>
      <c r="G29" s="16"/>
      <c r="H29" s="42" t="str">
        <f>HYPERLINK("https://www.twitch.tv/systeminspired","Twitch")</f>
        <v>Twitch</v>
      </c>
      <c r="I29" s="16"/>
      <c r="J29" s="43" t="str">
        <f>IMAGE("https://yt3.ggpht.com/-YZe6YmSKAtw/AAAAAAAAAAI/AAAAAAAAAUw/cO73bxZrt-c/s288-mo-c-c0xffffffff-rj-k-no/photo.jpg", 1)</f>
        <v/>
      </c>
      <c r="K29" s="44">
        <v>43589.0</v>
      </c>
      <c r="L29" s="16"/>
      <c r="M29" s="16"/>
      <c r="N29" s="1"/>
    </row>
    <row r="30">
      <c r="A30" s="1"/>
      <c r="B30" s="15" t="s">
        <v>5481</v>
      </c>
      <c r="C30" s="14" t="s">
        <v>5482</v>
      </c>
      <c r="D30" s="16"/>
      <c r="E30" s="16"/>
      <c r="F30" s="42" t="str">
        <f>HYPERLINK("https://www.youtube.com/user/XANDOAndy/","YouTube")</f>
        <v>YouTube</v>
      </c>
      <c r="G30" s="16"/>
      <c r="H30" s="42" t="str">
        <f>HYPERLINK("https://www.twitch.tv/xandotoaster","Twitch")</f>
        <v>Twitch</v>
      </c>
      <c r="I30" s="16"/>
      <c r="J30" s="43" t="str">
        <f>IMAGE("https://yt3.ggpht.com/a-/AAuE7mCc_A-AGD4TsnjqQ6v_VWuMllxmUpSUis09wg=s288-mo-c-c0xffffffff-rj-k-no", 1)</f>
        <v/>
      </c>
      <c r="K30" s="44">
        <v>43541.0</v>
      </c>
      <c r="L30" s="16"/>
      <c r="M30" s="16"/>
      <c r="N30" s="1"/>
    </row>
    <row r="31">
      <c r="A31" s="1"/>
      <c r="B31" s="15" t="s">
        <v>5489</v>
      </c>
      <c r="C31" s="14" t="s">
        <v>5490</v>
      </c>
      <c r="D31" s="16"/>
      <c r="E31" s="16"/>
      <c r="F31" s="43"/>
      <c r="G31" s="16"/>
      <c r="H31" s="42" t="str">
        <f>HYPERLINK("https://www.twitch.tv/whamboss","Twitch")</f>
        <v>Twitch</v>
      </c>
      <c r="I31" s="16"/>
      <c r="J31" s="43" t="s">
        <v>5289</v>
      </c>
      <c r="K31" s="44" t="s">
        <v>5494</v>
      </c>
      <c r="L31" s="16"/>
      <c r="M31" s="16"/>
      <c r="N31" s="4"/>
    </row>
    <row r="32">
      <c r="A32" s="1"/>
      <c r="B32" s="15" t="s">
        <v>5495</v>
      </c>
      <c r="C32" s="14" t="s">
        <v>5496</v>
      </c>
      <c r="D32" s="16"/>
      <c r="E32" s="16"/>
      <c r="F32" s="42" t="str">
        <f>HYPERLINK("https://www.youtube.com/channel/UCbSpJK22VMNST_gctQsaTEg","YouTube")</f>
        <v>YouTube</v>
      </c>
      <c r="G32" s="16"/>
      <c r="H32" s="42" t="str">
        <f>HYPERLINK("https://www.twitch.tv/xela2/","Twitch")</f>
        <v>Twitch</v>
      </c>
      <c r="I32" s="16"/>
      <c r="J32" s="43" t="str">
        <f>IMAGE("https://yt3.ggpht.com/a-/AAuE7mB189zcxOUEYS5AP_10UuOKSAFTbWOogDIGLg=s288-mo-c-c0xffffffff-rj-k-no", 1)</f>
        <v/>
      </c>
      <c r="K32" s="44">
        <v>43249.0</v>
      </c>
      <c r="L32" s="16"/>
      <c r="M32" s="16"/>
      <c r="N32" s="1"/>
    </row>
    <row r="33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105">
    <mergeCell ref="H8:I8"/>
    <mergeCell ref="F8:G8"/>
    <mergeCell ref="H10:I10"/>
    <mergeCell ref="F10:G10"/>
    <mergeCell ref="F9:G9"/>
    <mergeCell ref="F22:G22"/>
    <mergeCell ref="H22:I22"/>
    <mergeCell ref="F16:G16"/>
    <mergeCell ref="H17:I17"/>
    <mergeCell ref="H16:I16"/>
    <mergeCell ref="F17:G17"/>
    <mergeCell ref="H20:I20"/>
    <mergeCell ref="H19:I19"/>
    <mergeCell ref="H21:I21"/>
    <mergeCell ref="F21:G21"/>
    <mergeCell ref="F20:G20"/>
    <mergeCell ref="F19:G19"/>
    <mergeCell ref="H18:I18"/>
    <mergeCell ref="F18:G18"/>
    <mergeCell ref="F15:G15"/>
    <mergeCell ref="F14:G14"/>
    <mergeCell ref="F13:G13"/>
    <mergeCell ref="H24:I24"/>
    <mergeCell ref="F24:G24"/>
    <mergeCell ref="H23:I23"/>
    <mergeCell ref="F23:G23"/>
    <mergeCell ref="B6:K7"/>
    <mergeCell ref="B1:M3"/>
    <mergeCell ref="B4:C4"/>
    <mergeCell ref="D4:E4"/>
    <mergeCell ref="K12:M12"/>
    <mergeCell ref="C10:E10"/>
    <mergeCell ref="H9:I9"/>
    <mergeCell ref="L6:M7"/>
    <mergeCell ref="K8:M8"/>
    <mergeCell ref="C11:E11"/>
    <mergeCell ref="F12:G12"/>
    <mergeCell ref="F25:G25"/>
    <mergeCell ref="F26:G26"/>
    <mergeCell ref="K25:M25"/>
    <mergeCell ref="K26:M26"/>
    <mergeCell ref="K27:M27"/>
    <mergeCell ref="H26:I26"/>
    <mergeCell ref="H25:I25"/>
    <mergeCell ref="C21:E21"/>
    <mergeCell ref="C22:E22"/>
    <mergeCell ref="C24:E24"/>
    <mergeCell ref="C27:E27"/>
    <mergeCell ref="H27:I27"/>
    <mergeCell ref="C25:E25"/>
    <mergeCell ref="C26:E26"/>
    <mergeCell ref="C23:E23"/>
    <mergeCell ref="C31:E31"/>
    <mergeCell ref="C30:E30"/>
    <mergeCell ref="H31:I31"/>
    <mergeCell ref="H32:I32"/>
    <mergeCell ref="H29:I29"/>
    <mergeCell ref="H30:I30"/>
    <mergeCell ref="K31:M31"/>
    <mergeCell ref="K32:M32"/>
    <mergeCell ref="K30:M30"/>
    <mergeCell ref="K28:M28"/>
    <mergeCell ref="K29:M29"/>
    <mergeCell ref="F31:G31"/>
    <mergeCell ref="F30:G30"/>
    <mergeCell ref="F27:G27"/>
    <mergeCell ref="F28:G28"/>
    <mergeCell ref="H28:I28"/>
    <mergeCell ref="F32:G32"/>
    <mergeCell ref="C32:E32"/>
    <mergeCell ref="C28:E28"/>
    <mergeCell ref="C29:E29"/>
    <mergeCell ref="F29:G29"/>
    <mergeCell ref="H15:I15"/>
    <mergeCell ref="H14:I14"/>
    <mergeCell ref="H13:I13"/>
    <mergeCell ref="K13:M13"/>
    <mergeCell ref="K14:M14"/>
    <mergeCell ref="H11:I11"/>
    <mergeCell ref="H12:I12"/>
    <mergeCell ref="K11:M11"/>
    <mergeCell ref="F11:G11"/>
    <mergeCell ref="C9:E9"/>
    <mergeCell ref="C8:E8"/>
    <mergeCell ref="K10:M10"/>
    <mergeCell ref="K9:M9"/>
    <mergeCell ref="K19:M19"/>
    <mergeCell ref="K18:M18"/>
    <mergeCell ref="K16:M16"/>
    <mergeCell ref="K15:M15"/>
    <mergeCell ref="K21:M21"/>
    <mergeCell ref="K23:M23"/>
    <mergeCell ref="K24:M24"/>
    <mergeCell ref="K22:M22"/>
    <mergeCell ref="K20:M20"/>
    <mergeCell ref="K17:M17"/>
    <mergeCell ref="C19:E19"/>
    <mergeCell ref="C20:E20"/>
    <mergeCell ref="C12:E12"/>
    <mergeCell ref="C13:E13"/>
    <mergeCell ref="C14:E14"/>
    <mergeCell ref="C15:E15"/>
    <mergeCell ref="C18:E18"/>
    <mergeCell ref="C17:E17"/>
    <mergeCell ref="C16:E16"/>
  </mergeCells>
  <conditionalFormatting sqref="K1:K33">
    <cfRule type="cellIs" dxfId="1" priority="1" operator="equal">
      <formula>"In Progress"</formula>
    </cfRule>
  </conditionalFormatting>
  <hyperlinks>
    <hyperlink display="N++&gt;Players" location="Main Menu!A1" ref="B1"/>
    <hyperlink display="Videos" location="Players&gt;Videos!A1" ref="D4"/>
  </hyperlin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5264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39</v>
      </c>
      <c r="D4" s="31" t="s">
        <v>41</v>
      </c>
      <c r="E4" s="6"/>
      <c r="F4" s="9"/>
      <c r="G4" s="9"/>
      <c r="H4" s="9"/>
      <c r="I4" s="9"/>
      <c r="J4" s="9"/>
      <c r="K4" s="9"/>
      <c r="L4" s="9"/>
      <c r="M4" s="9"/>
      <c r="N4" s="12"/>
    </row>
    <row r="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>
      <c r="A6" s="1"/>
      <c r="B6" s="10" t="s">
        <v>43</v>
      </c>
      <c r="K6" s="10"/>
      <c r="L6" s="10"/>
      <c r="M6" s="10"/>
      <c r="N6" s="9"/>
    </row>
    <row r="7">
      <c r="A7" s="1"/>
      <c r="K7" s="10"/>
      <c r="L7" s="10"/>
      <c r="M7" s="10"/>
      <c r="N7" s="9"/>
    </row>
    <row r="8">
      <c r="A8" s="1"/>
      <c r="B8" s="9"/>
      <c r="C8" s="9" t="s">
        <v>5562</v>
      </c>
      <c r="E8" s="9" t="s">
        <v>26</v>
      </c>
      <c r="G8" s="9" t="s">
        <v>5565</v>
      </c>
      <c r="I8" s="9" t="s">
        <v>5566</v>
      </c>
      <c r="K8" s="45"/>
      <c r="L8" s="10"/>
      <c r="M8" s="10"/>
      <c r="N8" s="9"/>
    </row>
    <row r="9">
      <c r="A9" s="1"/>
      <c r="B9" s="46" t="str">
        <f>'Players&gt;List'!$B8</f>
        <v>[ABA]</v>
      </c>
      <c r="C9" s="47">
        <f t="shared" ref="C9:C33" si="1">K40</f>
        <v>68</v>
      </c>
      <c r="E9" s="47">
        <f t="shared" ref="E9:E33" si="2">G70</f>
        <v>0</v>
      </c>
      <c r="G9" s="47">
        <f t="shared" ref="G9:G33" si="3">F101</f>
        <v>2</v>
      </c>
      <c r="I9" s="48">
        <f t="shared" ref="I9:I34" si="4">SUM(C9, E9, G9)</f>
        <v>70</v>
      </c>
      <c r="K9" s="13"/>
      <c r="L9" s="10"/>
      <c r="M9" s="10"/>
      <c r="N9" s="9"/>
    </row>
    <row r="10">
      <c r="A10" s="1"/>
      <c r="B10" s="46" t="str">
        <f>'Players&gt;List'!$B9</f>
        <v>[AWE]</v>
      </c>
      <c r="C10" s="47">
        <f t="shared" si="1"/>
        <v>28</v>
      </c>
      <c r="E10" s="47">
        <f t="shared" si="2"/>
        <v>0</v>
      </c>
      <c r="G10" s="47">
        <f t="shared" si="3"/>
        <v>0</v>
      </c>
      <c r="I10" s="48">
        <f t="shared" si="4"/>
        <v>28</v>
      </c>
      <c r="K10" s="13"/>
      <c r="L10" s="10"/>
      <c r="M10" s="10"/>
      <c r="N10" s="9"/>
    </row>
    <row r="11">
      <c r="A11" s="1"/>
      <c r="B11" s="46" t="str">
        <f>'Players&gt;List'!$B10</f>
        <v>[CAM]</v>
      </c>
      <c r="C11" s="47">
        <f t="shared" si="1"/>
        <v>626</v>
      </c>
      <c r="E11" s="47">
        <f t="shared" si="2"/>
        <v>0</v>
      </c>
      <c r="G11" s="47">
        <f t="shared" si="3"/>
        <v>0</v>
      </c>
      <c r="I11" s="48">
        <f t="shared" si="4"/>
        <v>626</v>
      </c>
      <c r="K11" s="13"/>
      <c r="L11" s="10"/>
      <c r="M11" s="10"/>
      <c r="N11" s="9"/>
    </row>
    <row r="12">
      <c r="A12" s="1"/>
      <c r="B12" s="46" t="str">
        <f>'Players&gt;List'!$B11</f>
        <v>[CHB]</v>
      </c>
      <c r="C12" s="47">
        <f t="shared" si="1"/>
        <v>544</v>
      </c>
      <c r="E12" s="47">
        <f t="shared" si="2"/>
        <v>0</v>
      </c>
      <c r="G12" s="47">
        <f t="shared" si="3"/>
        <v>505</v>
      </c>
      <c r="I12" s="48">
        <f t="shared" si="4"/>
        <v>1049</v>
      </c>
      <c r="K12" s="13"/>
      <c r="L12" s="10"/>
      <c r="M12" s="10"/>
      <c r="N12" s="9"/>
    </row>
    <row r="13">
      <c r="A13" s="1"/>
      <c r="B13" s="46" t="str">
        <f>'Players&gt;List'!$B12</f>
        <v>[EKI]</v>
      </c>
      <c r="C13" s="47">
        <f t="shared" si="1"/>
        <v>4</v>
      </c>
      <c r="E13" s="47">
        <f t="shared" si="2"/>
        <v>0</v>
      </c>
      <c r="G13" s="47">
        <f t="shared" si="3"/>
        <v>0</v>
      </c>
      <c r="I13" s="48">
        <f t="shared" si="4"/>
        <v>4</v>
      </c>
      <c r="K13" s="13"/>
      <c r="L13" s="10"/>
      <c r="M13" s="10"/>
      <c r="N13" s="9"/>
    </row>
    <row r="14">
      <c r="A14" s="1"/>
      <c r="B14" s="46" t="str">
        <f>'Players&gt;List'!$B13</f>
        <v>[ES2]</v>
      </c>
      <c r="C14" s="47">
        <f t="shared" si="1"/>
        <v>0</v>
      </c>
      <c r="E14" s="47">
        <f t="shared" si="2"/>
        <v>0</v>
      </c>
      <c r="G14" s="47">
        <f t="shared" si="3"/>
        <v>1</v>
      </c>
      <c r="I14" s="48">
        <f t="shared" si="4"/>
        <v>1</v>
      </c>
      <c r="K14" s="13"/>
      <c r="L14" s="10"/>
      <c r="M14" s="10"/>
      <c r="N14" s="9"/>
    </row>
    <row r="15">
      <c r="A15" s="1"/>
      <c r="B15" s="46" t="str">
        <f>'Players&gt;List'!$B14</f>
        <v>[ESP]</v>
      </c>
      <c r="C15" s="47">
        <f t="shared" si="1"/>
        <v>32</v>
      </c>
      <c r="E15" s="47">
        <f t="shared" si="2"/>
        <v>1</v>
      </c>
      <c r="G15" s="47">
        <f t="shared" si="3"/>
        <v>2</v>
      </c>
      <c r="I15" s="48">
        <f t="shared" si="4"/>
        <v>35</v>
      </c>
      <c r="K15" s="13"/>
      <c r="L15" s="10"/>
      <c r="M15" s="10"/>
      <c r="N15" s="9"/>
    </row>
    <row r="16">
      <c r="A16" s="1"/>
      <c r="B16" s="46" t="str">
        <f>'Players&gt;List'!$B15</f>
        <v>[FNY]</v>
      </c>
      <c r="C16" s="47">
        <f t="shared" si="1"/>
        <v>121</v>
      </c>
      <c r="E16" s="47">
        <f t="shared" si="2"/>
        <v>0</v>
      </c>
      <c r="G16" s="47">
        <f t="shared" si="3"/>
        <v>0</v>
      </c>
      <c r="I16" s="48">
        <f t="shared" si="4"/>
        <v>121</v>
      </c>
      <c r="K16" s="13"/>
      <c r="L16" s="10"/>
      <c r="M16" s="10"/>
      <c r="N16" s="9"/>
    </row>
    <row r="17">
      <c r="A17" s="1"/>
      <c r="B17" s="46" t="str">
        <f>'Players&gt;List'!$B16</f>
        <v>[GEA]</v>
      </c>
      <c r="C17" s="47">
        <f t="shared" si="1"/>
        <v>399</v>
      </c>
      <c r="E17" s="47">
        <f t="shared" si="2"/>
        <v>0</v>
      </c>
      <c r="G17" s="47">
        <f t="shared" si="3"/>
        <v>0</v>
      </c>
      <c r="I17" s="48">
        <f t="shared" si="4"/>
        <v>399</v>
      </c>
      <c r="K17" s="13"/>
      <c r="L17" s="10"/>
      <c r="M17" s="10"/>
      <c r="N17" s="9"/>
    </row>
    <row r="18">
      <c r="A18" s="1"/>
      <c r="B18" s="46" t="str">
        <f>'Players&gt;List'!$B17</f>
        <v>[GOL]</v>
      </c>
      <c r="C18" s="47">
        <f t="shared" si="1"/>
        <v>28</v>
      </c>
      <c r="E18" s="47">
        <f t="shared" si="2"/>
        <v>0</v>
      </c>
      <c r="G18" s="47">
        <f t="shared" si="3"/>
        <v>11</v>
      </c>
      <c r="I18" s="48">
        <f t="shared" si="4"/>
        <v>39</v>
      </c>
      <c r="K18" s="13"/>
      <c r="L18" s="9"/>
      <c r="M18" s="10"/>
      <c r="N18" s="9"/>
    </row>
    <row r="19">
      <c r="A19" s="1"/>
      <c r="B19" s="46" t="str">
        <f>'Players&gt;List'!$B18</f>
        <v>[HGB]</v>
      </c>
      <c r="C19" s="47">
        <f t="shared" si="1"/>
        <v>240</v>
      </c>
      <c r="E19" s="47">
        <f t="shared" si="2"/>
        <v>0</v>
      </c>
      <c r="G19" s="47">
        <f t="shared" si="3"/>
        <v>0</v>
      </c>
      <c r="I19" s="48">
        <f t="shared" si="4"/>
        <v>240</v>
      </c>
      <c r="K19" s="13"/>
      <c r="L19" s="10"/>
      <c r="M19" s="10"/>
      <c r="N19" s="9"/>
    </row>
    <row r="20">
      <c r="A20" s="1"/>
      <c r="B20" s="46" t="str">
        <f>'Players&gt;List'!$B19</f>
        <v>[HIT]</v>
      </c>
      <c r="C20" s="47">
        <f t="shared" si="1"/>
        <v>269</v>
      </c>
      <c r="E20" s="47">
        <f t="shared" si="2"/>
        <v>7</v>
      </c>
      <c r="G20" s="47">
        <f t="shared" si="3"/>
        <v>48</v>
      </c>
      <c r="I20" s="48">
        <f t="shared" si="4"/>
        <v>324</v>
      </c>
      <c r="K20" s="13"/>
      <c r="L20" s="10"/>
      <c r="M20" s="10"/>
      <c r="N20" s="9"/>
    </row>
    <row r="21">
      <c r="A21" s="1"/>
      <c r="B21" s="46" t="str">
        <f>'Players&gt;List'!$B20</f>
        <v>[KOS]</v>
      </c>
      <c r="C21" s="47">
        <f t="shared" si="1"/>
        <v>12</v>
      </c>
      <c r="E21" s="47">
        <f t="shared" si="2"/>
        <v>0</v>
      </c>
      <c r="G21" s="47">
        <f t="shared" si="3"/>
        <v>48</v>
      </c>
      <c r="I21" s="48">
        <f t="shared" si="4"/>
        <v>60</v>
      </c>
      <c r="K21" s="13"/>
      <c r="L21" s="10"/>
      <c r="M21" s="10"/>
      <c r="N21" s="9"/>
    </row>
    <row r="22">
      <c r="A22" s="1"/>
      <c r="B22" s="46" t="str">
        <f>'Players&gt;List'!$B21</f>
        <v>[MAE]</v>
      </c>
      <c r="C22" s="47">
        <f t="shared" si="1"/>
        <v>4</v>
      </c>
      <c r="E22" s="47">
        <f t="shared" si="2"/>
        <v>0</v>
      </c>
      <c r="G22" s="47">
        <f t="shared" si="3"/>
        <v>0</v>
      </c>
      <c r="I22" s="48">
        <f t="shared" si="4"/>
        <v>4</v>
      </c>
      <c r="K22" s="13"/>
      <c r="L22" s="10"/>
      <c r="M22" s="10"/>
      <c r="N22" s="9"/>
    </row>
    <row r="23">
      <c r="A23" s="1"/>
      <c r="B23" s="46" t="str">
        <f>'Players&gt;List'!$B22</f>
        <v>[MAQ]</v>
      </c>
      <c r="C23" s="47">
        <f t="shared" si="1"/>
        <v>1</v>
      </c>
      <c r="E23" s="47">
        <f t="shared" si="2"/>
        <v>0</v>
      </c>
      <c r="G23" s="47">
        <f t="shared" si="3"/>
        <v>0</v>
      </c>
      <c r="I23" s="48">
        <f t="shared" si="4"/>
        <v>1</v>
      </c>
      <c r="K23" s="13"/>
      <c r="L23" s="10"/>
      <c r="M23" s="10"/>
      <c r="N23" s="9"/>
    </row>
    <row r="24">
      <c r="A24" s="1"/>
      <c r="B24" s="46" t="str">
        <f>'Players&gt;List'!$B23</f>
        <v>[MOL]</v>
      </c>
      <c r="C24" s="47">
        <f t="shared" si="1"/>
        <v>58</v>
      </c>
      <c r="E24" s="47">
        <f t="shared" si="2"/>
        <v>0</v>
      </c>
      <c r="G24" s="47">
        <f t="shared" si="3"/>
        <v>10</v>
      </c>
      <c r="I24" s="48">
        <f t="shared" si="4"/>
        <v>68</v>
      </c>
      <c r="K24" s="13"/>
      <c r="L24" s="10"/>
      <c r="M24" s="10"/>
      <c r="N24" s="9"/>
    </row>
    <row r="25">
      <c r="A25" s="1"/>
      <c r="B25" s="46" t="str">
        <f>'Players&gt;List'!$B24</f>
        <v>[NIM]</v>
      </c>
      <c r="C25" s="47">
        <f t="shared" si="1"/>
        <v>141</v>
      </c>
      <c r="E25" s="47">
        <f t="shared" si="2"/>
        <v>0</v>
      </c>
      <c r="G25" s="47">
        <f t="shared" si="3"/>
        <v>0</v>
      </c>
      <c r="I25" s="48">
        <f t="shared" si="4"/>
        <v>141</v>
      </c>
      <c r="K25" s="13"/>
      <c r="L25" s="10"/>
      <c r="M25" s="10"/>
      <c r="N25" s="9"/>
    </row>
    <row r="26">
      <c r="A26" s="1"/>
      <c r="B26" s="46" t="str">
        <f>'Players&gt;List'!$B25</f>
        <v>[PBR]</v>
      </c>
      <c r="C26" s="47">
        <f t="shared" si="1"/>
        <v>8</v>
      </c>
      <c r="E26" s="47">
        <f t="shared" si="2"/>
        <v>0</v>
      </c>
      <c r="G26" s="47">
        <f t="shared" si="3"/>
        <v>0</v>
      </c>
      <c r="I26" s="48">
        <f t="shared" si="4"/>
        <v>8</v>
      </c>
      <c r="K26" s="13"/>
      <c r="L26" s="10"/>
      <c r="M26" s="10"/>
      <c r="N26" s="9"/>
    </row>
    <row r="27">
      <c r="A27" s="1"/>
      <c r="B27" s="46" t="str">
        <f>'Players&gt;List'!$B26</f>
        <v>[SCO]</v>
      </c>
      <c r="C27" s="47">
        <f t="shared" si="1"/>
        <v>167</v>
      </c>
      <c r="E27" s="47">
        <f t="shared" si="2"/>
        <v>0</v>
      </c>
      <c r="G27" s="47">
        <f t="shared" si="3"/>
        <v>0</v>
      </c>
      <c r="I27" s="48">
        <f t="shared" si="4"/>
        <v>167</v>
      </c>
      <c r="K27" s="13"/>
      <c r="L27" s="10"/>
      <c r="M27" s="10"/>
      <c r="N27" s="9"/>
    </row>
    <row r="28">
      <c r="A28" s="1"/>
      <c r="B28" s="46" t="str">
        <f>'Players&gt;List'!$B27</f>
        <v>[SKY]</v>
      </c>
      <c r="C28" s="47">
        <f t="shared" si="1"/>
        <v>5</v>
      </c>
      <c r="E28" s="47">
        <f t="shared" si="2"/>
        <v>0</v>
      </c>
      <c r="G28" s="47">
        <f t="shared" si="3"/>
        <v>0</v>
      </c>
      <c r="I28" s="48">
        <f t="shared" si="4"/>
        <v>5</v>
      </c>
      <c r="K28" s="13"/>
      <c r="L28" s="10"/>
      <c r="M28" s="10"/>
      <c r="N28" s="9"/>
    </row>
    <row r="29">
      <c r="A29" s="1"/>
      <c r="B29" s="46" t="str">
        <f>'Players&gt;List'!$B28</f>
        <v>[SUN]</v>
      </c>
      <c r="C29" s="47">
        <f t="shared" si="1"/>
        <v>223</v>
      </c>
      <c r="E29" s="47">
        <f t="shared" si="2"/>
        <v>0</v>
      </c>
      <c r="G29" s="47">
        <f t="shared" si="3"/>
        <v>0</v>
      </c>
      <c r="I29" s="48">
        <f t="shared" si="4"/>
        <v>223</v>
      </c>
      <c r="K29" s="13"/>
      <c r="L29" s="10"/>
      <c r="M29" s="10"/>
      <c r="N29" s="9"/>
    </row>
    <row r="30">
      <c r="A30" s="1"/>
      <c r="B30" s="46" t="str">
        <f>'Players&gt;List'!$B29</f>
        <v>[SYS]</v>
      </c>
      <c r="C30" s="47">
        <f t="shared" si="1"/>
        <v>506</v>
      </c>
      <c r="E30" s="47">
        <f t="shared" si="2"/>
        <v>2</v>
      </c>
      <c r="G30" s="47">
        <f t="shared" si="3"/>
        <v>505</v>
      </c>
      <c r="I30" s="48">
        <f t="shared" si="4"/>
        <v>1013</v>
      </c>
      <c r="K30" s="13"/>
      <c r="L30" s="10"/>
      <c r="M30" s="10"/>
      <c r="N30" s="9"/>
    </row>
    <row r="31">
      <c r="A31" s="1"/>
      <c r="B31" s="46" t="str">
        <f>'Players&gt;List'!$B30</f>
        <v>[TST]</v>
      </c>
      <c r="C31" s="47">
        <f t="shared" si="1"/>
        <v>40</v>
      </c>
      <c r="E31" s="47">
        <f t="shared" si="2"/>
        <v>5</v>
      </c>
      <c r="G31" s="47">
        <f t="shared" si="3"/>
        <v>0</v>
      </c>
      <c r="I31" s="48">
        <f t="shared" si="4"/>
        <v>45</v>
      </c>
      <c r="K31" s="13"/>
      <c r="L31" s="10"/>
      <c r="M31" s="10"/>
      <c r="N31" s="9"/>
    </row>
    <row r="32">
      <c r="A32" s="1"/>
      <c r="B32" s="46" t="str">
        <f>'Players&gt;List'!$B31</f>
        <v>[WHA]</v>
      </c>
      <c r="C32" s="47">
        <f t="shared" si="1"/>
        <v>0</v>
      </c>
      <c r="E32" s="47">
        <f t="shared" si="2"/>
        <v>0</v>
      </c>
      <c r="G32" s="47">
        <f t="shared" si="3"/>
        <v>1</v>
      </c>
      <c r="I32" s="48">
        <f t="shared" si="4"/>
        <v>1</v>
      </c>
      <c r="K32" s="13"/>
      <c r="L32" s="10"/>
      <c r="M32" s="10"/>
      <c r="N32" s="9"/>
    </row>
    <row r="33">
      <c r="A33" s="1"/>
      <c r="B33" s="46" t="str">
        <f>'Players&gt;List'!$B32</f>
        <v>[XEL]</v>
      </c>
      <c r="C33" s="47">
        <f t="shared" si="1"/>
        <v>58</v>
      </c>
      <c r="E33" s="47">
        <f t="shared" si="2"/>
        <v>0</v>
      </c>
      <c r="G33" s="47">
        <f t="shared" si="3"/>
        <v>20</v>
      </c>
      <c r="I33" s="48">
        <f t="shared" si="4"/>
        <v>78</v>
      </c>
      <c r="K33" s="13"/>
      <c r="L33" s="10"/>
      <c r="M33" s="10"/>
      <c r="N33" s="9"/>
    </row>
    <row r="34">
      <c r="A34" s="1"/>
      <c r="B34" s="45" t="s">
        <v>5566</v>
      </c>
      <c r="C34" s="48">
        <f>SUM(C9:C33)</f>
        <v>3582</v>
      </c>
      <c r="E34" s="48">
        <f>SUM(E9:E33)</f>
        <v>15</v>
      </c>
      <c r="G34" s="48">
        <f>SUM(G9:G33)</f>
        <v>1153</v>
      </c>
      <c r="I34" s="50">
        <f t="shared" si="4"/>
        <v>4750</v>
      </c>
      <c r="K34" s="13"/>
      <c r="L34" s="10"/>
      <c r="M34" s="10"/>
      <c r="N34" s="9"/>
    </row>
    <row r="35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9"/>
    </row>
    <row r="36">
      <c r="A36" s="1"/>
      <c r="B36" s="10" t="s">
        <v>5562</v>
      </c>
      <c r="K36" s="10"/>
      <c r="L36" s="10"/>
      <c r="M36" s="10"/>
      <c r="N36" s="9"/>
    </row>
    <row r="37">
      <c r="A37" s="1"/>
      <c r="K37" s="10"/>
      <c r="L37" s="10"/>
      <c r="M37" s="10"/>
      <c r="N37" s="9"/>
    </row>
    <row r="38">
      <c r="A38" s="1"/>
      <c r="B38" s="51"/>
      <c r="C38" s="52" t="s">
        <v>5667</v>
      </c>
      <c r="H38" s="6"/>
      <c r="I38" s="52" t="s">
        <v>5669</v>
      </c>
      <c r="K38" s="9"/>
      <c r="L38" s="9"/>
      <c r="M38" s="9"/>
      <c r="N38" s="9"/>
    </row>
    <row r="39">
      <c r="A39" s="1"/>
      <c r="B39" s="9"/>
      <c r="C39" s="9" t="s">
        <v>2</v>
      </c>
      <c r="D39" s="9" t="s">
        <v>3</v>
      </c>
      <c r="E39" s="9" t="s">
        <v>5671</v>
      </c>
      <c r="F39" s="9" t="s">
        <v>5</v>
      </c>
      <c r="G39" s="53" t="s">
        <v>6</v>
      </c>
      <c r="H39" s="53" t="s">
        <v>7</v>
      </c>
      <c r="I39" s="53" t="s">
        <v>3</v>
      </c>
      <c r="J39" s="53" t="s">
        <v>5671</v>
      </c>
      <c r="K39" s="45" t="s">
        <v>5566</v>
      </c>
      <c r="L39" s="9"/>
      <c r="M39" s="9"/>
      <c r="N39" s="9"/>
    </row>
    <row r="40">
      <c r="A40" s="1"/>
      <c r="B40" s="46" t="str">
        <f>'Players&gt;List'!$B8</f>
        <v>[ABA]</v>
      </c>
      <c r="C40" s="47">
        <f>COUNTIF('Solo&gt;Levels&gt;Intro'!$A:$N, $B40)</f>
        <v>0</v>
      </c>
      <c r="D40" s="47">
        <f>COUNTIF('Solo&gt;Levels&gt;N++'!$A:$P, $B40)</f>
        <v>12</v>
      </c>
      <c r="E40" s="47">
        <f>COUNTIF('Solo&gt;Levels&gt;Ultimate'!$A:$N, $B40)</f>
        <v>39</v>
      </c>
      <c r="F40" s="47">
        <f>COUNTIF('Solo&gt;Levels&gt;Legacy'!$A:$N, $B40)</f>
        <v>0</v>
      </c>
      <c r="G40" s="47">
        <f>COUNTIF('Solo&gt;Levels&gt;'!$A:$N, $B40)</f>
        <v>13</v>
      </c>
      <c r="H40" s="47">
        <f>COUNTIF('Solo&gt;Levels&gt;!'!$A:$N, $B40)</f>
        <v>4</v>
      </c>
      <c r="I40" s="47">
        <f>COUNTIF('Solo&gt;Episodes&gt;N++'!$A:$N, $B40)</f>
        <v>0</v>
      </c>
      <c r="J40" s="47">
        <f>COUNTIF('Solo&gt;Episodes&gt;Ultimate'!$A:$N, $B40)</f>
        <v>0</v>
      </c>
      <c r="K40" s="48">
        <f t="shared" ref="K40:K65" si="5">SUM(C40:J40)</f>
        <v>68</v>
      </c>
      <c r="L40" s="9"/>
      <c r="M40" s="9"/>
      <c r="N40" s="9"/>
    </row>
    <row r="41">
      <c r="A41" s="1"/>
      <c r="B41" s="46" t="str">
        <f>'Players&gt;List'!$B9</f>
        <v>[AWE]</v>
      </c>
      <c r="C41" s="47">
        <f>COUNTIF('Solo&gt;Levels&gt;Intro'!$A:$N, $B41)</f>
        <v>0</v>
      </c>
      <c r="D41" s="47">
        <f>COUNTIF('Solo&gt;Levels&gt;N++'!$A:$P, $B41)</f>
        <v>27</v>
      </c>
      <c r="E41" s="47">
        <f>COUNTIF('Solo&gt;Levels&gt;Ultimate'!$A:$N, $B41)</f>
        <v>0</v>
      </c>
      <c r="F41" s="47">
        <f>COUNTIF('Solo&gt;Levels&gt;Legacy'!$A:$N, $B41)</f>
        <v>1</v>
      </c>
      <c r="G41" s="47">
        <f>COUNTIF('Solo&gt;Levels&gt;'!$A:$N, $B41)</f>
        <v>0</v>
      </c>
      <c r="H41" s="47">
        <f>COUNTIF('Solo&gt;Levels&gt;!'!$A:$N, $B41)</f>
        <v>0</v>
      </c>
      <c r="I41" s="47">
        <f>COUNTIF('Solo&gt;Episodes&gt;N++'!$A:$N, $B41)</f>
        <v>0</v>
      </c>
      <c r="J41" s="47">
        <f>COUNTIF('Solo&gt;Episodes&gt;Ultimate'!$A:$N, $B41)</f>
        <v>0</v>
      </c>
      <c r="K41" s="48">
        <f t="shared" si="5"/>
        <v>28</v>
      </c>
      <c r="L41" s="9"/>
      <c r="M41" s="9"/>
      <c r="N41" s="9"/>
    </row>
    <row r="42">
      <c r="A42" s="1"/>
      <c r="B42" s="46" t="str">
        <f>'Players&gt;List'!$B10</f>
        <v>[CAM]</v>
      </c>
      <c r="C42" s="47">
        <f>COUNTIF('Solo&gt;Levels&gt;Intro'!$A:$N, $B42)</f>
        <v>0</v>
      </c>
      <c r="D42" s="47">
        <f>COUNTIF('Solo&gt;Levels&gt;N++'!$A:$P, $B42)</f>
        <v>24</v>
      </c>
      <c r="E42" s="47">
        <f>COUNTIF('Solo&gt;Levels&gt;Ultimate'!$A:$N, $B42)</f>
        <v>601</v>
      </c>
      <c r="F42" s="47">
        <f>COUNTIF('Solo&gt;Levels&gt;Legacy'!$A:$N, $B42)</f>
        <v>1</v>
      </c>
      <c r="G42" s="47">
        <f>COUNTIF('Solo&gt;Levels&gt;'!$A:$N, $B42)</f>
        <v>0</v>
      </c>
      <c r="H42" s="47">
        <f>COUNTIF('Solo&gt;Levels&gt;!'!$A:$N, $B42)</f>
        <v>0</v>
      </c>
      <c r="I42" s="47">
        <f>COUNTIF('Solo&gt;Episodes&gt;N++'!$A:$N, $B42)</f>
        <v>0</v>
      </c>
      <c r="J42" s="47">
        <f>COUNTIF('Solo&gt;Episodes&gt;Ultimate'!$A:$N, $B42)</f>
        <v>0</v>
      </c>
      <c r="K42" s="48">
        <f t="shared" si="5"/>
        <v>626</v>
      </c>
      <c r="L42" s="9"/>
      <c r="M42" s="9"/>
      <c r="N42" s="9"/>
    </row>
    <row r="43">
      <c r="A43" s="1"/>
      <c r="B43" s="46" t="str">
        <f>'Players&gt;List'!$B11</f>
        <v>[CHB]</v>
      </c>
      <c r="C43" s="47">
        <f>COUNTIF('Solo&gt;Levels&gt;Intro'!$A:$N, $B43)</f>
        <v>0</v>
      </c>
      <c r="D43" s="47">
        <f>COUNTIF('Solo&gt;Levels&gt;N++'!$A:$P, $B43)</f>
        <v>4</v>
      </c>
      <c r="E43" s="47">
        <f>COUNTIF('Solo&gt;Levels&gt;Ultimate'!$A:$N, $B43)</f>
        <v>7</v>
      </c>
      <c r="F43" s="47">
        <f>COUNTIF('Solo&gt;Levels&gt;Legacy'!$A:$N, $B43)</f>
        <v>0</v>
      </c>
      <c r="G43" s="47">
        <f>COUNTIF('Solo&gt;Levels&gt;'!$A:$N, $B43)</f>
        <v>351</v>
      </c>
      <c r="H43" s="47">
        <f>COUNTIF('Solo&gt;Levels&gt;!'!$A:$N, $B43)</f>
        <v>182</v>
      </c>
      <c r="I43" s="47">
        <f>COUNTIF('Solo&gt;Episodes&gt;N++'!$A:$N, $B43)</f>
        <v>0</v>
      </c>
      <c r="J43" s="47">
        <f>COUNTIF('Solo&gt;Episodes&gt;Ultimate'!$A:$N, $B43)</f>
        <v>0</v>
      </c>
      <c r="K43" s="48">
        <f t="shared" si="5"/>
        <v>544</v>
      </c>
      <c r="L43" s="9"/>
      <c r="M43" s="9"/>
      <c r="N43" s="9"/>
    </row>
    <row r="44">
      <c r="A44" s="1"/>
      <c r="B44" s="46" t="str">
        <f>'Players&gt;List'!$B12</f>
        <v>[EKI]</v>
      </c>
      <c r="C44" s="47">
        <f>COUNTIF('Solo&gt;Levels&gt;Intro'!$A:$N, $B44)</f>
        <v>0</v>
      </c>
      <c r="D44" s="47">
        <f>COUNTIF('Solo&gt;Levels&gt;N++'!$A:$P, $B44)</f>
        <v>1</v>
      </c>
      <c r="E44" s="47">
        <f>COUNTIF('Solo&gt;Levels&gt;Ultimate'!$A:$N, $B44)</f>
        <v>2</v>
      </c>
      <c r="F44" s="47">
        <f>COUNTIF('Solo&gt;Levels&gt;Legacy'!$A:$N, $B44)</f>
        <v>0</v>
      </c>
      <c r="G44" s="47">
        <f>COUNTIF('Solo&gt;Levels&gt;'!$A:$N, $B44)</f>
        <v>0</v>
      </c>
      <c r="H44" s="47">
        <f>COUNTIF('Solo&gt;Levels&gt;!'!$A:$N, $B44)</f>
        <v>1</v>
      </c>
      <c r="I44" s="47">
        <f>COUNTIF('Solo&gt;Episodes&gt;N++'!$A:$N, $B44)</f>
        <v>0</v>
      </c>
      <c r="J44" s="47">
        <f>COUNTIF('Solo&gt;Episodes&gt;Ultimate'!$A:$N, $B44)</f>
        <v>0</v>
      </c>
      <c r="K44" s="48">
        <f t="shared" si="5"/>
        <v>4</v>
      </c>
      <c r="L44" s="9"/>
      <c r="M44" s="9"/>
      <c r="N44" s="9"/>
    </row>
    <row r="45">
      <c r="A45" s="1"/>
      <c r="B45" s="46" t="str">
        <f>'Players&gt;List'!$B13</f>
        <v>[ES2]</v>
      </c>
      <c r="C45" s="47">
        <f>COUNTIF('Solo&gt;Levels&gt;Intro'!$A:$N, $B45)</f>
        <v>0</v>
      </c>
      <c r="D45" s="47">
        <f>COUNTIF('Solo&gt;Levels&gt;N++'!$A:$P, $B45)</f>
        <v>0</v>
      </c>
      <c r="E45" s="47">
        <f>COUNTIF('Solo&gt;Levels&gt;Ultimate'!$A:$N, $B45)</f>
        <v>0</v>
      </c>
      <c r="F45" s="47">
        <f>COUNTIF('Solo&gt;Levels&gt;Legacy'!$A:$N, $B45)</f>
        <v>0</v>
      </c>
      <c r="G45" s="47">
        <f>COUNTIF('Solo&gt;Levels&gt;'!$A:$N, $B45)</f>
        <v>0</v>
      </c>
      <c r="H45" s="47">
        <f>COUNTIF('Solo&gt;Levels&gt;!'!$A:$N, $B45)</f>
        <v>0</v>
      </c>
      <c r="I45" s="47">
        <f>COUNTIF('Solo&gt;Episodes&gt;N++'!$A:$N, $B45)</f>
        <v>0</v>
      </c>
      <c r="J45" s="47">
        <f>COUNTIF('Solo&gt;Episodes&gt;Ultimate'!$A:$N, $B45)</f>
        <v>0</v>
      </c>
      <c r="K45" s="48">
        <f t="shared" si="5"/>
        <v>0</v>
      </c>
      <c r="L45" s="9"/>
      <c r="M45" s="9"/>
      <c r="N45" s="9"/>
    </row>
    <row r="46">
      <c r="A46" s="1"/>
      <c r="B46" s="46" t="str">
        <f>'Players&gt;List'!$B14</f>
        <v>[ESP]</v>
      </c>
      <c r="C46" s="47">
        <f>COUNTIF('Solo&gt;Levels&gt;Intro'!$A:$N, $B46)</f>
        <v>0</v>
      </c>
      <c r="D46" s="47">
        <f>COUNTIF('Solo&gt;Levels&gt;N++'!$A:$P, $B46)</f>
        <v>10</v>
      </c>
      <c r="E46" s="47">
        <f>COUNTIF('Solo&gt;Levels&gt;Ultimate'!$A:$N, $B46)</f>
        <v>5</v>
      </c>
      <c r="F46" s="47">
        <f>COUNTIF('Solo&gt;Levels&gt;Legacy'!$A:$N, $B46)</f>
        <v>1</v>
      </c>
      <c r="G46" s="47">
        <f>COUNTIF('Solo&gt;Levels&gt;'!$A:$N, $B46)</f>
        <v>4</v>
      </c>
      <c r="H46" s="47">
        <f>COUNTIF('Solo&gt;Levels&gt;!'!$A:$N, $B46)</f>
        <v>12</v>
      </c>
      <c r="I46" s="47">
        <f>COUNTIF('Solo&gt;Episodes&gt;N++'!$A:$N, $B46)</f>
        <v>0</v>
      </c>
      <c r="J46" s="47">
        <f>COUNTIF('Solo&gt;Episodes&gt;Ultimate'!$A:$N, $B46)</f>
        <v>0</v>
      </c>
      <c r="K46" s="48">
        <f t="shared" si="5"/>
        <v>32</v>
      </c>
      <c r="L46" s="9"/>
      <c r="M46" s="9"/>
      <c r="N46" s="9"/>
    </row>
    <row r="47">
      <c r="A47" s="1"/>
      <c r="B47" s="46" t="str">
        <f>'Players&gt;List'!$B15</f>
        <v>[FNY]</v>
      </c>
      <c r="C47" s="47">
        <f>COUNTIF('Solo&gt;Levels&gt;Intro'!$A:$N, $B47)</f>
        <v>0</v>
      </c>
      <c r="D47" s="47">
        <f>COUNTIF('Solo&gt;Levels&gt;N++'!$A:$P, $B47)</f>
        <v>1</v>
      </c>
      <c r="E47" s="47">
        <f>COUNTIF('Solo&gt;Levels&gt;Ultimate'!$A:$N, $B47)</f>
        <v>39</v>
      </c>
      <c r="F47" s="47">
        <f>COUNTIF('Solo&gt;Levels&gt;Legacy'!$A:$N, $B47)</f>
        <v>0</v>
      </c>
      <c r="G47" s="47">
        <f>COUNTIF('Solo&gt;Levels&gt;'!$A:$N, $B47)</f>
        <v>10</v>
      </c>
      <c r="H47" s="47">
        <f>COUNTIF('Solo&gt;Levels&gt;!'!$A:$N, $B47)</f>
        <v>71</v>
      </c>
      <c r="I47" s="47">
        <f>COUNTIF('Solo&gt;Episodes&gt;N++'!$A:$N, $B47)</f>
        <v>0</v>
      </c>
      <c r="J47" s="47">
        <f>COUNTIF('Solo&gt;Episodes&gt;Ultimate'!$A:$N, $B47)</f>
        <v>0</v>
      </c>
      <c r="K47" s="48">
        <f t="shared" si="5"/>
        <v>121</v>
      </c>
      <c r="L47" s="9"/>
      <c r="M47" s="9"/>
      <c r="N47" s="9"/>
    </row>
    <row r="48">
      <c r="A48" s="1"/>
      <c r="B48" s="46" t="str">
        <f>'Players&gt;List'!$B16</f>
        <v>[GEA]</v>
      </c>
      <c r="C48" s="47">
        <f>COUNTIF('Solo&gt;Levels&gt;Intro'!$A:$N, $B48)</f>
        <v>0</v>
      </c>
      <c r="D48" s="47">
        <f>COUNTIF('Solo&gt;Levels&gt;N++'!$A:$P, $B48)</f>
        <v>13</v>
      </c>
      <c r="E48" s="47">
        <f>COUNTIF('Solo&gt;Levels&gt;Ultimate'!$A:$N, $B48)</f>
        <v>342</v>
      </c>
      <c r="F48" s="47">
        <f>COUNTIF('Solo&gt;Levels&gt;Legacy'!$A:$N, $B48)</f>
        <v>1</v>
      </c>
      <c r="G48" s="47">
        <f>COUNTIF('Solo&gt;Levels&gt;'!$A:$N, $B48)</f>
        <v>15</v>
      </c>
      <c r="H48" s="47">
        <f>COUNTIF('Solo&gt;Levels&gt;!'!$A:$N, $B48)</f>
        <v>0</v>
      </c>
      <c r="I48" s="47">
        <f>COUNTIF('Solo&gt;Episodes&gt;N++'!$A:$N, $B48)</f>
        <v>0</v>
      </c>
      <c r="J48" s="47">
        <f>COUNTIF('Solo&gt;Episodes&gt;Ultimate'!$A:$N, $B48)</f>
        <v>28</v>
      </c>
      <c r="K48" s="48">
        <f t="shared" si="5"/>
        <v>399</v>
      </c>
      <c r="L48" s="9"/>
      <c r="M48" s="9"/>
      <c r="N48" s="9"/>
    </row>
    <row r="49">
      <c r="A49" s="1"/>
      <c r="B49" s="46" t="str">
        <f>'Players&gt;List'!$B17</f>
        <v>[GOL]</v>
      </c>
      <c r="C49" s="47">
        <f>COUNTIF('Solo&gt;Levels&gt;Intro'!$A:$N, $B49)</f>
        <v>0</v>
      </c>
      <c r="D49" s="47">
        <f>COUNTIF('Solo&gt;Levels&gt;N++'!$A:$P, $B49)</f>
        <v>18</v>
      </c>
      <c r="E49" s="47">
        <f>COUNTIF('Solo&gt;Levels&gt;Ultimate'!$A:$N, $B49)</f>
        <v>5</v>
      </c>
      <c r="F49" s="47">
        <f>COUNTIF('Solo&gt;Levels&gt;Legacy'!$A:$N, $B49)</f>
        <v>1</v>
      </c>
      <c r="G49" s="47">
        <f>COUNTIF('Solo&gt;Levels&gt;'!$A:$N, $B49)</f>
        <v>3</v>
      </c>
      <c r="H49" s="47">
        <f>COUNTIF('Solo&gt;Levels&gt;!'!$A:$N, $B49)</f>
        <v>0</v>
      </c>
      <c r="I49" s="47">
        <f>COUNTIF('Solo&gt;Episodes&gt;N++'!$A:$N, $B49)</f>
        <v>1</v>
      </c>
      <c r="J49" s="47">
        <f>COUNTIF('Solo&gt;Episodes&gt;Ultimate'!$A:$N, $B49)</f>
        <v>0</v>
      </c>
      <c r="K49" s="48">
        <f t="shared" si="5"/>
        <v>28</v>
      </c>
      <c r="L49" s="9"/>
      <c r="M49" s="9"/>
      <c r="N49" s="9"/>
    </row>
    <row r="50">
      <c r="A50" s="1"/>
      <c r="B50" s="46" t="str">
        <f>'Players&gt;List'!$B18</f>
        <v>[HGB]</v>
      </c>
      <c r="C50" s="47">
        <f>COUNTIF('Solo&gt;Levels&gt;Intro'!$A:$N, $B50)</f>
        <v>0</v>
      </c>
      <c r="D50" s="47">
        <f>COUNTIF('Solo&gt;Levels&gt;N++'!$A:$P, $B50)</f>
        <v>133</v>
      </c>
      <c r="E50" s="47">
        <f>COUNTIF('Solo&gt;Levels&gt;Ultimate'!$A:$N, $B50)</f>
        <v>34</v>
      </c>
      <c r="F50" s="47">
        <f>COUNTIF('Solo&gt;Levels&gt;Legacy'!$A:$N, $B50)</f>
        <v>11</v>
      </c>
      <c r="G50" s="47">
        <f>COUNTIF('Solo&gt;Levels&gt;'!$A:$N, $B50)</f>
        <v>58</v>
      </c>
      <c r="H50" s="47">
        <f>COUNTIF('Solo&gt;Levels&gt;!'!$A:$N, $B50)</f>
        <v>1</v>
      </c>
      <c r="I50" s="47">
        <f>COUNTIF('Solo&gt;Episodes&gt;N++'!$A:$N, $B50)</f>
        <v>3</v>
      </c>
      <c r="J50" s="47">
        <f>COUNTIF('Solo&gt;Episodes&gt;Ultimate'!$A:$N, $B50)</f>
        <v>0</v>
      </c>
      <c r="K50" s="48">
        <f t="shared" si="5"/>
        <v>240</v>
      </c>
      <c r="L50" s="9"/>
      <c r="M50" s="9"/>
      <c r="N50" s="9"/>
    </row>
    <row r="51">
      <c r="A51" s="1"/>
      <c r="B51" s="46" t="str">
        <f>'Players&gt;List'!$B19</f>
        <v>[HIT]</v>
      </c>
      <c r="C51" s="47">
        <f>COUNTIF('Solo&gt;Levels&gt;Intro'!$A:$N, $B51)</f>
        <v>0</v>
      </c>
      <c r="D51" s="47">
        <f>COUNTIF('Solo&gt;Levels&gt;N++'!$A:$P, $B51)</f>
        <v>55</v>
      </c>
      <c r="E51" s="47">
        <f>COUNTIF('Solo&gt;Levels&gt;Ultimate'!$A:$N, $B51)</f>
        <v>71</v>
      </c>
      <c r="F51" s="47">
        <f>COUNTIF('Solo&gt;Levels&gt;Legacy'!$A:$N, $B51)</f>
        <v>5</v>
      </c>
      <c r="G51" s="47">
        <f>COUNTIF('Solo&gt;Levels&gt;'!$A:$N, $B51)</f>
        <v>40</v>
      </c>
      <c r="H51" s="47">
        <f>COUNTIF('Solo&gt;Levels&gt;!'!$A:$N, $B51)</f>
        <v>95</v>
      </c>
      <c r="I51" s="47">
        <f>COUNTIF('Solo&gt;Episodes&gt;N++'!$A:$N, $B51)</f>
        <v>1</v>
      </c>
      <c r="J51" s="47">
        <f>COUNTIF('Solo&gt;Episodes&gt;Ultimate'!$A:$N, $B51)</f>
        <v>2</v>
      </c>
      <c r="K51" s="48">
        <f t="shared" si="5"/>
        <v>269</v>
      </c>
      <c r="L51" s="9"/>
      <c r="M51" s="9"/>
      <c r="N51" s="9"/>
    </row>
    <row r="52">
      <c r="A52" s="1"/>
      <c r="B52" s="46" t="str">
        <f>'Players&gt;List'!$B20</f>
        <v>[KOS]</v>
      </c>
      <c r="C52" s="47">
        <f>COUNTIF('Solo&gt;Levels&gt;Intro'!$A:$N, $B52)</f>
        <v>0</v>
      </c>
      <c r="D52" s="47">
        <f>COUNTIF('Solo&gt;Levels&gt;N++'!$A:$P, $B52)</f>
        <v>0</v>
      </c>
      <c r="E52" s="47">
        <f>COUNTIF('Solo&gt;Levels&gt;Ultimate'!$A:$N, $B52)</f>
        <v>2</v>
      </c>
      <c r="F52" s="47">
        <f>COUNTIF('Solo&gt;Levels&gt;Legacy'!$A:$N, $B52)</f>
        <v>0</v>
      </c>
      <c r="G52" s="47">
        <f>COUNTIF('Solo&gt;Levels&gt;'!$A:$N, $B52)</f>
        <v>0</v>
      </c>
      <c r="H52" s="47">
        <f>COUNTIF('Solo&gt;Levels&gt;!'!$A:$N, $B52)</f>
        <v>10</v>
      </c>
      <c r="I52" s="47">
        <f>COUNTIF('Solo&gt;Episodes&gt;N++'!$A:$N, $B52)</f>
        <v>0</v>
      </c>
      <c r="J52" s="47">
        <f>COUNTIF('Solo&gt;Episodes&gt;Ultimate'!$A:$N, $B52)</f>
        <v>0</v>
      </c>
      <c r="K52" s="48">
        <f t="shared" si="5"/>
        <v>12</v>
      </c>
      <c r="L52" s="9"/>
      <c r="M52" s="9"/>
      <c r="N52" s="9"/>
    </row>
    <row r="53">
      <c r="A53" s="1"/>
      <c r="B53" s="46" t="str">
        <f>'Players&gt;List'!$B21</f>
        <v>[MAE]</v>
      </c>
      <c r="C53" s="47">
        <f>COUNTIF('Solo&gt;Levels&gt;Intro'!$A:$N, $B53)</f>
        <v>0</v>
      </c>
      <c r="D53" s="47">
        <f>COUNTIF('Solo&gt;Levels&gt;N++'!$A:$P, $B53)</f>
        <v>2</v>
      </c>
      <c r="E53" s="47">
        <f>COUNTIF('Solo&gt;Levels&gt;Ultimate'!$A:$N, $B53)</f>
        <v>0</v>
      </c>
      <c r="F53" s="47">
        <f>COUNTIF('Solo&gt;Levels&gt;Legacy'!$A:$N, $B53)</f>
        <v>0</v>
      </c>
      <c r="G53" s="47">
        <f>COUNTIF('Solo&gt;Levels&gt;'!$A:$N, $B53)</f>
        <v>2</v>
      </c>
      <c r="H53" s="47">
        <f>COUNTIF('Solo&gt;Levels&gt;!'!$A:$N, $B53)</f>
        <v>0</v>
      </c>
      <c r="I53" s="47">
        <f>COUNTIF('Solo&gt;Episodes&gt;N++'!$A:$N, $B53)</f>
        <v>0</v>
      </c>
      <c r="J53" s="47">
        <f>COUNTIF('Solo&gt;Episodes&gt;Ultimate'!$A:$N, $B53)</f>
        <v>0</v>
      </c>
      <c r="K53" s="48">
        <f t="shared" si="5"/>
        <v>4</v>
      </c>
      <c r="L53" s="9"/>
      <c r="M53" s="9"/>
      <c r="N53" s="9"/>
    </row>
    <row r="54">
      <c r="A54" s="1"/>
      <c r="B54" s="46" t="str">
        <f>'Players&gt;List'!$B22</f>
        <v>[MAQ]</v>
      </c>
      <c r="C54" s="47">
        <f>COUNTIF('Solo&gt;Levels&gt;Intro'!$A:$N, $B54)</f>
        <v>0</v>
      </c>
      <c r="D54" s="47">
        <f>COUNTIF('Solo&gt;Levels&gt;N++'!$A:$P, $B54)</f>
        <v>1</v>
      </c>
      <c r="E54" s="47">
        <f>COUNTIF('Solo&gt;Levels&gt;Ultimate'!$A:$N, $B54)</f>
        <v>0</v>
      </c>
      <c r="F54" s="47">
        <f>COUNTIF('Solo&gt;Levels&gt;Legacy'!$A:$N, $B54)</f>
        <v>0</v>
      </c>
      <c r="G54" s="47">
        <f>COUNTIF('Solo&gt;Levels&gt;'!$A:$N, $B54)</f>
        <v>0</v>
      </c>
      <c r="H54" s="47">
        <f>COUNTIF('Solo&gt;Levels&gt;!'!$A:$N, $B54)</f>
        <v>0</v>
      </c>
      <c r="I54" s="47">
        <f>COUNTIF('Solo&gt;Episodes&gt;N++'!$A:$N, $B54)</f>
        <v>0</v>
      </c>
      <c r="J54" s="47">
        <f>COUNTIF('Solo&gt;Episodes&gt;Ultimate'!$A:$N, $B54)</f>
        <v>0</v>
      </c>
      <c r="K54" s="48">
        <f t="shared" si="5"/>
        <v>1</v>
      </c>
      <c r="L54" s="9"/>
      <c r="M54" s="9"/>
      <c r="N54" s="9"/>
    </row>
    <row r="55">
      <c r="A55" s="1"/>
      <c r="B55" s="46" t="str">
        <f>'Players&gt;List'!$B23</f>
        <v>[MOL]</v>
      </c>
      <c r="C55" s="47">
        <f>COUNTIF('Solo&gt;Levels&gt;Intro'!$A:$N, $B55)</f>
        <v>0</v>
      </c>
      <c r="D55" s="47">
        <f>COUNTIF('Solo&gt;Levels&gt;N++'!$A:$P, $B55)</f>
        <v>30</v>
      </c>
      <c r="E55" s="47">
        <f>COUNTIF('Solo&gt;Levels&gt;Ultimate'!$A:$N, $B55)</f>
        <v>5</v>
      </c>
      <c r="F55" s="47">
        <f>COUNTIF('Solo&gt;Levels&gt;Legacy'!$A:$N, $B55)</f>
        <v>0</v>
      </c>
      <c r="G55" s="47">
        <f>COUNTIF('Solo&gt;Levels&gt;'!$A:$N, $B55)</f>
        <v>17</v>
      </c>
      <c r="H55" s="47">
        <f>COUNTIF('Solo&gt;Levels&gt;!'!$A:$N, $B55)</f>
        <v>6</v>
      </c>
      <c r="I55" s="47">
        <f>COUNTIF('Solo&gt;Episodes&gt;N++'!$A:$N, $B55)</f>
        <v>0</v>
      </c>
      <c r="J55" s="47">
        <f>COUNTIF('Solo&gt;Episodes&gt;Ultimate'!$A:$N, $B55)</f>
        <v>0</v>
      </c>
      <c r="K55" s="48">
        <f t="shared" si="5"/>
        <v>58</v>
      </c>
      <c r="L55" s="9"/>
      <c r="M55" s="9"/>
      <c r="N55" s="9"/>
    </row>
    <row r="56">
      <c r="A56" s="1"/>
      <c r="B56" s="46" t="str">
        <f>'Players&gt;List'!$B24</f>
        <v>[NIM]</v>
      </c>
      <c r="C56" s="47">
        <f>COUNTIF('Solo&gt;Levels&gt;Intro'!$A:$N, $B56)</f>
        <v>0</v>
      </c>
      <c r="D56" s="47">
        <f>COUNTIF('Solo&gt;Levels&gt;N++'!$A:$P, $B56)</f>
        <v>94</v>
      </c>
      <c r="E56" s="47">
        <f>COUNTIF('Solo&gt;Levels&gt;Ultimate'!$A:$N, $B56)</f>
        <v>34</v>
      </c>
      <c r="F56" s="47">
        <f>COUNTIF('Solo&gt;Levels&gt;Legacy'!$A:$N, $B56)</f>
        <v>0</v>
      </c>
      <c r="G56" s="47">
        <f>COUNTIF('Solo&gt;Levels&gt;'!$A:$N, $B56)</f>
        <v>11</v>
      </c>
      <c r="H56" s="47">
        <f>COUNTIF('Solo&gt;Levels&gt;!'!$A:$N, $B56)</f>
        <v>1</v>
      </c>
      <c r="I56" s="47">
        <f>COUNTIF('Solo&gt;Episodes&gt;N++'!$A:$N, $B56)</f>
        <v>1</v>
      </c>
      <c r="J56" s="47">
        <f>COUNTIF('Solo&gt;Episodes&gt;Ultimate'!$A:$N, $B56)</f>
        <v>0</v>
      </c>
      <c r="K56" s="48">
        <f t="shared" si="5"/>
        <v>141</v>
      </c>
      <c r="L56" s="9"/>
      <c r="M56" s="9"/>
      <c r="N56" s="9"/>
    </row>
    <row r="57">
      <c r="A57" s="1"/>
      <c r="B57" s="46" t="str">
        <f>'Players&gt;List'!$B25</f>
        <v>[PBR]</v>
      </c>
      <c r="C57" s="47">
        <f>COUNTIF('Solo&gt;Levels&gt;Intro'!$A:$N, $B57)</f>
        <v>0</v>
      </c>
      <c r="D57" s="47">
        <f>COUNTIF('Solo&gt;Levels&gt;N++'!$A:$P, $B57)</f>
        <v>7</v>
      </c>
      <c r="E57" s="47">
        <f>COUNTIF('Solo&gt;Levels&gt;Ultimate'!$A:$N, $B57)</f>
        <v>0</v>
      </c>
      <c r="F57" s="47">
        <f>COUNTIF('Solo&gt;Levels&gt;Legacy'!$A:$N, $B57)</f>
        <v>0</v>
      </c>
      <c r="G57" s="47">
        <f>COUNTIF('Solo&gt;Levels&gt;'!$A:$N, $B57)</f>
        <v>0</v>
      </c>
      <c r="H57" s="47">
        <f>COUNTIF('Solo&gt;Levels&gt;!'!$A:$N, $B57)</f>
        <v>1</v>
      </c>
      <c r="I57" s="47">
        <f>COUNTIF('Solo&gt;Episodes&gt;N++'!$A:$N, $B57)</f>
        <v>0</v>
      </c>
      <c r="J57" s="47">
        <f>COUNTIF('Solo&gt;Episodes&gt;Ultimate'!$A:$N, $B57)</f>
        <v>0</v>
      </c>
      <c r="K57" s="48">
        <f t="shared" si="5"/>
        <v>8</v>
      </c>
      <c r="L57" s="9"/>
      <c r="M57" s="9"/>
      <c r="N57" s="9"/>
    </row>
    <row r="58">
      <c r="A58" s="1"/>
      <c r="B58" s="46" t="str">
        <f>'Players&gt;List'!$B26</f>
        <v>[SCO]</v>
      </c>
      <c r="C58" s="47">
        <f>COUNTIF('Solo&gt;Levels&gt;Intro'!$A:$N, $B58)</f>
        <v>2</v>
      </c>
      <c r="D58" s="47">
        <f>COUNTIF('Solo&gt;Levels&gt;N++'!$A:$P, $B58)</f>
        <v>163</v>
      </c>
      <c r="E58" s="47">
        <f>COUNTIF('Solo&gt;Levels&gt;Ultimate'!$A:$N, $B58)</f>
        <v>0</v>
      </c>
      <c r="F58" s="47">
        <f>COUNTIF('Solo&gt;Levels&gt;Legacy'!$A:$N, $B58)</f>
        <v>0</v>
      </c>
      <c r="G58" s="47">
        <f>COUNTIF('Solo&gt;Levels&gt;'!$A:$N, $B58)</f>
        <v>2</v>
      </c>
      <c r="H58" s="47">
        <f>COUNTIF('Solo&gt;Levels&gt;!'!$A:$N, $B58)</f>
        <v>0</v>
      </c>
      <c r="I58" s="47">
        <f>COUNTIF('Solo&gt;Episodes&gt;N++'!$A:$N, $B58)</f>
        <v>0</v>
      </c>
      <c r="J58" s="47">
        <f>COUNTIF('Solo&gt;Episodes&gt;Ultimate'!$A:$N, $B58)</f>
        <v>0</v>
      </c>
      <c r="K58" s="48">
        <f t="shared" si="5"/>
        <v>167</v>
      </c>
      <c r="L58" s="9"/>
      <c r="M58" s="9"/>
      <c r="N58" s="9"/>
    </row>
    <row r="59">
      <c r="A59" s="1"/>
      <c r="B59" s="46" t="str">
        <f>'Players&gt;List'!$B27</f>
        <v>[SKY]</v>
      </c>
      <c r="C59" s="47">
        <f>COUNTIF('Solo&gt;Levels&gt;Intro'!$A:$N, $B59)</f>
        <v>0</v>
      </c>
      <c r="D59" s="47">
        <f>COUNTIF('Solo&gt;Levels&gt;N++'!$A:$P, $B59)</f>
        <v>5</v>
      </c>
      <c r="E59" s="47">
        <f>COUNTIF('Solo&gt;Levels&gt;Ultimate'!$A:$N, $B59)</f>
        <v>0</v>
      </c>
      <c r="F59" s="47">
        <f>COUNTIF('Solo&gt;Levels&gt;Legacy'!$A:$N, $B59)</f>
        <v>0</v>
      </c>
      <c r="G59" s="47">
        <f>COUNTIF('Solo&gt;Levels&gt;'!$A:$N, $B59)</f>
        <v>0</v>
      </c>
      <c r="H59" s="47">
        <f>COUNTIF('Solo&gt;Levels&gt;!'!$A:$N, $B59)</f>
        <v>0</v>
      </c>
      <c r="I59" s="47">
        <f>COUNTIF('Solo&gt;Episodes&gt;N++'!$A:$N, $B59)</f>
        <v>0</v>
      </c>
      <c r="J59" s="47">
        <f>COUNTIF('Solo&gt;Episodes&gt;Ultimate'!$A:$N, $B59)</f>
        <v>0</v>
      </c>
      <c r="K59" s="48">
        <f t="shared" si="5"/>
        <v>5</v>
      </c>
      <c r="L59" s="9"/>
      <c r="M59" s="9"/>
      <c r="N59" s="9"/>
    </row>
    <row r="60">
      <c r="A60" s="1"/>
      <c r="B60" s="46" t="str">
        <f>'Players&gt;List'!$B28</f>
        <v>[SUN]</v>
      </c>
      <c r="C60" s="47">
        <f>COUNTIF('Solo&gt;Levels&gt;Intro'!$A:$N, $B60)</f>
        <v>1</v>
      </c>
      <c r="D60" s="47">
        <f>COUNTIF('Solo&gt;Levels&gt;N++'!$A:$P, $B60)</f>
        <v>91</v>
      </c>
      <c r="E60" s="47">
        <f>COUNTIF('Solo&gt;Levels&gt;Ultimate'!$A:$N, $B60)</f>
        <v>66</v>
      </c>
      <c r="F60" s="47">
        <f>COUNTIF('Solo&gt;Levels&gt;Legacy'!$A:$N, $B60)</f>
        <v>1</v>
      </c>
      <c r="G60" s="47">
        <f>COUNTIF('Solo&gt;Levels&gt;'!$A:$N, $B60)</f>
        <v>41</v>
      </c>
      <c r="H60" s="47">
        <f>COUNTIF('Solo&gt;Levels&gt;!'!$A:$N, $B60)</f>
        <v>23</v>
      </c>
      <c r="I60" s="47">
        <f>COUNTIF('Solo&gt;Episodes&gt;N++'!$A:$N, $B60)</f>
        <v>0</v>
      </c>
      <c r="J60" s="47">
        <f>COUNTIF('Solo&gt;Episodes&gt;Ultimate'!$A:$N, $B60)</f>
        <v>0</v>
      </c>
      <c r="K60" s="48">
        <f t="shared" si="5"/>
        <v>223</v>
      </c>
      <c r="L60" s="9"/>
      <c r="M60" s="9"/>
      <c r="N60" s="9"/>
    </row>
    <row r="61">
      <c r="A61" s="1"/>
      <c r="B61" s="46" t="str">
        <f>'Players&gt;List'!$B29</f>
        <v>[SYS]</v>
      </c>
      <c r="C61" s="47">
        <f>COUNTIF('Solo&gt;Levels&gt;Intro'!$A:$N, $B61)</f>
        <v>0</v>
      </c>
      <c r="D61" s="47">
        <f>COUNTIF('Solo&gt;Levels&gt;N++'!$A:$P, $B61)</f>
        <v>421</v>
      </c>
      <c r="E61" s="47">
        <f>COUNTIF('Solo&gt;Levels&gt;Ultimate'!$A:$N, $B61)</f>
        <v>85</v>
      </c>
      <c r="F61" s="47">
        <f>COUNTIF('Solo&gt;Levels&gt;Legacy'!$A:$N, $B61)</f>
        <v>0</v>
      </c>
      <c r="G61" s="47">
        <f>COUNTIF('Solo&gt;Levels&gt;'!$A:$N, $B61)</f>
        <v>0</v>
      </c>
      <c r="H61" s="47">
        <f>COUNTIF('Solo&gt;Levels&gt;!'!$A:$N, $B61)</f>
        <v>0</v>
      </c>
      <c r="I61" s="47">
        <f>COUNTIF('Solo&gt;Episodes&gt;N++'!$A:$N, $B61)</f>
        <v>0</v>
      </c>
      <c r="J61" s="47">
        <f>COUNTIF('Solo&gt;Episodes&gt;Ultimate'!$A:$N, $B61)</f>
        <v>0</v>
      </c>
      <c r="K61" s="48">
        <f t="shared" si="5"/>
        <v>506</v>
      </c>
      <c r="L61" s="9"/>
      <c r="M61" s="9"/>
      <c r="N61" s="9"/>
    </row>
    <row r="62">
      <c r="A62" s="1"/>
      <c r="B62" s="46" t="str">
        <f>'Players&gt;List'!$B30</f>
        <v>[TST]</v>
      </c>
      <c r="C62" s="47">
        <f>COUNTIF('Solo&gt;Levels&gt;Intro'!$A:$N, $B62)</f>
        <v>0</v>
      </c>
      <c r="D62" s="47">
        <f>COUNTIF('Solo&gt;Levels&gt;N++'!$A:$P, $B62)</f>
        <v>26</v>
      </c>
      <c r="E62" s="47">
        <f>COUNTIF('Solo&gt;Levels&gt;Ultimate'!$A:$N, $B62)</f>
        <v>0</v>
      </c>
      <c r="F62" s="47">
        <f>COUNTIF('Solo&gt;Levels&gt;Legacy'!$A:$N, $B62)</f>
        <v>0</v>
      </c>
      <c r="G62" s="47">
        <f>COUNTIF('Solo&gt;Levels&gt;'!$A:$N, $B62)</f>
        <v>6</v>
      </c>
      <c r="H62" s="47">
        <f>COUNTIF('Solo&gt;Levels&gt;!'!$A:$N, $B62)</f>
        <v>5</v>
      </c>
      <c r="I62" s="47">
        <f>COUNTIF('Solo&gt;Episodes&gt;N++'!$A:$N, $B62)</f>
        <v>3</v>
      </c>
      <c r="J62" s="47">
        <f>COUNTIF('Solo&gt;Episodes&gt;Ultimate'!$A:$N, $B62)</f>
        <v>0</v>
      </c>
      <c r="K62" s="48">
        <f t="shared" si="5"/>
        <v>40</v>
      </c>
      <c r="L62" s="9"/>
      <c r="M62" s="9"/>
      <c r="N62" s="9"/>
    </row>
    <row r="63">
      <c r="A63" s="1"/>
      <c r="B63" s="46" t="str">
        <f>'Players&gt;List'!$B31</f>
        <v>[WHA]</v>
      </c>
      <c r="C63" s="47">
        <f>COUNTIF('Solo&gt;Levels&gt;Intro'!$A:$N, $B63)</f>
        <v>0</v>
      </c>
      <c r="D63" s="47">
        <f>COUNTIF('Solo&gt;Levels&gt;N++'!$A:$P, $B63)</f>
        <v>0</v>
      </c>
      <c r="E63" s="47">
        <f>COUNTIF('Solo&gt;Levels&gt;Ultimate'!$A:$N, $B63)</f>
        <v>0</v>
      </c>
      <c r="F63" s="47">
        <f>COUNTIF('Solo&gt;Levels&gt;Legacy'!$A:$N, $B63)</f>
        <v>0</v>
      </c>
      <c r="G63" s="47">
        <f>COUNTIF('Solo&gt;Levels&gt;'!$A:$N, $B63)</f>
        <v>0</v>
      </c>
      <c r="H63" s="47">
        <f>COUNTIF('Solo&gt;Levels&gt;!'!$A:$N, $B63)</f>
        <v>0</v>
      </c>
      <c r="I63" s="47">
        <f>COUNTIF('Solo&gt;Episodes&gt;N++'!$A:$N, $B63)</f>
        <v>0</v>
      </c>
      <c r="J63" s="47">
        <f>COUNTIF('Solo&gt;Episodes&gt;Ultimate'!$A:$N, $B63)</f>
        <v>0</v>
      </c>
      <c r="K63" s="48">
        <f t="shared" si="5"/>
        <v>0</v>
      </c>
      <c r="L63" s="9"/>
      <c r="M63" s="9"/>
      <c r="N63" s="9"/>
    </row>
    <row r="64">
      <c r="A64" s="1"/>
      <c r="B64" s="46" t="str">
        <f>'Players&gt;List'!$B32</f>
        <v>[XEL]</v>
      </c>
      <c r="C64" s="47">
        <f>COUNTIF('Solo&gt;Levels&gt;Intro'!$A:$N, $B64)</f>
        <v>0</v>
      </c>
      <c r="D64" s="47">
        <f>COUNTIF('Solo&gt;Levels&gt;N++'!$A:$P, $B64)</f>
        <v>13</v>
      </c>
      <c r="E64" s="47">
        <f>COUNTIF('Solo&gt;Levels&gt;Ultimate'!$A:$N, $B64)</f>
        <v>32</v>
      </c>
      <c r="F64" s="47">
        <f>COUNTIF('Solo&gt;Levels&gt;Legacy'!$A:$N, $B64)</f>
        <v>0</v>
      </c>
      <c r="G64" s="47">
        <f>COUNTIF('Solo&gt;Levels&gt;'!$A:$N, $B64)</f>
        <v>10</v>
      </c>
      <c r="H64" s="47">
        <f>COUNTIF('Solo&gt;Levels&gt;!'!$A:$N, $B64)</f>
        <v>3</v>
      </c>
      <c r="I64" s="47">
        <f>COUNTIF('Solo&gt;Episodes&gt;N++'!$A:$N, $B64)</f>
        <v>0</v>
      </c>
      <c r="J64" s="47">
        <f>COUNTIF('Solo&gt;Episodes&gt;Ultimate'!$A:$N, $B64)</f>
        <v>0</v>
      </c>
      <c r="K64" s="48">
        <f t="shared" si="5"/>
        <v>58</v>
      </c>
      <c r="L64" s="9"/>
      <c r="M64" s="9"/>
      <c r="N64" s="9"/>
    </row>
    <row r="65">
      <c r="A65" s="1"/>
      <c r="B65" s="45" t="s">
        <v>5566</v>
      </c>
      <c r="C65" s="48">
        <f t="shared" ref="C65:J65" si="6">SUM(C40:C64)</f>
        <v>3</v>
      </c>
      <c r="D65" s="48">
        <f t="shared" si="6"/>
        <v>1151</v>
      </c>
      <c r="E65" s="48">
        <f t="shared" si="6"/>
        <v>1369</v>
      </c>
      <c r="F65" s="48">
        <f t="shared" si="6"/>
        <v>22</v>
      </c>
      <c r="G65" s="48">
        <f t="shared" si="6"/>
        <v>583</v>
      </c>
      <c r="H65" s="48">
        <f t="shared" si="6"/>
        <v>415</v>
      </c>
      <c r="I65" s="48">
        <f t="shared" si="6"/>
        <v>9</v>
      </c>
      <c r="J65" s="48">
        <f t="shared" si="6"/>
        <v>30</v>
      </c>
      <c r="K65" s="50">
        <f t="shared" si="5"/>
        <v>3582</v>
      </c>
      <c r="L65" s="9"/>
      <c r="M65" s="9"/>
      <c r="N65" s="9"/>
    </row>
    <row r="66">
      <c r="A66" s="1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>
      <c r="A67" s="1"/>
      <c r="B67" s="10" t="s">
        <v>26</v>
      </c>
      <c r="K67" s="10"/>
      <c r="L67" s="9"/>
      <c r="M67" s="9"/>
      <c r="N67" s="9"/>
    </row>
    <row r="68">
      <c r="A68" s="1"/>
      <c r="K68" s="10"/>
      <c r="L68" s="9"/>
      <c r="M68" s="9"/>
      <c r="N68" s="9"/>
    </row>
    <row r="69">
      <c r="A69" s="1"/>
      <c r="B69" s="9"/>
      <c r="C69" s="9" t="s">
        <v>2</v>
      </c>
      <c r="D69" s="9" t="s">
        <v>3</v>
      </c>
      <c r="E69" s="9" t="s">
        <v>5671</v>
      </c>
      <c r="F69" s="9" t="s">
        <v>5</v>
      </c>
      <c r="G69" s="1" t="s">
        <v>5566</v>
      </c>
      <c r="H69" s="9"/>
      <c r="I69" s="9"/>
      <c r="J69" s="9"/>
      <c r="K69" s="9"/>
      <c r="L69" s="9"/>
      <c r="M69" s="9"/>
      <c r="N69" s="9"/>
    </row>
    <row r="70">
      <c r="A70" s="1"/>
      <c r="B70" s="46" t="str">
        <f>'Players&gt;List'!$B8</f>
        <v>[ABA]</v>
      </c>
      <c r="C70" s="47">
        <f>COUNTIF('Hardcore&gt;Intro'!$A:$N, $B40)</f>
        <v>0</v>
      </c>
      <c r="D70" s="47">
        <f>COUNTIF('Hardcore&gt;N++'!$A:$N, $B40)</f>
        <v>0</v>
      </c>
      <c r="E70" s="47">
        <f>COUNTIF('Hardcore&gt;Ultimate'!$A:$N, $B40)</f>
        <v>0</v>
      </c>
      <c r="F70" s="47">
        <f>COUNTIF('Hardcore&gt;Legacy'!$A:$N, $B40)</f>
        <v>0</v>
      </c>
      <c r="G70" s="54">
        <f t="shared" ref="G70:G95" si="7">SUM(C70:F70)</f>
        <v>0</v>
      </c>
      <c r="H70" s="9"/>
      <c r="I70" s="9"/>
      <c r="J70" s="9"/>
      <c r="K70" s="9"/>
      <c r="L70" s="9"/>
      <c r="M70" s="9"/>
      <c r="N70" s="9"/>
    </row>
    <row r="71">
      <c r="A71" s="1"/>
      <c r="B71" s="46" t="str">
        <f>'Players&gt;List'!$B9</f>
        <v>[AWE]</v>
      </c>
      <c r="C71" s="47">
        <f>COUNTIF('Hardcore&gt;Intro'!$A:$N, $B41)</f>
        <v>0</v>
      </c>
      <c r="D71" s="47">
        <f>COUNTIF('Hardcore&gt;N++'!$A:$N, $B41)</f>
        <v>0</v>
      </c>
      <c r="E71" s="47">
        <f>COUNTIF('Hardcore&gt;Ultimate'!$A:$N, $B41)</f>
        <v>0</v>
      </c>
      <c r="F71" s="47">
        <f>COUNTIF('Hardcore&gt;Legacy'!$A:$N, $B41)</f>
        <v>0</v>
      </c>
      <c r="G71" s="54">
        <f t="shared" si="7"/>
        <v>0</v>
      </c>
      <c r="H71" s="9"/>
      <c r="I71" s="9"/>
      <c r="J71" s="9"/>
      <c r="K71" s="9"/>
      <c r="L71" s="9"/>
      <c r="M71" s="9"/>
      <c r="N71" s="9"/>
    </row>
    <row r="72">
      <c r="A72" s="1"/>
      <c r="B72" s="46" t="str">
        <f>'Players&gt;List'!$B10</f>
        <v>[CAM]</v>
      </c>
      <c r="C72" s="47">
        <f>COUNTIF('Hardcore&gt;Intro'!$A:$N, $B42)</f>
        <v>0</v>
      </c>
      <c r="D72" s="47">
        <f>COUNTIF('Hardcore&gt;N++'!$A:$N, $B42)</f>
        <v>0</v>
      </c>
      <c r="E72" s="47">
        <f>COUNTIF('Hardcore&gt;Ultimate'!$A:$N, $B42)</f>
        <v>0</v>
      </c>
      <c r="F72" s="47">
        <f>COUNTIF('Hardcore&gt;Legacy'!$A:$N, $B42)</f>
        <v>0</v>
      </c>
      <c r="G72" s="54">
        <f t="shared" si="7"/>
        <v>0</v>
      </c>
      <c r="H72" s="9"/>
      <c r="I72" s="9"/>
      <c r="J72" s="9"/>
      <c r="K72" s="9"/>
      <c r="L72" s="9"/>
      <c r="M72" s="9"/>
      <c r="N72" s="9"/>
    </row>
    <row r="73">
      <c r="A73" s="1"/>
      <c r="B73" s="46" t="str">
        <f>'Players&gt;List'!$B11</f>
        <v>[CHB]</v>
      </c>
      <c r="C73" s="47">
        <f>COUNTIF('Hardcore&gt;Intro'!$A:$N, $B43)</f>
        <v>0</v>
      </c>
      <c r="D73" s="47">
        <f>COUNTIF('Hardcore&gt;N++'!$A:$N, $B43)</f>
        <v>0</v>
      </c>
      <c r="E73" s="47">
        <f>COUNTIF('Hardcore&gt;Ultimate'!$A:$N, $B43)</f>
        <v>0</v>
      </c>
      <c r="F73" s="47">
        <f>COUNTIF('Hardcore&gt;Legacy'!$A:$N, $B43)</f>
        <v>0</v>
      </c>
      <c r="G73" s="54">
        <f t="shared" si="7"/>
        <v>0</v>
      </c>
      <c r="H73" s="9"/>
      <c r="I73" s="9"/>
      <c r="J73" s="9"/>
      <c r="K73" s="9"/>
      <c r="L73" s="9"/>
      <c r="M73" s="9"/>
      <c r="N73" s="9"/>
    </row>
    <row r="74">
      <c r="A74" s="1"/>
      <c r="B74" s="46" t="str">
        <f>'Players&gt;List'!$B12</f>
        <v>[EKI]</v>
      </c>
      <c r="C74" s="47">
        <f>COUNTIF('Hardcore&gt;Intro'!$A:$N, $B44)</f>
        <v>0</v>
      </c>
      <c r="D74" s="47">
        <f>COUNTIF('Hardcore&gt;N++'!$A:$N, $B44)</f>
        <v>0</v>
      </c>
      <c r="E74" s="47">
        <f>COUNTIF('Hardcore&gt;Ultimate'!$A:$N, $B44)</f>
        <v>0</v>
      </c>
      <c r="F74" s="47">
        <f>COUNTIF('Hardcore&gt;Legacy'!$A:$N, $B44)</f>
        <v>0</v>
      </c>
      <c r="G74" s="54">
        <f t="shared" si="7"/>
        <v>0</v>
      </c>
      <c r="H74" s="9"/>
      <c r="I74" s="9"/>
      <c r="J74" s="9"/>
      <c r="K74" s="9"/>
      <c r="L74" s="9"/>
      <c r="M74" s="9"/>
      <c r="N74" s="9"/>
    </row>
    <row r="75">
      <c r="A75" s="1"/>
      <c r="B75" s="46" t="str">
        <f>'Players&gt;List'!$B13</f>
        <v>[ES2]</v>
      </c>
      <c r="C75" s="47">
        <f>COUNTIF('Hardcore&gt;Intro'!$A:$N, $B45)</f>
        <v>0</v>
      </c>
      <c r="D75" s="47">
        <f>COUNTIF('Hardcore&gt;N++'!$A:$N, $B45)</f>
        <v>0</v>
      </c>
      <c r="E75" s="47">
        <f>COUNTIF('Hardcore&gt;Ultimate'!$A:$N, $B45)</f>
        <v>0</v>
      </c>
      <c r="F75" s="47">
        <f>COUNTIF('Hardcore&gt;Legacy'!$A:$N, $B45)</f>
        <v>0</v>
      </c>
      <c r="G75" s="54">
        <f t="shared" si="7"/>
        <v>0</v>
      </c>
      <c r="H75" s="9"/>
      <c r="I75" s="9"/>
      <c r="J75" s="9"/>
      <c r="K75" s="9"/>
      <c r="L75" s="9"/>
      <c r="M75" s="9"/>
      <c r="N75" s="9"/>
    </row>
    <row r="76">
      <c r="A76" s="1"/>
      <c r="B76" s="46" t="str">
        <f>'Players&gt;List'!$B14</f>
        <v>[ESP]</v>
      </c>
      <c r="C76" s="47">
        <f>COUNTIF('Hardcore&gt;Intro'!$A:$N, $B46)</f>
        <v>0</v>
      </c>
      <c r="D76" s="47">
        <f>COUNTIF('Hardcore&gt;N++'!$A:$N, $B46)</f>
        <v>0</v>
      </c>
      <c r="E76" s="47">
        <f>COUNTIF('Hardcore&gt;Ultimate'!$A:$N, $B46)</f>
        <v>1</v>
      </c>
      <c r="F76" s="47">
        <f>COUNTIF('Hardcore&gt;Legacy'!$A:$N, $B46)</f>
        <v>0</v>
      </c>
      <c r="G76" s="54">
        <f t="shared" si="7"/>
        <v>1</v>
      </c>
      <c r="H76" s="9"/>
      <c r="I76" s="9"/>
      <c r="J76" s="9"/>
      <c r="K76" s="9"/>
      <c r="L76" s="9"/>
      <c r="M76" s="9"/>
      <c r="N76" s="9"/>
    </row>
    <row r="77">
      <c r="A77" s="1"/>
      <c r="B77" s="46" t="str">
        <f>'Players&gt;List'!$B15</f>
        <v>[FNY]</v>
      </c>
      <c r="C77" s="47">
        <f>COUNTIF('Hardcore&gt;Intro'!$A:$N, $B47)</f>
        <v>0</v>
      </c>
      <c r="D77" s="47">
        <f>COUNTIF('Hardcore&gt;N++'!$A:$N, $B47)</f>
        <v>0</v>
      </c>
      <c r="E77" s="47">
        <f>COUNTIF('Hardcore&gt;Ultimate'!$A:$N, $B47)</f>
        <v>0</v>
      </c>
      <c r="F77" s="47">
        <f>COUNTIF('Hardcore&gt;Legacy'!$A:$N, $B47)</f>
        <v>0</v>
      </c>
      <c r="G77" s="54">
        <f t="shared" si="7"/>
        <v>0</v>
      </c>
      <c r="H77" s="9"/>
      <c r="I77" s="9"/>
      <c r="J77" s="9"/>
      <c r="K77" s="9"/>
      <c r="L77" s="9"/>
      <c r="M77" s="9"/>
      <c r="N77" s="9"/>
    </row>
    <row r="78">
      <c r="A78" s="1"/>
      <c r="B78" s="46" t="str">
        <f>'Players&gt;List'!$B16</f>
        <v>[GEA]</v>
      </c>
      <c r="C78" s="47">
        <f>COUNTIF('Hardcore&gt;Intro'!$A:$N, $B48)</f>
        <v>0</v>
      </c>
      <c r="D78" s="47">
        <f>COUNTIF('Hardcore&gt;N++'!$A:$N, $B48)</f>
        <v>0</v>
      </c>
      <c r="E78" s="47">
        <f>COUNTIF('Hardcore&gt;Ultimate'!$A:$N, $B48)</f>
        <v>0</v>
      </c>
      <c r="F78" s="47">
        <f>COUNTIF('Hardcore&gt;Legacy'!$A:$N, $B48)</f>
        <v>0</v>
      </c>
      <c r="G78" s="54">
        <f t="shared" si="7"/>
        <v>0</v>
      </c>
      <c r="H78" s="9"/>
      <c r="I78" s="9"/>
      <c r="J78" s="9"/>
      <c r="K78" s="9"/>
      <c r="L78" s="9"/>
      <c r="M78" s="9"/>
      <c r="N78" s="9"/>
    </row>
    <row r="79">
      <c r="A79" s="1"/>
      <c r="B79" s="46" t="str">
        <f>'Players&gt;List'!$B17</f>
        <v>[GOL]</v>
      </c>
      <c r="C79" s="47">
        <f>COUNTIF('Hardcore&gt;Intro'!$A:$N, $B49)</f>
        <v>0</v>
      </c>
      <c r="D79" s="47">
        <f>COUNTIF('Hardcore&gt;N++'!$A:$N, $B49)</f>
        <v>0</v>
      </c>
      <c r="E79" s="47">
        <f>COUNTIF('Hardcore&gt;Ultimate'!$A:$N, $B49)</f>
        <v>0</v>
      </c>
      <c r="F79" s="47">
        <f>COUNTIF('Hardcore&gt;Legacy'!$A:$N, $B49)</f>
        <v>0</v>
      </c>
      <c r="G79" s="54">
        <f t="shared" si="7"/>
        <v>0</v>
      </c>
      <c r="H79" s="9"/>
      <c r="I79" s="9"/>
      <c r="J79" s="9"/>
      <c r="K79" s="9"/>
      <c r="L79" s="9"/>
      <c r="M79" s="9"/>
      <c r="N79" s="9"/>
    </row>
    <row r="80">
      <c r="A80" s="1"/>
      <c r="B80" s="46" t="str">
        <f>'Players&gt;List'!$B18</f>
        <v>[HGB]</v>
      </c>
      <c r="C80" s="47">
        <f>COUNTIF('Hardcore&gt;Intro'!$A:$N, $B50)</f>
        <v>0</v>
      </c>
      <c r="D80" s="47">
        <f>COUNTIF('Hardcore&gt;N++'!$A:$N, $B50)</f>
        <v>0</v>
      </c>
      <c r="E80" s="47">
        <f>COUNTIF('Hardcore&gt;Ultimate'!$A:$N, $B50)</f>
        <v>0</v>
      </c>
      <c r="F80" s="47">
        <f>COUNTIF('Hardcore&gt;Legacy'!$A:$N, $B50)</f>
        <v>0</v>
      </c>
      <c r="G80" s="54">
        <f t="shared" si="7"/>
        <v>0</v>
      </c>
      <c r="H80" s="9"/>
      <c r="I80" s="9"/>
      <c r="J80" s="9"/>
      <c r="K80" s="9"/>
      <c r="L80" s="9"/>
      <c r="M80" s="9"/>
      <c r="N80" s="9"/>
    </row>
    <row r="81">
      <c r="A81" s="1"/>
      <c r="B81" s="46" t="str">
        <f>'Players&gt;List'!$B19</f>
        <v>[HIT]</v>
      </c>
      <c r="C81" s="47">
        <f>COUNTIF('Hardcore&gt;Intro'!$A:$N, $B51)</f>
        <v>0</v>
      </c>
      <c r="D81" s="47">
        <f>COUNTIF('Hardcore&gt;N++'!$A:$N, $B51)</f>
        <v>2</v>
      </c>
      <c r="E81" s="47">
        <f>COUNTIF('Hardcore&gt;Ultimate'!$A:$N, $B51)</f>
        <v>4</v>
      </c>
      <c r="F81" s="47">
        <f>COUNTIF('Hardcore&gt;Legacy'!$A:$N, $B51)</f>
        <v>1</v>
      </c>
      <c r="G81" s="54">
        <f t="shared" si="7"/>
        <v>7</v>
      </c>
      <c r="H81" s="9"/>
      <c r="I81" s="9"/>
      <c r="J81" s="9"/>
      <c r="K81" s="9"/>
      <c r="L81" s="9"/>
      <c r="M81" s="9"/>
      <c r="N81" s="9"/>
    </row>
    <row r="82">
      <c r="A82" s="1"/>
      <c r="B82" s="46" t="str">
        <f>'Players&gt;List'!$B20</f>
        <v>[KOS]</v>
      </c>
      <c r="C82" s="47">
        <f>COUNTIF('Hardcore&gt;Intro'!$A:$N, $B52)</f>
        <v>0</v>
      </c>
      <c r="D82" s="47">
        <f>COUNTIF('Hardcore&gt;N++'!$A:$N, $B52)</f>
        <v>0</v>
      </c>
      <c r="E82" s="47">
        <f>COUNTIF('Hardcore&gt;Ultimate'!$A:$N, $B52)</f>
        <v>0</v>
      </c>
      <c r="F82" s="47">
        <f>COUNTIF('Hardcore&gt;Legacy'!$A:$N, $B52)</f>
        <v>0</v>
      </c>
      <c r="G82" s="54">
        <f t="shared" si="7"/>
        <v>0</v>
      </c>
      <c r="H82" s="9"/>
      <c r="I82" s="9"/>
      <c r="J82" s="9"/>
      <c r="K82" s="9"/>
      <c r="L82" s="9"/>
      <c r="M82" s="9"/>
      <c r="N82" s="9"/>
    </row>
    <row r="83">
      <c r="A83" s="1"/>
      <c r="B83" s="46" t="str">
        <f>'Players&gt;List'!$B21</f>
        <v>[MAE]</v>
      </c>
      <c r="C83" s="47">
        <f>COUNTIF('Hardcore&gt;Intro'!$A:$N, $B53)</f>
        <v>0</v>
      </c>
      <c r="D83" s="47">
        <f>COUNTIF('Hardcore&gt;N++'!$A:$N, $B53)</f>
        <v>0</v>
      </c>
      <c r="E83" s="47">
        <f>COUNTIF('Hardcore&gt;Ultimate'!$A:$N, $B53)</f>
        <v>0</v>
      </c>
      <c r="F83" s="47">
        <f>COUNTIF('Hardcore&gt;Legacy'!$A:$N, $B53)</f>
        <v>0</v>
      </c>
      <c r="G83" s="54">
        <f t="shared" si="7"/>
        <v>0</v>
      </c>
      <c r="H83" s="9"/>
      <c r="I83" s="9"/>
      <c r="J83" s="9"/>
      <c r="K83" s="9"/>
      <c r="L83" s="9"/>
      <c r="M83" s="9"/>
      <c r="N83" s="9"/>
    </row>
    <row r="84">
      <c r="A84" s="1"/>
      <c r="B84" s="46" t="str">
        <f>'Players&gt;List'!$B22</f>
        <v>[MAQ]</v>
      </c>
      <c r="C84" s="47">
        <f>COUNTIF('Hardcore&gt;Intro'!$A:$N, $B54)</f>
        <v>0</v>
      </c>
      <c r="D84" s="47">
        <f>COUNTIF('Hardcore&gt;N++'!$A:$N, $B54)</f>
        <v>0</v>
      </c>
      <c r="E84" s="47">
        <f>COUNTIF('Hardcore&gt;Ultimate'!$A:$N, $B54)</f>
        <v>0</v>
      </c>
      <c r="F84" s="47">
        <f>COUNTIF('Hardcore&gt;Legacy'!$A:$N, $B54)</f>
        <v>0</v>
      </c>
      <c r="G84" s="54">
        <f t="shared" si="7"/>
        <v>0</v>
      </c>
      <c r="H84" s="9"/>
      <c r="I84" s="9"/>
      <c r="J84" s="9"/>
      <c r="K84" s="9"/>
      <c r="L84" s="9"/>
      <c r="M84" s="9"/>
      <c r="N84" s="9"/>
    </row>
    <row r="85">
      <c r="A85" s="1"/>
      <c r="B85" s="46" t="str">
        <f>'Players&gt;List'!$B23</f>
        <v>[MOL]</v>
      </c>
      <c r="C85" s="47">
        <f>COUNTIF('Hardcore&gt;Intro'!$A:$N, $B55)</f>
        <v>0</v>
      </c>
      <c r="D85" s="47">
        <f>COUNTIF('Hardcore&gt;N++'!$A:$N, $B55)</f>
        <v>0</v>
      </c>
      <c r="E85" s="47">
        <f>COUNTIF('Hardcore&gt;Ultimate'!$A:$N, $B55)</f>
        <v>0</v>
      </c>
      <c r="F85" s="47">
        <f>COUNTIF('Hardcore&gt;Legacy'!$A:$N, $B55)</f>
        <v>0</v>
      </c>
      <c r="G85" s="54">
        <f t="shared" si="7"/>
        <v>0</v>
      </c>
      <c r="H85" s="9"/>
      <c r="I85" s="9"/>
      <c r="J85" s="9"/>
      <c r="K85" s="9"/>
      <c r="L85" s="9"/>
      <c r="M85" s="9"/>
      <c r="N85" s="9"/>
    </row>
    <row r="86">
      <c r="A86" s="1"/>
      <c r="B86" s="46" t="str">
        <f>'Players&gt;List'!$B24</f>
        <v>[NIM]</v>
      </c>
      <c r="C86" s="47">
        <f>COUNTIF('Hardcore&gt;Intro'!$A:$N, $B56)</f>
        <v>0</v>
      </c>
      <c r="D86" s="47">
        <f>COUNTIF('Hardcore&gt;N++'!$A:$N, $B56)</f>
        <v>0</v>
      </c>
      <c r="E86" s="47">
        <f>COUNTIF('Hardcore&gt;Ultimate'!$A:$N, $B56)</f>
        <v>0</v>
      </c>
      <c r="F86" s="47">
        <f>COUNTIF('Hardcore&gt;Legacy'!$A:$N, $B56)</f>
        <v>0</v>
      </c>
      <c r="G86" s="54">
        <f t="shared" si="7"/>
        <v>0</v>
      </c>
      <c r="H86" s="9"/>
      <c r="I86" s="9"/>
      <c r="J86" s="9"/>
      <c r="K86" s="9"/>
      <c r="L86" s="9"/>
      <c r="M86" s="9"/>
      <c r="N86" s="9"/>
    </row>
    <row r="87">
      <c r="A87" s="1"/>
      <c r="B87" s="46" t="str">
        <f>'Players&gt;List'!$B25</f>
        <v>[PBR]</v>
      </c>
      <c r="C87" s="47">
        <f>COUNTIF('Hardcore&gt;Intro'!$A:$N, $B57)</f>
        <v>0</v>
      </c>
      <c r="D87" s="47">
        <f>COUNTIF('Hardcore&gt;N++'!$A:$N, $B57)</f>
        <v>0</v>
      </c>
      <c r="E87" s="47">
        <f>COUNTIF('Hardcore&gt;Ultimate'!$A:$N, $B57)</f>
        <v>0</v>
      </c>
      <c r="F87" s="47">
        <f>COUNTIF('Hardcore&gt;Legacy'!$A:$N, $B57)</f>
        <v>0</v>
      </c>
      <c r="G87" s="54">
        <f t="shared" si="7"/>
        <v>0</v>
      </c>
      <c r="H87" s="9"/>
      <c r="I87" s="9"/>
      <c r="J87" s="9"/>
      <c r="K87" s="9"/>
      <c r="L87" s="9"/>
      <c r="M87" s="9"/>
      <c r="N87" s="9"/>
    </row>
    <row r="88">
      <c r="A88" s="1"/>
      <c r="B88" s="46" t="str">
        <f>'Players&gt;List'!$B26</f>
        <v>[SCO]</v>
      </c>
      <c r="C88" s="47">
        <f>COUNTIF('Hardcore&gt;Intro'!$A:$N, $B58)</f>
        <v>0</v>
      </c>
      <c r="D88" s="47">
        <f>COUNTIF('Hardcore&gt;N++'!$A:$N, $B58)</f>
        <v>0</v>
      </c>
      <c r="E88" s="47">
        <f>COUNTIF('Hardcore&gt;Ultimate'!$A:$N, $B58)</f>
        <v>0</v>
      </c>
      <c r="F88" s="47">
        <f>COUNTIF('Hardcore&gt;Legacy'!$A:$N, $B58)</f>
        <v>0</v>
      </c>
      <c r="G88" s="54">
        <f t="shared" si="7"/>
        <v>0</v>
      </c>
      <c r="H88" s="9"/>
      <c r="I88" s="9"/>
      <c r="J88" s="9"/>
      <c r="K88" s="9"/>
      <c r="L88" s="9"/>
      <c r="M88" s="9"/>
      <c r="N88" s="9"/>
    </row>
    <row r="89">
      <c r="A89" s="1"/>
      <c r="B89" s="46" t="str">
        <f>'Players&gt;List'!$B27</f>
        <v>[SKY]</v>
      </c>
      <c r="C89" s="47">
        <f>COUNTIF('Hardcore&gt;Intro'!$A:$N, $B59)</f>
        <v>0</v>
      </c>
      <c r="D89" s="47">
        <f>COUNTIF('Hardcore&gt;N++'!$A:$N, $B59)</f>
        <v>0</v>
      </c>
      <c r="E89" s="47">
        <f>COUNTIF('Hardcore&gt;Ultimate'!$A:$N, $B59)</f>
        <v>0</v>
      </c>
      <c r="F89" s="47">
        <f>COUNTIF('Hardcore&gt;Legacy'!$A:$N, $B59)</f>
        <v>0</v>
      </c>
      <c r="G89" s="54">
        <f t="shared" si="7"/>
        <v>0</v>
      </c>
      <c r="H89" s="9"/>
      <c r="I89" s="9"/>
      <c r="J89" s="9"/>
      <c r="K89" s="9"/>
      <c r="L89" s="9"/>
      <c r="M89" s="9"/>
      <c r="N89" s="9"/>
    </row>
    <row r="90">
      <c r="A90" s="1"/>
      <c r="B90" s="46" t="str">
        <f>'Players&gt;List'!$B28</f>
        <v>[SUN]</v>
      </c>
      <c r="C90" s="47">
        <f>COUNTIF('Hardcore&gt;Intro'!$A:$N, $B60)</f>
        <v>0</v>
      </c>
      <c r="D90" s="47">
        <f>COUNTIF('Hardcore&gt;N++'!$A:$N, $B60)</f>
        <v>0</v>
      </c>
      <c r="E90" s="47">
        <f>COUNTIF('Hardcore&gt;Ultimate'!$A:$N, $B60)</f>
        <v>0</v>
      </c>
      <c r="F90" s="47">
        <f>COUNTIF('Hardcore&gt;Legacy'!$A:$N, $B60)</f>
        <v>0</v>
      </c>
      <c r="G90" s="54">
        <f t="shared" si="7"/>
        <v>0</v>
      </c>
      <c r="H90" s="9"/>
      <c r="I90" s="9"/>
      <c r="J90" s="9"/>
      <c r="K90" s="9"/>
      <c r="L90" s="9"/>
      <c r="M90" s="9"/>
      <c r="N90" s="9"/>
    </row>
    <row r="91">
      <c r="A91" s="1"/>
      <c r="B91" s="46" t="str">
        <f>'Players&gt;List'!$B29</f>
        <v>[SYS]</v>
      </c>
      <c r="C91" s="47">
        <f>COUNTIF('Hardcore&gt;Intro'!$A:$N, $B61)</f>
        <v>0</v>
      </c>
      <c r="D91" s="47">
        <f>COUNTIF('Hardcore&gt;N++'!$A:$N, $B61)</f>
        <v>2</v>
      </c>
      <c r="E91" s="47">
        <f>COUNTIF('Hardcore&gt;Ultimate'!$A:$N, $B61)</f>
        <v>0</v>
      </c>
      <c r="F91" s="47">
        <f>COUNTIF('Hardcore&gt;Legacy'!$A:$N, $B61)</f>
        <v>0</v>
      </c>
      <c r="G91" s="54">
        <f t="shared" si="7"/>
        <v>2</v>
      </c>
      <c r="H91" s="9"/>
      <c r="I91" s="9"/>
      <c r="J91" s="9"/>
      <c r="K91" s="9"/>
      <c r="L91" s="9"/>
      <c r="M91" s="9"/>
      <c r="N91" s="9"/>
    </row>
    <row r="92">
      <c r="A92" s="1"/>
      <c r="B92" s="46" t="str">
        <f>'Players&gt;List'!$B30</f>
        <v>[TST]</v>
      </c>
      <c r="C92" s="47">
        <f>COUNTIF('Hardcore&gt;Intro'!$A:$N, $B62)</f>
        <v>0</v>
      </c>
      <c r="D92" s="47">
        <f>COUNTIF('Hardcore&gt;N++'!$A:$N, $B62)</f>
        <v>5</v>
      </c>
      <c r="E92" s="47">
        <f>COUNTIF('Hardcore&gt;Ultimate'!$A:$N, $B62)</f>
        <v>0</v>
      </c>
      <c r="F92" s="47">
        <f>COUNTIF('Hardcore&gt;Legacy'!$A:$N, $B62)</f>
        <v>0</v>
      </c>
      <c r="G92" s="54">
        <f t="shared" si="7"/>
        <v>5</v>
      </c>
      <c r="H92" s="9"/>
      <c r="I92" s="9"/>
      <c r="J92" s="9"/>
      <c r="K92" s="9"/>
      <c r="L92" s="9"/>
      <c r="M92" s="9"/>
      <c r="N92" s="9"/>
    </row>
    <row r="93">
      <c r="A93" s="1"/>
      <c r="B93" s="46" t="str">
        <f>'Players&gt;List'!$B31</f>
        <v>[WHA]</v>
      </c>
      <c r="C93" s="47">
        <f>COUNTIF('Hardcore&gt;Intro'!$A:$N, $B63)</f>
        <v>0</v>
      </c>
      <c r="D93" s="47">
        <f>COUNTIF('Hardcore&gt;N++'!$A:$N, $B63)</f>
        <v>0</v>
      </c>
      <c r="E93" s="47">
        <f>COUNTIF('Hardcore&gt;Ultimate'!$A:$N, $B63)</f>
        <v>0</v>
      </c>
      <c r="F93" s="47">
        <f>COUNTIF('Hardcore&gt;Legacy'!$A:$N, $B63)</f>
        <v>0</v>
      </c>
      <c r="G93" s="54">
        <f t="shared" si="7"/>
        <v>0</v>
      </c>
      <c r="H93" s="9"/>
      <c r="I93" s="9"/>
      <c r="J93" s="9"/>
      <c r="K93" s="9"/>
      <c r="L93" s="9"/>
      <c r="M93" s="9"/>
      <c r="N93" s="9"/>
    </row>
    <row r="94">
      <c r="A94" s="1"/>
      <c r="B94" s="46" t="str">
        <f>'Players&gt;List'!$B32</f>
        <v>[XEL]</v>
      </c>
      <c r="C94" s="47">
        <f>COUNTIF('Hardcore&gt;Intro'!$A:$N, $B64)</f>
        <v>0</v>
      </c>
      <c r="D94" s="47">
        <f>COUNTIF('Hardcore&gt;N++'!$A:$N, $B64)</f>
        <v>0</v>
      </c>
      <c r="E94" s="47">
        <f>COUNTIF('Hardcore&gt;Ultimate'!$A:$N, $B64)</f>
        <v>0</v>
      </c>
      <c r="F94" s="47">
        <f>COUNTIF('Hardcore&gt;Legacy'!$A:$N, $B64)</f>
        <v>0</v>
      </c>
      <c r="G94" s="54">
        <f t="shared" si="7"/>
        <v>0</v>
      </c>
      <c r="H94" s="9"/>
      <c r="I94" s="9"/>
      <c r="J94" s="9"/>
      <c r="K94" s="9"/>
      <c r="L94" s="9"/>
      <c r="M94" s="9"/>
      <c r="N94" s="9"/>
    </row>
    <row r="95">
      <c r="A95" s="1"/>
      <c r="B95" s="45" t="s">
        <v>5566</v>
      </c>
      <c r="C95" s="48">
        <f t="shared" ref="C95:F95" si="8">SUM(C70:C94)</f>
        <v>0</v>
      </c>
      <c r="D95" s="48">
        <f t="shared" si="8"/>
        <v>9</v>
      </c>
      <c r="E95" s="48">
        <f t="shared" si="8"/>
        <v>5</v>
      </c>
      <c r="F95" s="48">
        <f t="shared" si="8"/>
        <v>1</v>
      </c>
      <c r="G95" s="50">
        <f t="shared" si="7"/>
        <v>15</v>
      </c>
      <c r="H95" s="9"/>
      <c r="I95" s="9"/>
      <c r="J95" s="9"/>
      <c r="K95" s="9"/>
      <c r="L95" s="9"/>
      <c r="M95" s="9"/>
      <c r="N95" s="9"/>
    </row>
    <row r="96">
      <c r="A96" s="1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>
      <c r="A97" s="1"/>
      <c r="B97" s="10" t="s">
        <v>5565</v>
      </c>
      <c r="K97" s="10"/>
      <c r="L97" s="10"/>
      <c r="M97" s="10"/>
      <c r="N97" s="9"/>
    </row>
    <row r="98">
      <c r="A98" s="1"/>
      <c r="K98" s="10"/>
      <c r="L98" s="10"/>
      <c r="M98" s="10"/>
      <c r="N98" s="9"/>
    </row>
    <row r="99">
      <c r="A99" s="1"/>
      <c r="B99" s="9"/>
      <c r="C99" s="52" t="s">
        <v>5667</v>
      </c>
      <c r="F99" s="9"/>
      <c r="G99" s="9"/>
      <c r="H99" s="9"/>
      <c r="I99" s="9"/>
      <c r="J99" s="9"/>
      <c r="K99" s="9"/>
      <c r="L99" s="9"/>
      <c r="M99" s="9"/>
      <c r="N99" s="9"/>
    </row>
    <row r="100">
      <c r="A100" s="1"/>
      <c r="B100" s="9"/>
      <c r="C100" s="9" t="s">
        <v>2</v>
      </c>
      <c r="D100" s="9" t="s">
        <v>3</v>
      </c>
      <c r="E100" s="9" t="s">
        <v>5</v>
      </c>
      <c r="F100" s="1" t="s">
        <v>5566</v>
      </c>
      <c r="G100" s="9"/>
      <c r="H100" s="9"/>
      <c r="I100" s="9"/>
      <c r="J100" s="9"/>
      <c r="K100" s="9"/>
      <c r="L100" s="9"/>
      <c r="M100" s="9"/>
      <c r="N100" s="9"/>
    </row>
    <row r="101">
      <c r="A101" s="1"/>
      <c r="B101" s="46" t="str">
        <f>'Players&gt;List'!$B8</f>
        <v>[ABA]</v>
      </c>
      <c r="C101" s="47">
        <f>COUNTIF('Co-op&gt;Levels&gt;Intro'!$A:$N, $B40)</f>
        <v>0</v>
      </c>
      <c r="D101" s="47">
        <f>COUNTIF('Co-op&gt;Levels&gt;N++'!$A:$N, $B40) + COUNTIF('Co-op&gt;Levels&gt;N++'!$A:$N, 'Data&gt;Debug&gt;Formulas'!$H9)</f>
        <v>1</v>
      </c>
      <c r="E101" s="47">
        <f>COUNTIF('Co-op&gt;Levels&gt;Legacy'!$A:$N, $B40)</f>
        <v>1</v>
      </c>
      <c r="F101" s="54">
        <f t="shared" ref="F101:F103" si="9">SUM(C101:E101)</f>
        <v>2</v>
      </c>
      <c r="G101" s="9"/>
      <c r="H101" s="9"/>
      <c r="I101" s="9"/>
      <c r="J101" s="9"/>
      <c r="K101" s="9"/>
      <c r="L101" s="9"/>
      <c r="M101" s="9"/>
      <c r="N101" s="9"/>
    </row>
    <row r="102">
      <c r="A102" s="1"/>
      <c r="B102" s="46" t="str">
        <f>'Players&gt;List'!$B9</f>
        <v>[AWE]</v>
      </c>
      <c r="C102" s="47">
        <f>COUNTIF('Co-op&gt;Levels&gt;Intro'!$A:$N, $B41)</f>
        <v>0</v>
      </c>
      <c r="D102" s="47">
        <f>COUNTIF('Co-op&gt;Levels&gt;N++'!$A:$N, $B41)</f>
        <v>0</v>
      </c>
      <c r="E102" s="47">
        <f>COUNTIF('Co-op&gt;Levels&gt;Legacy'!$A:$N, $B41)</f>
        <v>0</v>
      </c>
      <c r="F102" s="54">
        <f t="shared" si="9"/>
        <v>0</v>
      </c>
      <c r="G102" s="9"/>
      <c r="H102" s="9"/>
      <c r="I102" s="9"/>
      <c r="J102" s="9"/>
      <c r="K102" s="9"/>
      <c r="L102" s="9"/>
      <c r="M102" s="9"/>
      <c r="N102" s="9"/>
    </row>
    <row r="103">
      <c r="A103" s="1"/>
      <c r="B103" s="46" t="str">
        <f>'Players&gt;List'!$B10</f>
        <v>[CAM]</v>
      </c>
      <c r="C103" s="47">
        <f>COUNTIF('Co-op&gt;Levels&gt;Intro'!$A:$N, $B42)</f>
        <v>0</v>
      </c>
      <c r="D103" s="47">
        <f>COUNTIF('Co-op&gt;Levels&gt;N++'!$A:$N, $B42)</f>
        <v>0</v>
      </c>
      <c r="E103" s="47">
        <f>COUNTIF('Co-op&gt;Levels&gt;Legacy'!$A:$N, $B42)</f>
        <v>0</v>
      </c>
      <c r="F103" s="54">
        <f t="shared" si="9"/>
        <v>0</v>
      </c>
      <c r="G103" s="9"/>
      <c r="H103" s="9"/>
      <c r="I103" s="9"/>
      <c r="J103" s="9"/>
      <c r="K103" s="9"/>
      <c r="L103" s="9"/>
      <c r="M103" s="9"/>
      <c r="N103" s="9"/>
    </row>
    <row r="104">
      <c r="A104" s="1"/>
      <c r="B104" s="46" t="str">
        <f>'Players&gt;List'!$B11</f>
        <v>[CHB]</v>
      </c>
      <c r="C104" s="47">
        <f>COUNTIF('Co-op&gt;Levels&gt;Intro'!$A:$N, $B43)</f>
        <v>0</v>
      </c>
      <c r="D104" s="47">
        <f>COUNTIF('Co-op&gt;Levels&gt;N++'!$A:$N, $B43) + COUNTIF('Co-op&gt;Levels&gt;N++'!$A:$N, 'Data&gt;Debug&gt;Formulas'!$H8)</f>
        <v>505</v>
      </c>
      <c r="E104" s="47">
        <f>COUNTIF('Co-op&gt;Levels&gt;Legacy'!$A:$N, $B43)</f>
        <v>0</v>
      </c>
      <c r="F104" s="54">
        <f>SUM(C104:D104)</f>
        <v>505</v>
      </c>
      <c r="G104" s="9"/>
      <c r="H104" s="9"/>
      <c r="I104" s="9"/>
      <c r="J104" s="9"/>
      <c r="K104" s="9"/>
      <c r="L104" s="9"/>
      <c r="M104" s="9"/>
      <c r="N104" s="9"/>
    </row>
    <row r="105">
      <c r="A105" s="1"/>
      <c r="B105" s="46" t="str">
        <f>'Players&gt;List'!$B12</f>
        <v>[EKI]</v>
      </c>
      <c r="C105" s="47">
        <f>COUNTIF('Co-op&gt;Levels&gt;Intro'!$A:$N, $B44)</f>
        <v>0</v>
      </c>
      <c r="D105" s="47">
        <f>COUNTIF('Co-op&gt;Levels&gt;N++'!$A:$N, $B44)</f>
        <v>0</v>
      </c>
      <c r="E105" s="47">
        <f>COUNTIF('Co-op&gt;Levels&gt;Legacy'!$A:$N, $B44)</f>
        <v>0</v>
      </c>
      <c r="F105" s="54">
        <f t="shared" ref="F105:F121" si="10">SUM(C105:E105)</f>
        <v>0</v>
      </c>
      <c r="G105" s="9"/>
      <c r="H105" s="9"/>
      <c r="I105" s="9"/>
      <c r="J105" s="9"/>
      <c r="K105" s="9"/>
      <c r="L105" s="9"/>
      <c r="M105" s="9"/>
      <c r="N105" s="9"/>
    </row>
    <row r="106">
      <c r="A106" s="1"/>
      <c r="B106" s="46" t="str">
        <f>'Players&gt;List'!$B13</f>
        <v>[ES2]</v>
      </c>
      <c r="C106" s="47">
        <f>COUNTIF('Co-op&gt;Levels&gt;Intro'!$A:$N, $B45)</f>
        <v>0</v>
      </c>
      <c r="D106" s="47">
        <f>COUNTIF('Co-op&gt;Levels&gt;N++'!$A:$N, $B45) + COUNTIF('Co-op&gt;Levels&gt;N++'!$A:$N, 'Data&gt;Debug&gt;Formulas'!$H12)</f>
        <v>1</v>
      </c>
      <c r="E106" s="47">
        <f>COUNTIF('Co-op&gt;Levels&gt;Legacy'!$A:$N, $B45)</f>
        <v>0</v>
      </c>
      <c r="F106" s="54">
        <f t="shared" si="10"/>
        <v>1</v>
      </c>
      <c r="G106" s="9"/>
      <c r="H106" s="9"/>
      <c r="I106" s="9"/>
      <c r="J106" s="9"/>
      <c r="K106" s="9"/>
      <c r="L106" s="9"/>
      <c r="M106" s="9"/>
      <c r="N106" s="9"/>
    </row>
    <row r="107">
      <c r="A107" s="1"/>
      <c r="B107" s="46" t="str">
        <f>'Players&gt;List'!$B14</f>
        <v>[ESP]</v>
      </c>
      <c r="C107" s="47">
        <f>COUNTIF('Co-op&gt;Levels&gt;Intro'!$A:$N, $B46)</f>
        <v>0</v>
      </c>
      <c r="D107" s="47">
        <f>COUNTIF('Co-op&gt;Levels&gt;N++'!$A:$N, $B46) + COUNTIF('Co-op&gt;Levels&gt;N++'!$A:$N, 'Data&gt;Debug&gt;Formulas'!$H12)</f>
        <v>2</v>
      </c>
      <c r="E107" s="47">
        <f>COUNTIF('Co-op&gt;Levels&gt;Legacy'!$A:$N, $B46)</f>
        <v>0</v>
      </c>
      <c r="F107" s="54">
        <f t="shared" si="10"/>
        <v>2</v>
      </c>
      <c r="G107" s="9"/>
      <c r="H107" s="9"/>
      <c r="I107" s="9"/>
      <c r="J107" s="9"/>
      <c r="K107" s="9"/>
      <c r="L107" s="9"/>
      <c r="M107" s="9"/>
      <c r="N107" s="9"/>
    </row>
    <row r="108">
      <c r="A108" s="1"/>
      <c r="B108" s="46" t="str">
        <f>'Players&gt;List'!$B15</f>
        <v>[FNY]</v>
      </c>
      <c r="C108" s="47">
        <f>COUNTIF('Co-op&gt;Levels&gt;Intro'!$A:$N, $B47)</f>
        <v>0</v>
      </c>
      <c r="D108" s="47">
        <f>COUNTIF('Co-op&gt;Levels&gt;N++'!$A:$N, $B47)</f>
        <v>0</v>
      </c>
      <c r="E108" s="47">
        <f>COUNTIF('Co-op&gt;Levels&gt;Legacy'!$A:$N, $B47)</f>
        <v>0</v>
      </c>
      <c r="F108" s="54">
        <f t="shared" si="10"/>
        <v>0</v>
      </c>
      <c r="G108" s="9"/>
      <c r="H108" s="9"/>
      <c r="I108" s="9"/>
      <c r="J108" s="9"/>
      <c r="K108" s="9"/>
      <c r="L108" s="9"/>
      <c r="M108" s="9"/>
      <c r="N108" s="9"/>
    </row>
    <row r="109">
      <c r="A109" s="1"/>
      <c r="B109" s="46" t="str">
        <f>'Players&gt;List'!$B16</f>
        <v>[GEA]</v>
      </c>
      <c r="C109" s="47">
        <f>COUNTIF('Co-op&gt;Levels&gt;Intro'!$A:$N, $B48)</f>
        <v>0</v>
      </c>
      <c r="D109" s="47">
        <f>COUNTIF('Co-op&gt;Levels&gt;N++'!$A:$N, $B48)</f>
        <v>0</v>
      </c>
      <c r="E109" s="47">
        <f>COUNTIF('Co-op&gt;Levels&gt;Legacy'!$A:$N, $B48)</f>
        <v>0</v>
      </c>
      <c r="F109" s="54">
        <f t="shared" si="10"/>
        <v>0</v>
      </c>
      <c r="G109" s="9"/>
      <c r="H109" s="9"/>
      <c r="I109" s="9"/>
      <c r="J109" s="9"/>
      <c r="K109" s="9"/>
      <c r="L109" s="9"/>
      <c r="M109" s="9"/>
      <c r="N109" s="9"/>
    </row>
    <row r="110">
      <c r="A110" s="1"/>
      <c r="B110" s="46" t="str">
        <f>'Players&gt;List'!$B17</f>
        <v>[GOL]</v>
      </c>
      <c r="C110" s="47">
        <f>COUNTIF('Co-op&gt;Levels&gt;Intro'!$A:$N, $B49)</f>
        <v>0</v>
      </c>
      <c r="D110" s="47">
        <f>COUNTIF('Co-op&gt;Levels&gt;N++'!$A:$N, $B49) + COUNTIF('Co-op&gt;Levels&gt;N++'!$A:$N, 'Data&gt;Debug&gt;Formulas'!$H9) + COUNTIF('Co-op&gt;Levels&gt;N++'!$A:$N, 'Data&gt;Debug&gt;Formulas'!$H10)</f>
        <v>11</v>
      </c>
      <c r="E110" s="47">
        <f>COUNTIF('Co-op&gt;Levels&gt;Legacy'!$A:$N, $B49)</f>
        <v>0</v>
      </c>
      <c r="F110" s="54">
        <f t="shared" si="10"/>
        <v>11</v>
      </c>
      <c r="G110" s="9"/>
      <c r="H110" s="9"/>
      <c r="I110" s="9"/>
      <c r="J110" s="9"/>
      <c r="K110" s="9"/>
      <c r="L110" s="9"/>
      <c r="M110" s="9"/>
      <c r="N110" s="9"/>
    </row>
    <row r="111">
      <c r="A111" s="1"/>
      <c r="B111" s="46" t="str">
        <f>'Players&gt;List'!$B18</f>
        <v>[HGB]</v>
      </c>
      <c r="C111" s="47">
        <f>COUNTIF('Co-op&gt;Levels&gt;Intro'!$A:$N, $B50)</f>
        <v>0</v>
      </c>
      <c r="D111" s="47">
        <f>COUNTIF('Co-op&gt;Levels&gt;N++'!$A:$N, $B50)</f>
        <v>0</v>
      </c>
      <c r="E111" s="47">
        <f>COUNTIF('Co-op&gt;Levels&gt;Legacy'!$A:$N, $B50)</f>
        <v>0</v>
      </c>
      <c r="F111" s="54">
        <f t="shared" si="10"/>
        <v>0</v>
      </c>
      <c r="G111" s="9"/>
      <c r="H111" s="9"/>
      <c r="I111" s="9"/>
      <c r="J111" s="9"/>
      <c r="K111" s="9"/>
      <c r="L111" s="9"/>
      <c r="M111" s="9"/>
      <c r="N111" s="9"/>
    </row>
    <row r="112">
      <c r="A112" s="1"/>
      <c r="B112" s="46" t="str">
        <f>'Players&gt;List'!$B19</f>
        <v>[HIT]</v>
      </c>
      <c r="C112" s="47">
        <f>COUNTIF('Co-op&gt;Levels&gt;Intro'!$A:$N, $B51)</f>
        <v>0</v>
      </c>
      <c r="D112" s="47">
        <f>COUNTIF('Co-op&gt;Levels&gt;N++'!$A:$N, $B51) + COUNTIF('Co-op&gt;Levels&gt;N++'!$A:$N, 'Data&gt;Debug&gt;Formulas'!$H7)</f>
        <v>42</v>
      </c>
      <c r="E112" s="47">
        <f>COUNTIF('Co-op&gt;Levels&gt;Legacy'!$A:$N, $B51) + COUNTIF('Co-op&gt;Levels&gt;Legacy'!$A:$N, 'Data&gt;Debug&gt;Formulas'!$H7)</f>
        <v>6</v>
      </c>
      <c r="F112" s="54">
        <f t="shared" si="10"/>
        <v>48</v>
      </c>
      <c r="G112" s="9"/>
      <c r="H112" s="9"/>
      <c r="I112" s="9"/>
      <c r="J112" s="9"/>
      <c r="K112" s="9"/>
      <c r="L112" s="9"/>
      <c r="M112" s="9"/>
      <c r="N112" s="9"/>
    </row>
    <row r="113">
      <c r="A113" s="1"/>
      <c r="B113" s="46" t="str">
        <f>'Players&gt;List'!$B20</f>
        <v>[KOS]</v>
      </c>
      <c r="C113" s="47">
        <f>COUNTIF('Co-op&gt;Levels&gt;Intro'!$A:$N, $B52)</f>
        <v>0</v>
      </c>
      <c r="D113" s="47">
        <f>COUNTIF('Co-op&gt;Levels&gt;N++'!$A:$N, $B52) + COUNTIF('Co-op&gt;Levels&gt;N++'!$A:$N, 'Data&gt;Debug&gt;Formulas'!$H7)</f>
        <v>42</v>
      </c>
      <c r="E113" s="47">
        <f>COUNTIF('Co-op&gt;Levels&gt;Legacy'!$A:$N, $B52) + COUNTIF('Co-op&gt;Levels&gt;Legacy'!$A:$N, 'Data&gt;Debug&gt;Formulas'!$H7)</f>
        <v>6</v>
      </c>
      <c r="F113" s="54">
        <f t="shared" si="10"/>
        <v>48</v>
      </c>
      <c r="G113" s="9"/>
      <c r="H113" s="9"/>
      <c r="I113" s="9"/>
      <c r="J113" s="9"/>
      <c r="K113" s="9"/>
      <c r="L113" s="9"/>
      <c r="M113" s="9"/>
      <c r="N113" s="9"/>
    </row>
    <row r="114">
      <c r="A114" s="1"/>
      <c r="B114" s="46" t="str">
        <f>'Players&gt;List'!$B21</f>
        <v>[MAE]</v>
      </c>
      <c r="C114" s="47">
        <f>COUNTIF('Co-op&gt;Levels&gt;Intro'!$A:$N, $B53)</f>
        <v>0</v>
      </c>
      <c r="D114" s="47">
        <f>COUNTIF('Co-op&gt;Levels&gt;N++'!$A:$N, $B53)</f>
        <v>0</v>
      </c>
      <c r="E114" s="47">
        <f>COUNTIF('Co-op&gt;Levels&gt;Legacy'!$A:$N, $B53)</f>
        <v>0</v>
      </c>
      <c r="F114" s="54">
        <f t="shared" si="10"/>
        <v>0</v>
      </c>
      <c r="G114" s="9"/>
      <c r="H114" s="9"/>
      <c r="I114" s="9"/>
      <c r="J114" s="9"/>
      <c r="K114" s="9"/>
      <c r="L114" s="9"/>
      <c r="M114" s="9"/>
      <c r="N114" s="9"/>
    </row>
    <row r="115">
      <c r="A115" s="1"/>
      <c r="B115" s="46" t="str">
        <f>'Players&gt;List'!$B22</f>
        <v>[MAQ]</v>
      </c>
      <c r="C115" s="47">
        <f>COUNTIF('Co-op&gt;Levels&gt;Intro'!$A:$N, $B54)</f>
        <v>0</v>
      </c>
      <c r="D115" s="47">
        <f>COUNTIF('Co-op&gt;Levels&gt;N++'!$A:$N, $B54)</f>
        <v>0</v>
      </c>
      <c r="E115" s="47">
        <f>COUNTIF('Co-op&gt;Levels&gt;Legacy'!$A:$N, $B54)</f>
        <v>0</v>
      </c>
      <c r="F115" s="54">
        <f t="shared" si="10"/>
        <v>0</v>
      </c>
      <c r="G115" s="9"/>
      <c r="H115" s="9"/>
      <c r="I115" s="9"/>
      <c r="J115" s="9"/>
      <c r="K115" s="9"/>
      <c r="L115" s="9"/>
      <c r="M115" s="9"/>
      <c r="N115" s="9"/>
    </row>
    <row r="116">
      <c r="A116" s="1"/>
      <c r="B116" s="46" t="str">
        <f>'Players&gt;List'!$B23</f>
        <v>[MOL]</v>
      </c>
      <c r="C116" s="47">
        <f>COUNTIF('Co-op&gt;Levels&gt;Intro'!$A:$N, $B55)</f>
        <v>0</v>
      </c>
      <c r="D116" s="47">
        <f>COUNTIF('Co-op&gt;Levels&gt;N++'!$A:$N, $B55) + COUNTIF('Co-op&gt;Levels&gt;N++'!$A:$N, 'Data&gt;Debug&gt;Formulas'!$H10)</f>
        <v>10</v>
      </c>
      <c r="E116" s="47">
        <f>COUNTIF('Co-op&gt;Levels&gt;Legacy'!$A:$N, $B55)</f>
        <v>0</v>
      </c>
      <c r="F116" s="54">
        <f t="shared" si="10"/>
        <v>10</v>
      </c>
      <c r="G116" s="9"/>
      <c r="H116" s="9"/>
      <c r="I116" s="9"/>
      <c r="J116" s="9"/>
      <c r="K116" s="9"/>
      <c r="L116" s="9"/>
      <c r="M116" s="9"/>
      <c r="N116" s="9"/>
    </row>
    <row r="117">
      <c r="A117" s="1"/>
      <c r="B117" s="46" t="str">
        <f>'Players&gt;List'!$B24</f>
        <v>[NIM]</v>
      </c>
      <c r="C117" s="47">
        <f>COUNTIF('Co-op&gt;Levels&gt;Intro'!$A:$N, $B56)</f>
        <v>0</v>
      </c>
      <c r="D117" s="47">
        <f>COUNTIF('Co-op&gt;Levels&gt;N++'!$A:$N, $B56)</f>
        <v>0</v>
      </c>
      <c r="E117" s="47">
        <f>COUNTIF('Co-op&gt;Levels&gt;Legacy'!$A:$N, $B56)</f>
        <v>0</v>
      </c>
      <c r="F117" s="54">
        <f t="shared" si="10"/>
        <v>0</v>
      </c>
      <c r="G117" s="9"/>
      <c r="H117" s="9"/>
      <c r="I117" s="9"/>
      <c r="J117" s="9"/>
      <c r="K117" s="9"/>
      <c r="L117" s="9"/>
      <c r="M117" s="9"/>
      <c r="N117" s="9"/>
    </row>
    <row r="118">
      <c r="A118" s="1"/>
      <c r="B118" s="46" t="str">
        <f>'Players&gt;List'!$B25</f>
        <v>[PBR]</v>
      </c>
      <c r="C118" s="47">
        <f>COUNTIF('Co-op&gt;Levels&gt;Intro'!$A:$N, $B57)</f>
        <v>0</v>
      </c>
      <c r="D118" s="47">
        <f>COUNTIF('Co-op&gt;Levels&gt;N++'!$A:$N, $B57)</f>
        <v>0</v>
      </c>
      <c r="E118" s="47">
        <f>COUNTIF('Co-op&gt;Levels&gt;Legacy'!$A:$N, $B57)</f>
        <v>0</v>
      </c>
      <c r="F118" s="54">
        <f t="shared" si="10"/>
        <v>0</v>
      </c>
      <c r="G118" s="9"/>
      <c r="H118" s="9"/>
      <c r="I118" s="9"/>
      <c r="J118" s="9"/>
      <c r="K118" s="9"/>
      <c r="L118" s="9"/>
      <c r="M118" s="9"/>
      <c r="N118" s="9"/>
    </row>
    <row r="119">
      <c r="A119" s="1"/>
      <c r="B119" s="46" t="str">
        <f>'Players&gt;List'!$B26</f>
        <v>[SCO]</v>
      </c>
      <c r="C119" s="47">
        <f>COUNTIF('Co-op&gt;Levels&gt;Intro'!$A:$N, $B58)</f>
        <v>0</v>
      </c>
      <c r="D119" s="47">
        <f>COUNTIF('Co-op&gt;Levels&gt;N++'!$A:$N, $B58)</f>
        <v>0</v>
      </c>
      <c r="E119" s="47">
        <f>COUNTIF('Co-op&gt;Levels&gt;Legacy'!$A:$N, $B58)</f>
        <v>0</v>
      </c>
      <c r="F119" s="54">
        <f t="shared" si="10"/>
        <v>0</v>
      </c>
      <c r="G119" s="9"/>
      <c r="H119" s="9"/>
      <c r="I119" s="9"/>
      <c r="J119" s="9"/>
      <c r="K119" s="9"/>
      <c r="L119" s="9"/>
      <c r="M119" s="9"/>
      <c r="N119" s="9"/>
    </row>
    <row r="120">
      <c r="A120" s="1"/>
      <c r="B120" s="46" t="str">
        <f>'Players&gt;List'!$B27</f>
        <v>[SKY]</v>
      </c>
      <c r="C120" s="47">
        <f>COUNTIF('Co-op&gt;Levels&gt;Intro'!$A:$N, $B59)</f>
        <v>0</v>
      </c>
      <c r="D120" s="47">
        <f>COUNTIF('Co-op&gt;Levels&gt;N++'!$A:$N, $B59)</f>
        <v>0</v>
      </c>
      <c r="E120" s="47">
        <f>COUNTIF('Co-op&gt;Levels&gt;Legacy'!$A:$N, $B59)</f>
        <v>0</v>
      </c>
      <c r="F120" s="54">
        <f t="shared" si="10"/>
        <v>0</v>
      </c>
      <c r="G120" s="9"/>
      <c r="H120" s="9"/>
      <c r="I120" s="9"/>
      <c r="J120" s="9"/>
      <c r="K120" s="9"/>
      <c r="L120" s="9"/>
      <c r="M120" s="9"/>
      <c r="N120" s="9"/>
    </row>
    <row r="121">
      <c r="A121" s="1"/>
      <c r="B121" s="46" t="str">
        <f>'Players&gt;List'!$B28</f>
        <v>[SUN]</v>
      </c>
      <c r="C121" s="47">
        <f>COUNTIF('Co-op&gt;Levels&gt;Intro'!$A:$N, $B60)</f>
        <v>0</v>
      </c>
      <c r="D121" s="47">
        <f>COUNTIF('Co-op&gt;Levels&gt;N++'!$A:$N, $B60)</f>
        <v>0</v>
      </c>
      <c r="E121" s="47">
        <f>COUNTIF('Co-op&gt;Levels&gt;Legacy'!$A:$N, $B60)</f>
        <v>0</v>
      </c>
      <c r="F121" s="54">
        <f t="shared" si="10"/>
        <v>0</v>
      </c>
      <c r="G121" s="9"/>
      <c r="H121" s="9"/>
      <c r="I121" s="9"/>
      <c r="J121" s="9"/>
      <c r="K121" s="9"/>
      <c r="L121" s="9"/>
      <c r="M121" s="9"/>
      <c r="N121" s="9"/>
    </row>
    <row r="122">
      <c r="A122" s="1"/>
      <c r="B122" s="46" t="str">
        <f>'Players&gt;List'!$B29</f>
        <v>[SYS]</v>
      </c>
      <c r="C122" s="47">
        <f>COUNTIF('Co-op&gt;Levels&gt;Intro'!$A:$N, $B61)</f>
        <v>0</v>
      </c>
      <c r="D122" s="47">
        <f>COUNTIF('Co-op&gt;Levels&gt;N++'!$A:$N, $B61) + COUNTIF('Co-op&gt;Levels&gt;N++'!$A:$N, 'Data&gt;Debug&gt;Formulas'!$H8)</f>
        <v>505</v>
      </c>
      <c r="E122" s="47">
        <f>COUNTIF('Co-op&gt;Levels&gt;Legacy'!$A:$N, $B61)</f>
        <v>0</v>
      </c>
      <c r="F122" s="54">
        <f>SUM(C122:D122)</f>
        <v>505</v>
      </c>
      <c r="G122" s="9"/>
      <c r="H122" s="9"/>
      <c r="I122" s="9"/>
      <c r="J122" s="9"/>
      <c r="K122" s="9"/>
      <c r="L122" s="9"/>
      <c r="M122" s="9"/>
      <c r="N122" s="9"/>
    </row>
    <row r="123">
      <c r="A123" s="1"/>
      <c r="B123" s="46" t="str">
        <f>'Players&gt;List'!$B30</f>
        <v>[TST]</v>
      </c>
      <c r="C123" s="47">
        <f>COUNTIF('Co-op&gt;Levels&gt;Intro'!$A:$N, $B62)</f>
        <v>0</v>
      </c>
      <c r="D123" s="47">
        <f>COUNTIF('Co-op&gt;Levels&gt;N++'!$A:$N, $B62)</f>
        <v>0</v>
      </c>
      <c r="E123" s="47">
        <f>COUNTIF('Co-op&gt;Levels&gt;Legacy'!$A:$N, $B62)</f>
        <v>0</v>
      </c>
      <c r="F123" s="54">
        <f t="shared" ref="F123:F126" si="11">SUM(C123:E123)</f>
        <v>0</v>
      </c>
      <c r="G123" s="9"/>
      <c r="H123" s="9"/>
      <c r="I123" s="9"/>
      <c r="J123" s="9"/>
      <c r="K123" s="9"/>
      <c r="L123" s="9"/>
      <c r="M123" s="9"/>
      <c r="N123" s="9"/>
    </row>
    <row r="124">
      <c r="A124" s="1"/>
      <c r="B124" s="46" t="str">
        <f>'Players&gt;List'!$B31</f>
        <v>[WHA]</v>
      </c>
      <c r="C124" s="47">
        <f>COUNTIF('Co-op&gt;Levels&gt;Intro'!$A:$N, $B63)</f>
        <v>0</v>
      </c>
      <c r="D124" s="47">
        <f>COUNTIF('Co-op&gt;Levels&gt;N++'!$A:$N, $B63) + COUNTIF('Co-op&gt;Levels&gt;N++'!$A:$N, 'Data&gt;Debug&gt;Formulas'!$H11)</f>
        <v>1</v>
      </c>
      <c r="E124" s="47">
        <f>COUNTIF('Co-op&gt;Levels&gt;Legacy'!$A:$N, $B63)</f>
        <v>0</v>
      </c>
      <c r="F124" s="54">
        <f t="shared" si="11"/>
        <v>1</v>
      </c>
      <c r="G124" s="9"/>
      <c r="H124" s="9"/>
      <c r="I124" s="9"/>
      <c r="J124" s="9"/>
      <c r="K124" s="9"/>
      <c r="L124" s="9"/>
      <c r="M124" s="9"/>
      <c r="N124" s="9"/>
    </row>
    <row r="125">
      <c r="A125" s="1"/>
      <c r="B125" s="46" t="str">
        <f>'Players&gt;List'!$B32</f>
        <v>[XEL]</v>
      </c>
      <c r="C125" s="47">
        <f>COUNTIF('Co-op&gt;Levels&gt;Intro'!$A:$N, $B64)</f>
        <v>0</v>
      </c>
      <c r="D125" s="47">
        <f>COUNTIF('Co-op&gt;Levels&gt;N++'!$A:$N, $B64) + COUNTIF('Co-op&gt;Levels&gt;N++'!$A:$N, 'Data&gt;Debug&gt;Formulas'!$H11)</f>
        <v>17</v>
      </c>
      <c r="E125" s="47">
        <f>COUNTIF('Co-op&gt;Levels&gt;Legacy'!$A:$N, $B64)</f>
        <v>3</v>
      </c>
      <c r="F125" s="54">
        <f t="shared" si="11"/>
        <v>20</v>
      </c>
      <c r="G125" s="9"/>
      <c r="H125" s="9"/>
      <c r="I125" s="9"/>
      <c r="J125" s="9"/>
      <c r="K125" s="9"/>
      <c r="L125" s="9"/>
      <c r="M125" s="9"/>
      <c r="N125" s="9"/>
    </row>
    <row r="126">
      <c r="A126" s="1"/>
      <c r="B126" s="45" t="s">
        <v>5566</v>
      </c>
      <c r="C126" s="48">
        <f t="shared" ref="C126:E126" si="12">SUM(C101:C125)</f>
        <v>0</v>
      </c>
      <c r="D126" s="48">
        <f t="shared" si="12"/>
        <v>1137</v>
      </c>
      <c r="E126" s="48">
        <f t="shared" si="12"/>
        <v>16</v>
      </c>
      <c r="F126" s="50">
        <f t="shared" si="11"/>
        <v>1153</v>
      </c>
      <c r="G126" s="9"/>
      <c r="H126" s="9"/>
      <c r="I126" s="9"/>
      <c r="J126" s="9"/>
      <c r="K126" s="9"/>
      <c r="L126" s="9"/>
      <c r="M126" s="9"/>
      <c r="N126" s="9"/>
    </row>
    <row r="127">
      <c r="A127" s="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</sheetData>
  <mergeCells count="118">
    <mergeCell ref="G29:H29"/>
    <mergeCell ref="I29:J29"/>
    <mergeCell ref="G33:H33"/>
    <mergeCell ref="G34:H34"/>
    <mergeCell ref="I28:J28"/>
    <mergeCell ref="G28:H28"/>
    <mergeCell ref="G32:H32"/>
    <mergeCell ref="G30:H30"/>
    <mergeCell ref="G31:H31"/>
    <mergeCell ref="I32:J32"/>
    <mergeCell ref="I38:J38"/>
    <mergeCell ref="C26:D26"/>
    <mergeCell ref="E26:F26"/>
    <mergeCell ref="C27:D27"/>
    <mergeCell ref="E27:F27"/>
    <mergeCell ref="E32:F32"/>
    <mergeCell ref="C32:D32"/>
    <mergeCell ref="E31:F31"/>
    <mergeCell ref="C31:D31"/>
    <mergeCell ref="C29:D29"/>
    <mergeCell ref="C30:D30"/>
    <mergeCell ref="D4:E4"/>
    <mergeCell ref="C9:D9"/>
    <mergeCell ref="C12:D12"/>
    <mergeCell ref="C8:D8"/>
    <mergeCell ref="E16:F16"/>
    <mergeCell ref="E15:F15"/>
    <mergeCell ref="E14:F14"/>
    <mergeCell ref="E13:F13"/>
    <mergeCell ref="C11:D11"/>
    <mergeCell ref="C10:D10"/>
    <mergeCell ref="E12:F12"/>
    <mergeCell ref="E9:F9"/>
    <mergeCell ref="E11:F11"/>
    <mergeCell ref="E10:F10"/>
    <mergeCell ref="E8:F8"/>
    <mergeCell ref="E29:F29"/>
    <mergeCell ref="E30:F30"/>
    <mergeCell ref="E28:F28"/>
    <mergeCell ref="C28:D28"/>
    <mergeCell ref="I31:J31"/>
    <mergeCell ref="I30:J30"/>
    <mergeCell ref="I34:J34"/>
    <mergeCell ref="I33:J33"/>
    <mergeCell ref="C23:D23"/>
    <mergeCell ref="E23:F23"/>
    <mergeCell ref="E24:F24"/>
    <mergeCell ref="E22:F22"/>
    <mergeCell ref="C24:D24"/>
    <mergeCell ref="C22:D22"/>
    <mergeCell ref="E25:F25"/>
    <mergeCell ref="C25:D25"/>
    <mergeCell ref="B97:J98"/>
    <mergeCell ref="C99:E99"/>
    <mergeCell ref="C33:D33"/>
    <mergeCell ref="E33:F33"/>
    <mergeCell ref="C34:D34"/>
    <mergeCell ref="E34:F34"/>
    <mergeCell ref="B36:J37"/>
    <mergeCell ref="C38:H38"/>
    <mergeCell ref="B67:J68"/>
    <mergeCell ref="I9:J9"/>
    <mergeCell ref="I10:J10"/>
    <mergeCell ref="I13:J13"/>
    <mergeCell ref="I14:J14"/>
    <mergeCell ref="I12:J12"/>
    <mergeCell ref="I11:J11"/>
    <mergeCell ref="I17:J17"/>
    <mergeCell ref="I16:J16"/>
    <mergeCell ref="E17:F17"/>
    <mergeCell ref="B6:J7"/>
    <mergeCell ref="C13:D13"/>
    <mergeCell ref="C14:D14"/>
    <mergeCell ref="I8:J8"/>
    <mergeCell ref="C15:D15"/>
    <mergeCell ref="G8:H8"/>
    <mergeCell ref="I15:J15"/>
    <mergeCell ref="G14:H14"/>
    <mergeCell ref="G13:H13"/>
    <mergeCell ref="G17:H17"/>
    <mergeCell ref="G9:H9"/>
    <mergeCell ref="G10:H10"/>
    <mergeCell ref="G11:H11"/>
    <mergeCell ref="G12:H12"/>
    <mergeCell ref="G16:H16"/>
    <mergeCell ref="G15:H15"/>
    <mergeCell ref="I25:J25"/>
    <mergeCell ref="I24:J24"/>
    <mergeCell ref="G22:H22"/>
    <mergeCell ref="I22:J22"/>
    <mergeCell ref="G27:H27"/>
    <mergeCell ref="G24:H24"/>
    <mergeCell ref="G26:H26"/>
    <mergeCell ref="G25:H25"/>
    <mergeCell ref="I27:J27"/>
    <mergeCell ref="I26:J26"/>
    <mergeCell ref="I23:J23"/>
    <mergeCell ref="G23:H23"/>
    <mergeCell ref="E19:F19"/>
    <mergeCell ref="E20:F20"/>
    <mergeCell ref="C20:D20"/>
    <mergeCell ref="C19:D19"/>
    <mergeCell ref="C18:D18"/>
    <mergeCell ref="C21:D21"/>
    <mergeCell ref="E21:F21"/>
    <mergeCell ref="E18:F18"/>
    <mergeCell ref="G19:H19"/>
    <mergeCell ref="G18:H18"/>
    <mergeCell ref="I20:J20"/>
    <mergeCell ref="I19:J19"/>
    <mergeCell ref="G20:H20"/>
    <mergeCell ref="G21:H21"/>
    <mergeCell ref="I21:J21"/>
    <mergeCell ref="I18:J18"/>
    <mergeCell ref="C17:D17"/>
    <mergeCell ref="C16:D16"/>
    <mergeCell ref="B1:M3"/>
    <mergeCell ref="B4:C4"/>
  </mergeCells>
  <conditionalFormatting sqref="B1:M3">
    <cfRule type="cellIs" dxfId="1" priority="1" operator="equal">
      <formula>"In Progress"</formula>
    </cfRule>
  </conditionalFormatting>
  <hyperlinks>
    <hyperlink display="N++&gt;Players" location="Main Menu!A1" ref="B1"/>
    <hyperlink display="List" location="Players&gt;List!A1" ref="B4"/>
  </hyperlin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6267</v>
      </c>
      <c r="N1" s="4"/>
    </row>
    <row r="2">
      <c r="A2" s="1"/>
      <c r="N2" s="4"/>
    </row>
    <row r="3">
      <c r="A3" s="1"/>
      <c r="N3" s="4"/>
    </row>
    <row r="4">
      <c r="A4" s="1"/>
      <c r="B4" s="31" t="s">
        <v>43</v>
      </c>
      <c r="D4" s="7" t="s">
        <v>44</v>
      </c>
      <c r="F4" s="7" t="s">
        <v>45</v>
      </c>
      <c r="H4" s="7" t="s">
        <v>47</v>
      </c>
      <c r="J4" s="9"/>
      <c r="K4" s="9"/>
      <c r="L4" s="9"/>
      <c r="M4" s="9"/>
      <c r="N4" s="12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"/>
      <c r="B6" s="55" t="s">
        <v>6272</v>
      </c>
      <c r="F6" s="56" t="str">
        <f>FIXED('Score&gt;Pre-UE'!H6, 6) &amp; " ++ " &amp; FIXED('Score&gt;UE'!H6, 6)</f>
        <v>0.625684 ++ 0.777367</v>
      </c>
      <c r="N6" s="9"/>
    </row>
    <row r="7">
      <c r="A7" s="1"/>
      <c r="N7" s="9"/>
    </row>
    <row r="8">
      <c r="A8" s="1"/>
      <c r="B8" s="55" t="s">
        <v>6277</v>
      </c>
      <c r="H8" s="56" t="str">
        <f>'Score&gt;Pre-UE'!H15+'Score&gt;UE'!I15+'Score&gt;UE'!I20+'Score&gt;Pre-UE'!H20+'Score&gt;UE'!I25+'Score&gt;Pre-UE'!H25+'Score&gt;UE'!I30 &amp; " / " &amp; 'Score&gt;Pre-UE'!H16+'Score&gt;UE'!I16+'Score&gt;UE'!I21+'Score&gt;Pre-UE'!H21+'Score&gt;UE'!I26+'Score&gt;Pre-UE'!H26+'Score&gt;UE'!I31</f>
        <v>7348 / 10630</v>
      </c>
      <c r="N8" s="9"/>
    </row>
    <row r="9">
      <c r="A9" s="1"/>
      <c r="N9" s="9"/>
    </row>
    <row r="10">
      <c r="A10" s="1"/>
      <c r="B10" s="57" t="str">
        <f>IFERROR(__xludf.DUMMYFUNCTION("IF((B20) / (C20) = 1, SPARKLINE(B20,{""charttype"",""bar"";""color1"", ""#e3e3e5"";""max"",C20}), SPARKLINE(B20,{""charttype"",""bar"";""color1"", ""#882285"";""max"",C20}))"),"")</f>
        <v/>
      </c>
      <c r="N10" s="9"/>
    </row>
    <row r="11">
      <c r="A11" s="1"/>
      <c r="N11" s="9"/>
    </row>
    <row r="12">
      <c r="A12" s="1"/>
      <c r="B12" s="55" t="s">
        <v>6285</v>
      </c>
      <c r="H12" s="56" t="str">
        <f>'Score&gt;Pre-UE'!H15+'Score&gt;UE'!I15 &amp; " / " &amp; 'Score&gt;Pre-UE'!H16+'Score&gt;UE'!I16</f>
        <v>4555 / 7280</v>
      </c>
      <c r="N12" s="9"/>
    </row>
    <row r="13">
      <c r="A13" s="1"/>
      <c r="N13" s="9"/>
    </row>
    <row r="14">
      <c r="A14" s="1"/>
      <c r="B14" s="55" t="s">
        <v>6287</v>
      </c>
      <c r="H14" s="56" t="str">
        <f>'Score&gt;UE'!I20 &amp; " / " &amp; 'Score&gt;UE'!I21</f>
        <v>78 / 195</v>
      </c>
      <c r="N14" s="9"/>
    </row>
    <row r="15">
      <c r="A15" s="1"/>
      <c r="N15" s="9"/>
    </row>
    <row r="16">
      <c r="A16" s="1"/>
      <c r="B16" s="55" t="s">
        <v>6290</v>
      </c>
      <c r="H16" s="56" t="str">
        <f>'Score&gt;Pre-UE'!H20+'Score&gt;UE'!I25 &amp; " / " &amp; 'Score&gt;Pre-UE'!H21+'Score&gt;UE'!I26</f>
        <v>1520 / 1960</v>
      </c>
      <c r="N16" s="9"/>
    </row>
    <row r="17">
      <c r="A17" s="1"/>
      <c r="N17" s="9"/>
    </row>
    <row r="18">
      <c r="A18" s="1"/>
      <c r="B18" s="55" t="s">
        <v>6292</v>
      </c>
      <c r="H18" s="56" t="str">
        <f>'Score&gt;Pre-UE'!H25+'Score&gt;UE'!I30 &amp; " / " &amp; 'Score&gt;Pre-UE'!H26+'Score&gt;UE'!I31</f>
        <v>1195 / 1195</v>
      </c>
      <c r="N18" s="9"/>
    </row>
    <row r="19">
      <c r="A19" s="1"/>
      <c r="N19" s="9"/>
    </row>
    <row r="20">
      <c r="A20" s="1"/>
      <c r="B20" s="60">
        <f>'Score&gt;Pre-UE'!H15+'Score&gt;UE'!I15+'Score&gt;UE'!I20+'Score&gt;Pre-UE'!H20+'Score&gt;UE'!I25+'Score&gt;Pre-UE'!H25+'Score&gt;UE'!I30</f>
        <v>7348</v>
      </c>
      <c r="C20" s="60">
        <f>'Score&gt;Pre-UE'!H16+'Score&gt;UE'!I16+'Score&gt;UE'!I21+'Score&gt;Pre-UE'!H21+'Score&gt;UE'!I26+'Score&gt;Pre-UE'!H26+'Score&gt;UE'!I31</f>
        <v>10630</v>
      </c>
      <c r="D20" s="13"/>
      <c r="E20" s="47"/>
      <c r="F20" s="47"/>
      <c r="G20" s="47"/>
      <c r="H20" s="47"/>
      <c r="I20" s="10"/>
      <c r="J20" s="10"/>
      <c r="K20" s="10"/>
      <c r="L20" s="63"/>
      <c r="M20" s="9"/>
      <c r="N20" s="9"/>
    </row>
  </sheetData>
  <mergeCells count="18">
    <mergeCell ref="B14:G15"/>
    <mergeCell ref="B16:G17"/>
    <mergeCell ref="B18:G19"/>
    <mergeCell ref="H14:M15"/>
    <mergeCell ref="H12:M13"/>
    <mergeCell ref="H16:M17"/>
    <mergeCell ref="H18:M19"/>
    <mergeCell ref="B6:E7"/>
    <mergeCell ref="B8:G9"/>
    <mergeCell ref="H8:M9"/>
    <mergeCell ref="B10:M11"/>
    <mergeCell ref="B12:G13"/>
    <mergeCell ref="B4:C4"/>
    <mergeCell ref="B1:M3"/>
    <mergeCell ref="H4:I4"/>
    <mergeCell ref="F6:M7"/>
    <mergeCell ref="F4:G4"/>
    <mergeCell ref="D4:E4"/>
  </mergeCells>
  <conditionalFormatting sqref="B1:B2">
    <cfRule type="cellIs" dxfId="1" priority="1" operator="equal">
      <formula>"In Progress"</formula>
    </cfRule>
  </conditionalFormatting>
  <hyperlinks>
    <hyperlink display="N++&gt;Score" location="Main Menu!A1" ref="B1"/>
    <hyperlink display="Pre-UE" location="Score&gt;Pre-UE!A1" ref="D4"/>
    <hyperlink display="UE" location="Score&gt;UE!A1" ref="F4"/>
    <hyperlink display="Secrets" location="Score&gt;Secrets!A1" ref="H4"/>
  </hyperlin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6267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43</v>
      </c>
      <c r="D4" s="31" t="s">
        <v>44</v>
      </c>
      <c r="F4" s="7" t="s">
        <v>45</v>
      </c>
      <c r="H4" s="7" t="s">
        <v>47</v>
      </c>
      <c r="J4" s="9"/>
      <c r="K4" s="9"/>
      <c r="L4" s="9"/>
      <c r="M4" s="9"/>
      <c r="N4" s="12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"/>
      <c r="B6" s="55" t="s">
        <v>6274</v>
      </c>
      <c r="H6" s="56" t="str">
        <f>FIXED((H15+H20+H25) / (H16+H21+H26), 6)</f>
        <v>0.625684</v>
      </c>
      <c r="N6" s="4"/>
    </row>
    <row r="7">
      <c r="A7" s="1"/>
      <c r="N7" s="4"/>
    </row>
    <row r="8">
      <c r="A8" s="1"/>
      <c r="B8" s="55" t="s">
        <v>6278</v>
      </c>
      <c r="H8" s="56" t="str">
        <f>H15+H20+H25 &amp; " / " &amp; H16+H21+H26</f>
        <v>3776 / 6035</v>
      </c>
      <c r="N8" s="4"/>
    </row>
    <row r="9">
      <c r="A9" s="1"/>
      <c r="N9" s="4"/>
    </row>
    <row r="10">
      <c r="A10" s="1"/>
      <c r="B10" s="57" t="str">
        <f>IFERROR(__xludf.DUMMYFUNCTION("IF((H15+H20+H25) / (H16+H21+H26) = 1, SPARKLINE((H15+H20+H25),{""charttype"",""bar"";""color1"", ""#e3e3e5"";""max"",(H16+H21+H26)}), SPARKLINE((H15+H20+H25),{""charttype"",""bar"";""color1"", ""#882285"";""max"",(H16+H21+H26)}))"),"")</f>
        <v/>
      </c>
      <c r="N10" s="4"/>
    </row>
    <row r="11">
      <c r="A11" s="1"/>
      <c r="N11" s="4"/>
    </row>
    <row r="12">
      <c r="A12" s="1"/>
      <c r="B12" s="55" t="s">
        <v>43</v>
      </c>
      <c r="N12" s="4"/>
    </row>
    <row r="13">
      <c r="A13" s="1"/>
      <c r="N13" s="4"/>
    </row>
    <row r="14">
      <c r="A14" s="1"/>
      <c r="B14" s="58" t="s">
        <v>5562</v>
      </c>
      <c r="D14" s="9" t="s">
        <v>2</v>
      </c>
      <c r="E14" s="9" t="s">
        <v>3</v>
      </c>
      <c r="F14" s="9" t="s">
        <v>5</v>
      </c>
      <c r="G14" s="9" t="s">
        <v>6</v>
      </c>
      <c r="H14" s="9" t="s">
        <v>5566</v>
      </c>
      <c r="I14" s="55"/>
      <c r="J14" s="55"/>
      <c r="K14" s="55"/>
      <c r="L14" s="55"/>
      <c r="M14" s="55"/>
      <c r="N14" s="4"/>
    </row>
    <row r="15">
      <c r="A15" s="1"/>
      <c r="B15" s="59" t="s">
        <v>6288</v>
      </c>
      <c r="D15" s="47">
        <f t="shared" ref="D15:D16" si="1">H32</f>
        <v>128</v>
      </c>
      <c r="E15" s="47">
        <f t="shared" ref="E15:E16" si="2">H37</f>
        <v>1340</v>
      </c>
      <c r="F15" s="47">
        <f t="shared" ref="F15:F16" si="3">H42</f>
        <v>613</v>
      </c>
      <c r="G15" s="47">
        <f t="shared" ref="G15:G16" si="4">H47</f>
        <v>507</v>
      </c>
      <c r="H15" s="47">
        <f t="shared" ref="H15:H16" si="5">SUM(D15:G15)</f>
        <v>2588</v>
      </c>
      <c r="I15" s="55"/>
      <c r="J15" s="55"/>
      <c r="K15" s="55"/>
      <c r="L15" s="55"/>
      <c r="M15" s="55"/>
      <c r="N15" s="4"/>
    </row>
    <row r="16">
      <c r="A16" s="1"/>
      <c r="B16" s="59" t="s">
        <v>43</v>
      </c>
      <c r="D16" s="47">
        <f t="shared" si="1"/>
        <v>250</v>
      </c>
      <c r="E16" s="47">
        <f t="shared" si="2"/>
        <v>2496</v>
      </c>
      <c r="F16" s="47">
        <f t="shared" si="3"/>
        <v>1200</v>
      </c>
      <c r="G16" s="47">
        <f t="shared" si="4"/>
        <v>704</v>
      </c>
      <c r="H16" s="47">
        <f t="shared" si="5"/>
        <v>4650</v>
      </c>
      <c r="I16" s="55"/>
      <c r="J16" s="55"/>
      <c r="K16" s="55"/>
      <c r="L16" s="55"/>
      <c r="M16" s="55"/>
      <c r="N16" s="4"/>
    </row>
    <row r="17">
      <c r="A17" s="1"/>
      <c r="B17" s="61" t="s">
        <v>6294</v>
      </c>
      <c r="D17" s="62" t="str">
        <f t="shared" ref="D17:H17" si="6">FIXED(D15/D16, 3)</f>
        <v>0.512</v>
      </c>
      <c r="E17" s="62" t="str">
        <f t="shared" si="6"/>
        <v>0.537</v>
      </c>
      <c r="F17" s="62" t="str">
        <f t="shared" si="6"/>
        <v>0.511</v>
      </c>
      <c r="G17" s="62" t="str">
        <f t="shared" si="6"/>
        <v>0.720</v>
      </c>
      <c r="H17" s="62" t="str">
        <f t="shared" si="6"/>
        <v>0.557</v>
      </c>
      <c r="I17" s="55"/>
      <c r="J17" s="55"/>
      <c r="K17" s="55"/>
      <c r="L17" s="55"/>
      <c r="M17" s="55"/>
      <c r="N17" s="4"/>
    </row>
    <row r="18">
      <c r="A18" s="1"/>
      <c r="B18" s="61" t="s">
        <v>6299</v>
      </c>
      <c r="D18" s="64" t="str">
        <f>IFERROR(__xludf.DUMMYFUNCTION("IF(D15/D16 = 1, SPARKLINE(D15,{""charttype"",""bar"";""color1"", ""#e3e3e5"";""max"",D16}), SPARKLINE(D15,{""charttype"",""bar"";""color1"", ""#882285"";""max"",D16}))"),"")</f>
        <v/>
      </c>
      <c r="E18" s="64" t="str">
        <f>IFERROR(__xludf.DUMMYFUNCTION("IF(E15/E16 = 1, SPARKLINE(E15,{""charttype"",""bar"";""color1"", ""#e3e3e5"";""max"",E16}), SPARKLINE(E15,{""charttype"",""bar"";""color1"", ""#882285"";""max"",E16}))"),"")</f>
        <v/>
      </c>
      <c r="F18" s="64" t="str">
        <f>IFERROR(__xludf.DUMMYFUNCTION("IF(F15/F16 = 1, SPARKLINE(F15,{""charttype"",""bar"";""color1"", ""#e3e3e5"";""max"",F16}), SPARKLINE(F15,{""charttype"",""bar"";""color1"", ""#882285"";""max"",F16}))"),"")</f>
        <v/>
      </c>
      <c r="G18" s="64" t="str">
        <f>IFERROR(__xludf.DUMMYFUNCTION("IF(G15/G16 = 1, SPARKLINE(G15,{""charttype"",""bar"";""color1"", ""#e3e3e5"";""max"",G16}), SPARKLINE(G15,{""charttype"",""bar"";""color1"", ""#882285"";""max"",G16}))"),"")</f>
        <v/>
      </c>
      <c r="H18" s="64" t="str">
        <f>IFERROR(__xludf.DUMMYFUNCTION("IF(H15/H16 = 1, SPARKLINE(H15,{""charttype"",""bar"";""color1"", ""#e3e3e5"";""max"",H16}), SPARKLINE(H15,{""charttype"",""bar"";""color1"", ""#882285"";""max"",H16}))"),"")</f>
        <v/>
      </c>
      <c r="I18" s="55"/>
      <c r="J18" s="55"/>
      <c r="K18" s="55"/>
      <c r="L18" s="55"/>
      <c r="M18" s="55"/>
      <c r="N18" s="4"/>
    </row>
    <row r="19">
      <c r="A19" s="1"/>
      <c r="B19" s="58" t="s">
        <v>5565</v>
      </c>
      <c r="D19" s="9" t="s">
        <v>2</v>
      </c>
      <c r="E19" s="9" t="s">
        <v>3</v>
      </c>
      <c r="F19" s="9" t="s">
        <v>5</v>
      </c>
      <c r="G19" s="55"/>
      <c r="H19" s="9" t="s">
        <v>5566</v>
      </c>
      <c r="I19" s="55"/>
      <c r="J19" s="55"/>
      <c r="K19" s="55"/>
      <c r="L19" s="55"/>
      <c r="M19" s="55"/>
      <c r="N19" s="4"/>
    </row>
    <row r="20">
      <c r="A20" s="1"/>
      <c r="B20" s="59" t="s">
        <v>6288</v>
      </c>
      <c r="D20" s="47">
        <f t="shared" ref="D20:D21" si="7">F54</f>
        <v>50</v>
      </c>
      <c r="E20" s="47">
        <f t="shared" ref="E20:E21" si="8">F59</f>
        <v>569</v>
      </c>
      <c r="F20" s="47">
        <f t="shared" ref="F20:F21" si="9">F64</f>
        <v>124</v>
      </c>
      <c r="G20" s="55"/>
      <c r="H20" s="47">
        <f t="shared" ref="H20:H21" si="10">SUM(D20:F20)</f>
        <v>743</v>
      </c>
      <c r="I20" s="55"/>
      <c r="J20" s="55"/>
      <c r="K20" s="55"/>
      <c r="L20" s="55"/>
      <c r="M20" s="55"/>
      <c r="N20" s="4"/>
    </row>
    <row r="21">
      <c r="A21" s="1"/>
      <c r="B21" s="59" t="s">
        <v>43</v>
      </c>
      <c r="D21" s="47">
        <f t="shared" si="7"/>
        <v>100</v>
      </c>
      <c r="E21" s="47">
        <f t="shared" si="8"/>
        <v>600</v>
      </c>
      <c r="F21" s="47">
        <f t="shared" si="9"/>
        <v>240</v>
      </c>
      <c r="G21" s="55"/>
      <c r="H21" s="47">
        <f t="shared" si="10"/>
        <v>940</v>
      </c>
      <c r="I21" s="55"/>
      <c r="J21" s="55"/>
      <c r="K21" s="55"/>
      <c r="L21" s="55"/>
      <c r="M21" s="55"/>
      <c r="N21" s="4"/>
    </row>
    <row r="22">
      <c r="A22" s="1"/>
      <c r="B22" s="61" t="s">
        <v>6294</v>
      </c>
      <c r="D22" s="62" t="str">
        <f t="shared" ref="D22:F22" si="11">FIXED(D20/D21, 3)</f>
        <v>0.500</v>
      </c>
      <c r="E22" s="62" t="str">
        <f t="shared" si="11"/>
        <v>0.948</v>
      </c>
      <c r="F22" s="62" t="str">
        <f t="shared" si="11"/>
        <v>0.517</v>
      </c>
      <c r="G22" s="55"/>
      <c r="H22" s="62" t="str">
        <f>FIXED(H20/H21, 3)</f>
        <v>0.790</v>
      </c>
      <c r="I22" s="55"/>
      <c r="J22" s="55"/>
      <c r="K22" s="55"/>
      <c r="L22" s="55"/>
      <c r="M22" s="55"/>
      <c r="N22" s="4"/>
    </row>
    <row r="23">
      <c r="A23" s="1"/>
      <c r="B23" s="61" t="s">
        <v>6299</v>
      </c>
      <c r="D23" s="64" t="str">
        <f>IFERROR(__xludf.DUMMYFUNCTION("IF(D20/D21 = 1, SPARKLINE(D20,{""charttype"",""bar"";""color1"", ""#e3e3e5"";""max"",D21}), SPARKLINE(D20,{""charttype"",""bar"";""color1"", ""#882285"";""max"",D21}))"),"")</f>
        <v/>
      </c>
      <c r="E23" s="64" t="str">
        <f>IFERROR(__xludf.DUMMYFUNCTION("IF(E20/E21 = 1, SPARKLINE(E20,{""charttype"",""bar"";""color1"", ""#e3e3e5"";""max"",E21}), SPARKLINE(E20,{""charttype"",""bar"";""color1"", ""#882285"";""max"",E21}))"),"")</f>
        <v/>
      </c>
      <c r="F23" s="64" t="str">
        <f>IFERROR(__xludf.DUMMYFUNCTION("IF(F20/F21 = 1, SPARKLINE(F20,{""charttype"",""bar"";""color1"", ""#e3e3e5"";""max"",F21}), SPARKLINE(F20,{""charttype"",""bar"";""color1"", ""#882285"";""max"",F21}))"),"")</f>
        <v/>
      </c>
      <c r="G23" s="65"/>
      <c r="H23" s="64" t="str">
        <f>IFERROR(__xludf.DUMMYFUNCTION("IF(H20/H21 = 1, SPARKLINE(H20,{""charttype"",""bar"";""color1"", ""#e3e3e5"";""max"",H21}), SPARKLINE(H20,{""charttype"",""bar"";""color1"", ""#882285"";""max"",H21}))"),"")</f>
        <v/>
      </c>
      <c r="I23" s="55"/>
      <c r="J23" s="55"/>
      <c r="K23" s="55"/>
      <c r="L23" s="55"/>
      <c r="M23" s="55"/>
      <c r="N23" s="4"/>
    </row>
    <row r="24">
      <c r="A24" s="1"/>
      <c r="B24" s="58" t="s">
        <v>6318</v>
      </c>
      <c r="D24" s="9" t="s">
        <v>2</v>
      </c>
      <c r="E24" s="9" t="s">
        <v>3</v>
      </c>
      <c r="F24" s="9" t="s">
        <v>5</v>
      </c>
      <c r="G24" s="55"/>
      <c r="H24" s="9" t="s">
        <v>5566</v>
      </c>
      <c r="I24" s="55"/>
      <c r="J24" s="55"/>
      <c r="K24" s="55"/>
      <c r="L24" s="55"/>
      <c r="M24" s="55"/>
      <c r="N24" s="4"/>
    </row>
    <row r="25">
      <c r="A25" s="1"/>
      <c r="B25" s="59" t="s">
        <v>6288</v>
      </c>
      <c r="D25" s="47">
        <f t="shared" ref="D25:D26" si="12">E71</f>
        <v>25</v>
      </c>
      <c r="E25" s="47">
        <f t="shared" ref="E25:E26" si="13">E76</f>
        <v>300</v>
      </c>
      <c r="F25" s="47">
        <f t="shared" ref="F25:F26" si="14">E81</f>
        <v>120</v>
      </c>
      <c r="G25" s="55"/>
      <c r="H25" s="47">
        <f t="shared" ref="H25:H26" si="15">SUM(D25:F25)</f>
        <v>445</v>
      </c>
      <c r="I25" s="55"/>
      <c r="J25" s="55"/>
      <c r="K25" s="55"/>
      <c r="L25" s="55"/>
      <c r="M25" s="55"/>
      <c r="N25" s="4"/>
    </row>
    <row r="26">
      <c r="A26" s="1"/>
      <c r="B26" s="59" t="s">
        <v>43</v>
      </c>
      <c r="D26" s="47">
        <f t="shared" si="12"/>
        <v>25</v>
      </c>
      <c r="E26" s="47">
        <f t="shared" si="13"/>
        <v>300</v>
      </c>
      <c r="F26" s="47">
        <f t="shared" si="14"/>
        <v>120</v>
      </c>
      <c r="G26" s="55"/>
      <c r="H26" s="47">
        <f t="shared" si="15"/>
        <v>445</v>
      </c>
      <c r="I26" s="55"/>
      <c r="J26" s="55"/>
      <c r="K26" s="55"/>
      <c r="L26" s="55"/>
      <c r="M26" s="55"/>
      <c r="N26" s="4"/>
    </row>
    <row r="27">
      <c r="A27" s="1"/>
      <c r="B27" s="61" t="s">
        <v>6294</v>
      </c>
      <c r="D27" s="62" t="str">
        <f t="shared" ref="D27:F27" si="16">FIXED(D25/D26, 3)</f>
        <v>1.000</v>
      </c>
      <c r="E27" s="62" t="str">
        <f t="shared" si="16"/>
        <v>1.000</v>
      </c>
      <c r="F27" s="62" t="str">
        <f t="shared" si="16"/>
        <v>1.000</v>
      </c>
      <c r="G27" s="55"/>
      <c r="H27" s="62" t="str">
        <f>FIXED(H25/H26, 3)</f>
        <v>1.000</v>
      </c>
      <c r="I27" s="55"/>
      <c r="J27" s="55"/>
      <c r="K27" s="55"/>
      <c r="L27" s="55"/>
      <c r="M27" s="55"/>
      <c r="N27" s="4"/>
    </row>
    <row r="28">
      <c r="A28" s="1"/>
      <c r="B28" s="61" t="s">
        <v>6299</v>
      </c>
      <c r="D28" s="64" t="str">
        <f>IFERROR(__xludf.DUMMYFUNCTION("IF(D25/D26 = 1, SPARKLINE(D25,{""charttype"",""bar"";""color1"", ""#e3e3e5"";""max"",D26}), SPARKLINE(D25,{""charttype"",""bar"";""color1"", ""#882285"";""max"",D26}))"),"")</f>
        <v/>
      </c>
      <c r="E28" s="64" t="str">
        <f>IFERROR(__xludf.DUMMYFUNCTION("IF(E25/E26 = 1, SPARKLINE(E25,{""charttype"",""bar"";""color1"", ""#e3e3e5"";""max"",E26}), SPARKLINE(E25,{""charttype"",""bar"";""color1"", ""#882285"";""max"",E26}))"),"")</f>
        <v/>
      </c>
      <c r="F28" s="64" t="str">
        <f>IFERROR(__xludf.DUMMYFUNCTION("IF(F25/F26 = 1, SPARKLINE(F25,{""charttype"",""bar"";""color1"", ""#e3e3e5"";""max"",F26}), SPARKLINE(F25,{""charttype"",""bar"";""color1"", ""#882285"";""max"",F26}))"),"")</f>
        <v/>
      </c>
      <c r="G28" s="66"/>
      <c r="H28" s="64" t="str">
        <f>IFERROR(__xludf.DUMMYFUNCTION("IF(H25/H26 = 1, SPARKLINE(H25,{""charttype"",""bar"";""color1"", ""#e3e3e5"";""max"",H26}), SPARKLINE(H25,{""charttype"",""bar"";""color1"", ""#882285"";""max"",H26}))"),"")</f>
        <v/>
      </c>
      <c r="I28" s="55"/>
      <c r="J28" s="55"/>
      <c r="K28" s="55"/>
      <c r="L28" s="55"/>
      <c r="M28" s="55"/>
      <c r="N28" s="4"/>
    </row>
    <row r="29">
      <c r="A29" s="1"/>
      <c r="B29" s="55" t="s">
        <v>5562</v>
      </c>
      <c r="N29" s="4"/>
    </row>
    <row r="30">
      <c r="A30" s="1"/>
      <c r="N30" s="4"/>
    </row>
    <row r="31">
      <c r="A31" s="1"/>
      <c r="B31" s="67" t="s">
        <v>2</v>
      </c>
      <c r="D31" s="9" t="s">
        <v>6333</v>
      </c>
      <c r="E31" s="9" t="s">
        <v>14</v>
      </c>
      <c r="F31" s="55"/>
      <c r="G31" s="9"/>
      <c r="H31" s="9" t="s">
        <v>5566</v>
      </c>
      <c r="I31" s="55"/>
      <c r="J31" s="62"/>
      <c r="K31" s="62"/>
      <c r="L31" s="62"/>
      <c r="M31" s="62"/>
      <c r="N31" s="62"/>
    </row>
    <row r="32">
      <c r="A32" s="1"/>
      <c r="B32" s="59" t="s">
        <v>6288</v>
      </c>
      <c r="D32" s="47">
        <f>D33</f>
        <v>125</v>
      </c>
      <c r="E32" s="47">
        <f>DCOUNTA('Solo&gt;Levels&gt;Intro'!E5:F85, 'Solo&gt;Levels&gt;Intro'!E5, 'Data&gt;Debug&gt;Formulas'!E7:F8)</f>
        <v>3</v>
      </c>
      <c r="F32" s="55"/>
      <c r="G32" s="47"/>
      <c r="H32" s="47">
        <f t="shared" ref="H32:H33" si="17">SUM(D32:E32)</f>
        <v>128</v>
      </c>
      <c r="I32" s="55"/>
      <c r="J32" s="62"/>
      <c r="K32" s="62"/>
      <c r="L32" s="62"/>
      <c r="M32" s="62"/>
      <c r="N32" s="62"/>
    </row>
    <row r="33">
      <c r="A33" s="1"/>
      <c r="B33" s="59" t="s">
        <v>43</v>
      </c>
      <c r="D33" s="47">
        <v>125.0</v>
      </c>
      <c r="E33" s="47">
        <f>DCOUNTA('Solo&gt;Levels&gt;Intro'!E5:F85, 'Solo&gt;Levels&gt;Intro'!E5, 'Data&gt;Debug&gt;Formulas'!E7:E8)</f>
        <v>125</v>
      </c>
      <c r="F33" s="55"/>
      <c r="G33" s="68"/>
      <c r="H33" s="47">
        <f t="shared" si="17"/>
        <v>250</v>
      </c>
      <c r="I33" s="68"/>
      <c r="J33" s="62"/>
      <c r="K33" s="62"/>
      <c r="L33" s="62"/>
      <c r="M33" s="62"/>
      <c r="N33" s="62"/>
    </row>
    <row r="34">
      <c r="A34" s="1"/>
      <c r="B34" s="61" t="s">
        <v>6294</v>
      </c>
      <c r="D34" s="62" t="str">
        <f t="shared" ref="D34:E34" si="18">FIXED(D32/D33, 3)</f>
        <v>1.000</v>
      </c>
      <c r="E34" s="62" t="str">
        <f t="shared" si="18"/>
        <v>0.024</v>
      </c>
      <c r="F34" s="55"/>
      <c r="G34" s="68"/>
      <c r="H34" s="62" t="str">
        <f>FIXED(H32/H33, 3)</f>
        <v>0.512</v>
      </c>
      <c r="I34" s="68"/>
      <c r="J34" s="62"/>
      <c r="K34" s="62"/>
      <c r="L34" s="62"/>
      <c r="M34" s="62"/>
      <c r="N34" s="62"/>
    </row>
    <row r="35">
      <c r="A35" s="1"/>
      <c r="B35" s="61" t="s">
        <v>6299</v>
      </c>
      <c r="D35" s="64" t="str">
        <f>IFERROR(__xludf.DUMMYFUNCTION("IF(D32/D33 = 1, SPARKLINE(D32,{""charttype"",""bar"";""color1"", ""#e3e3e5"";""max"",D33}), SPARKLINE(D32,{""charttype"",""bar"";""color1"", ""#882285"";""max"",D33}))"),"")</f>
        <v/>
      </c>
      <c r="E35" s="64" t="str">
        <f>IFERROR(__xludf.DUMMYFUNCTION("IF(E32/E33 = 1, SPARKLINE(E32,{""charttype"",""bar"";""color1"", ""#e3e3e5"";""max"",E33}), SPARKLINE(E32,{""charttype"",""bar"";""color1"", ""#882285"";""max"",E33}))"),"")</f>
        <v/>
      </c>
      <c r="F35" s="55"/>
      <c r="G35" s="68"/>
      <c r="H35" s="64" t="str">
        <f>IFERROR(__xludf.DUMMYFUNCTION("IF(H32/H33 = 1, SPARKLINE(H32,{""charttype"",""bar"";""color1"", ""#e3e3e5"";""max"",H33}), SPARKLINE(H32,{""charttype"",""bar"";""color1"", ""#882285"";""max"",H33}))"),"")</f>
        <v/>
      </c>
      <c r="I35" s="68"/>
      <c r="J35" s="62"/>
      <c r="K35" s="62"/>
      <c r="L35" s="62"/>
      <c r="M35" s="62"/>
      <c r="N35" s="62"/>
    </row>
    <row r="36">
      <c r="A36" s="1"/>
      <c r="B36" s="67" t="s">
        <v>3</v>
      </c>
      <c r="D36" s="9" t="s">
        <v>6333</v>
      </c>
      <c r="E36" s="9" t="s">
        <v>14</v>
      </c>
      <c r="F36" s="9" t="s">
        <v>6346</v>
      </c>
      <c r="G36" s="9" t="s">
        <v>4390</v>
      </c>
      <c r="H36" s="9" t="s">
        <v>5566</v>
      </c>
      <c r="I36" s="10"/>
      <c r="J36" s="62"/>
      <c r="K36" s="62"/>
      <c r="L36" s="62"/>
      <c r="M36" s="62"/>
      <c r="N36" s="62"/>
    </row>
    <row r="37">
      <c r="A37" s="1"/>
      <c r="B37" s="59" t="s">
        <v>6288</v>
      </c>
      <c r="D37" s="47">
        <f>D38</f>
        <v>600</v>
      </c>
      <c r="E37" s="47">
        <f>DCOUNTA('Solo&gt;Levels&gt;N++'!E5:F85, 'Solo&gt;Levels&gt;N++'!E5, 'Data&gt;Debug&gt;Formulas'!E7:F8)</f>
        <v>210</v>
      </c>
      <c r="F37" s="47">
        <f>DCOUNTA('Solo&gt;Levels&gt;N++'!E5:F85, 'Solo&gt;Levels&gt;N++'!E5, 'Data&gt;Debug&gt;Formulas'!E11:F21)</f>
        <v>522</v>
      </c>
      <c r="G37" s="47">
        <f>DCOUNTA('Solo&gt;Episodes&gt;N++'!E5:F85, 'Solo&gt;Episodes&gt;N++'!E5, 'Data&gt;Debug&gt;Formulas'!E9:F10)</f>
        <v>8</v>
      </c>
      <c r="H37" s="47">
        <f t="shared" ref="H37:H38" si="19">SUM(D37:G37)</f>
        <v>1340</v>
      </c>
      <c r="I37" s="10"/>
      <c r="J37" s="62"/>
      <c r="K37" s="62"/>
      <c r="L37" s="62"/>
      <c r="M37" s="62"/>
      <c r="N37" s="62"/>
    </row>
    <row r="38">
      <c r="A38" s="1"/>
      <c r="B38" s="59" t="s">
        <v>43</v>
      </c>
      <c r="D38" s="47">
        <v>600.0</v>
      </c>
      <c r="E38" s="47">
        <f>DCOUNTA('Solo&gt;Levels&gt;N++'!E5:F85, 'Solo&gt;Levels&gt;N++'!E5, 'Data&gt;Debug&gt;Formulas'!E7:E8)</f>
        <v>600</v>
      </c>
      <c r="F38" s="47">
        <f>DCOUNTA('Solo&gt;Levels&gt;N++'!E5:F85, 'Solo&gt;Levels&gt;N++'!E5, 'Data&gt;Debug&gt;Formulas'!E11:E21)</f>
        <v>1176</v>
      </c>
      <c r="G38" s="47">
        <f>DCOUNTA('Solo&gt;Episodes&gt;N++'!E5:F85, 'Solo&gt;Episodes&gt;N++'!E5, 'Data&gt;Debug&gt;Formulas'!E9:E10)</f>
        <v>120</v>
      </c>
      <c r="H38" s="47">
        <f t="shared" si="19"/>
        <v>2496</v>
      </c>
      <c r="I38" s="55"/>
      <c r="K38" s="55"/>
      <c r="M38" s="4"/>
      <c r="N38" s="4"/>
    </row>
    <row r="39">
      <c r="A39" s="1"/>
      <c r="B39" s="61" t="s">
        <v>6294</v>
      </c>
      <c r="D39" s="62" t="str">
        <f t="shared" ref="D39:H39" si="20">FIXED(D37/D38, 3)</f>
        <v>1.000</v>
      </c>
      <c r="E39" s="62" t="str">
        <f t="shared" si="20"/>
        <v>0.350</v>
      </c>
      <c r="F39" s="62" t="str">
        <f t="shared" si="20"/>
        <v>0.444</v>
      </c>
      <c r="G39" s="62" t="str">
        <f t="shared" si="20"/>
        <v>0.067</v>
      </c>
      <c r="H39" s="62" t="str">
        <f t="shared" si="20"/>
        <v>0.537</v>
      </c>
      <c r="I39" s="55"/>
      <c r="J39" s="55"/>
      <c r="K39" s="55"/>
      <c r="L39" s="55"/>
      <c r="M39" s="4"/>
      <c r="N39" s="4"/>
    </row>
    <row r="40">
      <c r="A40" s="1"/>
      <c r="B40" s="61" t="s">
        <v>6299</v>
      </c>
      <c r="D40" s="64" t="str">
        <f>IFERROR(__xludf.DUMMYFUNCTION("IF(D37/D38 = 1, SPARKLINE(D37,{""charttype"",""bar"";""color1"", ""#e3e3e5"";""max"",D38}), SPARKLINE(D37,{""charttype"",""bar"";""color1"", ""#882285"";""max"",D38}))"),"")</f>
        <v/>
      </c>
      <c r="E40" s="64" t="str">
        <f>IFERROR(__xludf.DUMMYFUNCTION("IF(E37/E38 = 1, SPARKLINE(E37,{""charttype"",""bar"";""color1"", ""#e3e3e5"";""max"",E38}), SPARKLINE(E37,{""charttype"",""bar"";""color1"", ""#882285"";""max"",E38}))"),"")</f>
        <v/>
      </c>
      <c r="F40" s="64" t="str">
        <f>IFERROR(__xludf.DUMMYFUNCTION("IF(F37/F38 = 1, SPARKLINE(F37,{""charttype"",""bar"";""color1"", ""#e3e3e5"";""max"",F38}), SPARKLINE(F37,{""charttype"",""bar"";""color1"", ""#882285"";""max"",F38}))"),"")</f>
        <v/>
      </c>
      <c r="G40" s="64" t="str">
        <f>IFERROR(__xludf.DUMMYFUNCTION("IF(G37/G38 = 1, SPARKLINE(G37,{""charttype"",""bar"";""color1"", ""#e3e3e5"";""max"",G38}), SPARKLINE(G37,{""charttype"",""bar"";""color1"", ""#882285"";""max"",G38}))"),"")</f>
        <v/>
      </c>
      <c r="H40" s="64" t="str">
        <f>IFERROR(__xludf.DUMMYFUNCTION("IF(H37/H38 = 1, SPARKLINE(H37,{""charttype"",""bar"";""color1"", ""#e3e3e5"";""max"",H38}), SPARKLINE(H37,{""charttype"",""bar"";""color1"", ""#882285"";""max"",H38}))"),"")</f>
        <v/>
      </c>
      <c r="I40" s="55"/>
      <c r="J40" s="55"/>
      <c r="K40" s="55"/>
      <c r="L40" s="55"/>
      <c r="M40" s="4"/>
      <c r="N40" s="4"/>
    </row>
    <row r="41">
      <c r="A41" s="1"/>
      <c r="B41" s="7" t="s">
        <v>5</v>
      </c>
      <c r="D41" s="9" t="s">
        <v>6333</v>
      </c>
      <c r="E41" s="9" t="s">
        <v>14</v>
      </c>
      <c r="F41" s="55"/>
      <c r="G41" s="9"/>
      <c r="H41" s="9" t="s">
        <v>5566</v>
      </c>
      <c r="I41" s="55"/>
      <c r="J41" s="55"/>
      <c r="K41" s="55"/>
      <c r="L41" s="55"/>
      <c r="M41" s="4"/>
      <c r="N41" s="4"/>
    </row>
    <row r="42">
      <c r="A42" s="1"/>
      <c r="B42" s="59" t="s">
        <v>6288</v>
      </c>
      <c r="D42" s="47">
        <f>D43</f>
        <v>600</v>
      </c>
      <c r="E42" s="47">
        <f>DCOUNTA('Solo&gt;Levels&gt;Legacy'!E5:F85, 'Solo&gt;Levels&gt;Legacy'!E5, 'Data&gt;Debug&gt;Formulas'!E7:F8)</f>
        <v>13</v>
      </c>
      <c r="F42" s="55"/>
      <c r="G42" s="9"/>
      <c r="H42" s="47">
        <f t="shared" ref="H42:H43" si="21">SUM(D42:E42)</f>
        <v>613</v>
      </c>
      <c r="I42" s="55"/>
      <c r="J42" s="55"/>
      <c r="K42" s="55"/>
      <c r="L42" s="55"/>
      <c r="M42" s="4"/>
      <c r="N42" s="4"/>
    </row>
    <row r="43">
      <c r="A43" s="1"/>
      <c r="B43" s="59" t="s">
        <v>43</v>
      </c>
      <c r="D43" s="47">
        <v>600.0</v>
      </c>
      <c r="E43" s="47">
        <f>DCOUNTA('Solo&gt;Levels&gt;Legacy'!E5:F85, 'Solo&gt;Levels&gt;Legacy'!E5, 'Data&gt;Debug&gt;Formulas'!E7:E8)</f>
        <v>600</v>
      </c>
      <c r="F43" s="55"/>
      <c r="G43" s="9"/>
      <c r="H43" s="47">
        <f t="shared" si="21"/>
        <v>1200</v>
      </c>
      <c r="I43" s="55"/>
      <c r="J43" s="55"/>
      <c r="K43" s="55"/>
      <c r="L43" s="55"/>
      <c r="M43" s="4"/>
      <c r="N43" s="4"/>
    </row>
    <row r="44">
      <c r="A44" s="1"/>
      <c r="B44" s="61" t="s">
        <v>6294</v>
      </c>
      <c r="D44" s="62" t="str">
        <f t="shared" ref="D44:E44" si="22">FIXED(D42/D43, 3)</f>
        <v>1.000</v>
      </c>
      <c r="E44" s="62" t="str">
        <f t="shared" si="22"/>
        <v>0.022</v>
      </c>
      <c r="F44" s="55"/>
      <c r="G44" s="68"/>
      <c r="H44" s="62" t="str">
        <f>FIXED(H42/H43, 3)</f>
        <v>0.511</v>
      </c>
      <c r="I44" s="55"/>
      <c r="J44" s="55"/>
      <c r="K44" s="55"/>
      <c r="L44" s="55"/>
      <c r="M44" s="4"/>
      <c r="N44" s="4"/>
    </row>
    <row r="45">
      <c r="A45" s="1"/>
      <c r="B45" s="61" t="s">
        <v>6299</v>
      </c>
      <c r="D45" s="64" t="str">
        <f>IFERROR(__xludf.DUMMYFUNCTION("IF(D42/D43 = 1, SPARKLINE(D42,{""charttype"",""bar"";""color1"", ""#e3e3e5"";""max"",D43}), SPARKLINE(D42,{""charttype"",""bar"";""color1"", ""#882285"";""max"",D43}))"),"")</f>
        <v/>
      </c>
      <c r="E45" s="64" t="str">
        <f>IFERROR(__xludf.DUMMYFUNCTION("IF(E42/E43 = 1, SPARKLINE(E42,{""charttype"",""bar"";""color1"", ""#e3e3e5"";""max"",E43}), SPARKLINE(E42,{""charttype"",""bar"";""color1"", ""#882285"";""max"",E43}))"),"")</f>
        <v/>
      </c>
      <c r="F45" s="55"/>
      <c r="G45" s="68"/>
      <c r="H45" s="64" t="str">
        <f>IFERROR(__xludf.DUMMYFUNCTION("IF(H42/H43 = 1, SPARKLINE(H42,{""charttype"",""bar"";""color1"", ""#e3e3e5"";""max"",H43}), SPARKLINE(H42,{""charttype"",""bar"";""color1"", ""#882285"";""max"",H43}))"),"")</f>
        <v/>
      </c>
      <c r="I45" s="55"/>
      <c r="J45" s="55"/>
      <c r="K45" s="55"/>
      <c r="L45" s="55"/>
      <c r="M45" s="4"/>
      <c r="N45" s="4"/>
    </row>
    <row r="46">
      <c r="A46" s="1"/>
      <c r="B46" s="7" t="s">
        <v>6</v>
      </c>
      <c r="D46" s="9" t="s">
        <v>6333</v>
      </c>
      <c r="E46" s="9" t="s">
        <v>14</v>
      </c>
      <c r="F46" s="9" t="s">
        <v>6346</v>
      </c>
      <c r="G46" s="55"/>
      <c r="H46" s="9" t="s">
        <v>5566</v>
      </c>
      <c r="I46" s="55"/>
      <c r="J46" s="55"/>
      <c r="K46" s="55"/>
      <c r="L46" s="55"/>
      <c r="M46" s="4"/>
      <c r="N46" s="4"/>
    </row>
    <row r="47">
      <c r="A47" s="1"/>
      <c r="B47" s="59" t="s">
        <v>6288</v>
      </c>
      <c r="D47" s="47">
        <f>D48</f>
        <v>120</v>
      </c>
      <c r="E47" s="47">
        <f>DCOUNTA('Solo&gt;Levels&gt;'!E5:F85, 'Solo&gt;Levels&gt;'!E5, 'Data&gt;Debug&gt;Formulas'!E7:F8)</f>
        <v>63</v>
      </c>
      <c r="F47" s="47">
        <f>DCOUNTA('Solo&gt;Levels&gt;'!E5:F85, 'Solo&gt;Levels&gt;'!E5, 'Data&gt;Debug&gt;Formulas'!E11:F21)</f>
        <v>324</v>
      </c>
      <c r="G47" s="55"/>
      <c r="H47" s="47">
        <f t="shared" ref="H47:H48" si="23">SUM(D47:F47)</f>
        <v>507</v>
      </c>
      <c r="I47" s="55"/>
      <c r="J47" s="55"/>
      <c r="K47" s="55"/>
      <c r="L47" s="55"/>
      <c r="M47" s="4"/>
      <c r="N47" s="4"/>
    </row>
    <row r="48">
      <c r="A48" s="1"/>
      <c r="B48" s="59" t="s">
        <v>43</v>
      </c>
      <c r="D48" s="47">
        <v>120.0</v>
      </c>
      <c r="E48" s="47">
        <f>DCOUNTA('Solo&gt;Levels&gt;'!E5:F85, 'Solo&gt;Levels&gt;'!E5, 'Data&gt;Debug&gt;Formulas'!E7:E8)</f>
        <v>120</v>
      </c>
      <c r="F48" s="47">
        <f>DCOUNTA('Solo&gt;Levels&gt;'!E5:F85, 'Solo&gt;Levels&gt;'!E5, 'Data&gt;Debug&gt;Formulas'!E11:E21)</f>
        <v>464</v>
      </c>
      <c r="G48" s="55"/>
      <c r="H48" s="47">
        <f t="shared" si="23"/>
        <v>704</v>
      </c>
      <c r="I48" s="55"/>
      <c r="J48" s="55"/>
      <c r="K48" s="55"/>
      <c r="L48" s="55"/>
      <c r="M48" s="4"/>
      <c r="N48" s="4"/>
    </row>
    <row r="49">
      <c r="A49" s="1"/>
      <c r="B49" s="61" t="s">
        <v>6294</v>
      </c>
      <c r="D49" s="62" t="str">
        <f t="shared" ref="D49:F49" si="24">FIXED(D47/D48, 3)</f>
        <v>1.000</v>
      </c>
      <c r="E49" s="62" t="str">
        <f t="shared" si="24"/>
        <v>0.525</v>
      </c>
      <c r="F49" s="62" t="str">
        <f t="shared" si="24"/>
        <v>0.698</v>
      </c>
      <c r="G49" s="68"/>
      <c r="H49" s="62" t="str">
        <f>FIXED(H47/H48, 3)</f>
        <v>0.720</v>
      </c>
      <c r="I49" s="55"/>
      <c r="J49" s="55"/>
      <c r="K49" s="55"/>
      <c r="L49" s="55"/>
      <c r="M49" s="4"/>
      <c r="N49" s="4"/>
    </row>
    <row r="50">
      <c r="A50" s="1"/>
      <c r="B50" s="61" t="s">
        <v>6299</v>
      </c>
      <c r="D50" s="64" t="str">
        <f>IFERROR(__xludf.DUMMYFUNCTION("IF(D47/D48 = 1, SPARKLINE(D47,{""charttype"",""bar"";""color1"", ""#e3e3e5"";""max"",D48}), SPARKLINE(D47,{""charttype"",""bar"";""color1"", ""#882285"";""max"",D48}))"),"")</f>
        <v/>
      </c>
      <c r="E50" s="64" t="str">
        <f>IFERROR(__xludf.DUMMYFUNCTION("IF(E47/E48 = 1, SPARKLINE(E47,{""charttype"",""bar"";""color1"", ""#e3e3e5"";""max"",E48}), SPARKLINE(E47,{""charttype"",""bar"";""color1"", ""#882285"";""max"",E48}))"),"")</f>
        <v/>
      </c>
      <c r="F50" s="64" t="str">
        <f>IFERROR(__xludf.DUMMYFUNCTION("IF(F47/F48 = 1, SPARKLINE(F47,{""charttype"",""bar"";""color1"", ""#e3e3e5"";""max"",F48}), SPARKLINE(F47,{""charttype"",""bar"";""color1"", ""#882285"";""max"",F48}))"),"")</f>
        <v/>
      </c>
      <c r="G50" s="68"/>
      <c r="H50" s="64" t="str">
        <f>IFERROR(__xludf.DUMMYFUNCTION("IF(H47/H48 = 1, SPARKLINE(H47,{""charttype"",""bar"";""color1"", ""#e3e3e5"";""max"",H48}), SPARKLINE(H47,{""charttype"",""bar"";""color1"", ""#882285"";""max"",H48}))"),"")</f>
        <v/>
      </c>
      <c r="I50" s="55"/>
      <c r="J50" s="55"/>
      <c r="K50" s="55"/>
      <c r="L50" s="55"/>
      <c r="M50" s="4"/>
      <c r="N50" s="4"/>
    </row>
    <row r="51">
      <c r="A51" s="1"/>
      <c r="B51" s="55" t="s">
        <v>5565</v>
      </c>
      <c r="N51" s="9"/>
    </row>
    <row r="52">
      <c r="A52" s="1"/>
      <c r="N52" s="9"/>
    </row>
    <row r="53">
      <c r="A53" s="1"/>
      <c r="B53" s="7" t="s">
        <v>2</v>
      </c>
      <c r="D53" s="9" t="s">
        <v>6333</v>
      </c>
      <c r="E53" s="9" t="s">
        <v>14</v>
      </c>
      <c r="F53" s="9" t="s">
        <v>5566</v>
      </c>
      <c r="G53" s="47"/>
      <c r="H53" s="47"/>
      <c r="I53" s="10"/>
      <c r="J53" s="10"/>
      <c r="K53" s="10"/>
      <c r="L53" s="63"/>
      <c r="M53" s="9"/>
      <c r="N53" s="9"/>
    </row>
    <row r="54">
      <c r="A54" s="1"/>
      <c r="B54" s="59" t="s">
        <v>6288</v>
      </c>
      <c r="D54" s="47">
        <f>D55</f>
        <v>50</v>
      </c>
      <c r="E54" s="47">
        <f>DCOUNTA('Co-op&gt;Levels&gt;Intro'!E5:F85, 'Co-op&gt;Levels&gt;Intro'!E5, 'Data&gt;Debug&gt;Formulas'!E7:F8)</f>
        <v>0</v>
      </c>
      <c r="F54" s="47">
        <f t="shared" ref="F54:F55" si="25">SUM(D54:E54)</f>
        <v>50</v>
      </c>
      <c r="G54" s="47"/>
      <c r="H54" s="47"/>
      <c r="I54" s="10"/>
      <c r="J54" s="10"/>
      <c r="K54" s="10"/>
      <c r="L54" s="63"/>
      <c r="M54" s="9"/>
      <c r="N54" s="9"/>
    </row>
    <row r="55">
      <c r="A55" s="1"/>
      <c r="B55" s="59" t="s">
        <v>43</v>
      </c>
      <c r="D55" s="47">
        <v>50.0</v>
      </c>
      <c r="E55" s="47">
        <f>DCOUNTA('Co-op&gt;Levels&gt;Intro'!E5:F85, 'Co-op&gt;Levels&gt;Intro'!E5, 'Data&gt;Debug&gt;Formulas'!E7:E8)</f>
        <v>50</v>
      </c>
      <c r="F55" s="47">
        <f t="shared" si="25"/>
        <v>100</v>
      </c>
      <c r="G55" s="47"/>
      <c r="H55" s="47"/>
      <c r="I55" s="10"/>
      <c r="J55" s="10"/>
      <c r="K55" s="10"/>
      <c r="L55" s="63"/>
      <c r="M55" s="9"/>
      <c r="N55" s="9"/>
    </row>
    <row r="56">
      <c r="A56" s="1"/>
      <c r="B56" s="61" t="s">
        <v>6294</v>
      </c>
      <c r="D56" s="62" t="str">
        <f t="shared" ref="D56:F56" si="26">FIXED(D54/D55, 3)</f>
        <v>1.000</v>
      </c>
      <c r="E56" s="62" t="str">
        <f t="shared" si="26"/>
        <v>0.000</v>
      </c>
      <c r="F56" s="62" t="str">
        <f t="shared" si="26"/>
        <v>0.500</v>
      </c>
      <c r="G56" s="47"/>
      <c r="H56" s="47"/>
      <c r="I56" s="10"/>
      <c r="J56" s="10"/>
      <c r="K56" s="10"/>
      <c r="L56" s="63"/>
      <c r="M56" s="9"/>
      <c r="N56" s="9"/>
    </row>
    <row r="57">
      <c r="A57" s="1"/>
      <c r="B57" s="61" t="s">
        <v>6299</v>
      </c>
      <c r="D57" s="64" t="str">
        <f>IFERROR(__xludf.DUMMYFUNCTION("IF(D54/D55 = 1, SPARKLINE(D54,{""charttype"",""bar"";""color1"", ""#e3e3e5"";""max"",D55}), SPARKLINE(D54,{""charttype"",""bar"";""color1"", ""#882285"";""max"",D55}))"),"")</f>
        <v/>
      </c>
      <c r="E57" s="64" t="str">
        <f>IFERROR(__xludf.DUMMYFUNCTION("IF(E54/E55 = 1, SPARKLINE(E54,{""charttype"",""bar"";""color1"", ""#e3e3e5"";""max"",E55}), SPARKLINE(E54,{""charttype"",""bar"";""color1"", ""#882285"";""max"",E55}))"),"")</f>
        <v/>
      </c>
      <c r="F57" s="64" t="str">
        <f>IFERROR(__xludf.DUMMYFUNCTION("IF(F54/F55 = 1, SPARKLINE(F54,{""charttype"",""bar"";""color1"", ""#e3e3e5"";""max"",F55}), SPARKLINE(F54,{""charttype"",""bar"";""color1"", ""#882285"";""max"",F55}))"),"")</f>
        <v/>
      </c>
      <c r="G57" s="47"/>
      <c r="H57" s="47"/>
      <c r="I57" s="10"/>
      <c r="J57" s="10"/>
      <c r="K57" s="10"/>
      <c r="L57" s="63"/>
      <c r="M57" s="9"/>
      <c r="N57" s="9"/>
    </row>
    <row r="58">
      <c r="A58" s="1"/>
      <c r="B58" s="69" t="s">
        <v>3</v>
      </c>
      <c r="D58" s="9" t="s">
        <v>6333</v>
      </c>
      <c r="E58" s="9" t="s">
        <v>14</v>
      </c>
      <c r="F58" s="9" t="s">
        <v>5566</v>
      </c>
      <c r="G58" s="47"/>
      <c r="H58" s="47"/>
      <c r="I58" s="10"/>
      <c r="J58" s="10"/>
      <c r="K58" s="10"/>
      <c r="L58" s="63"/>
      <c r="M58" s="9"/>
      <c r="N58" s="9"/>
    </row>
    <row r="59">
      <c r="A59" s="1"/>
      <c r="B59" s="59" t="s">
        <v>6288</v>
      </c>
      <c r="D59" s="47">
        <f>D60</f>
        <v>300</v>
      </c>
      <c r="E59" s="47">
        <f>DCOUNTA('Co-op&gt;Levels&gt;N++'!E5:F605, 'Co-op&gt;Levels&gt;N++'!E5, 'Data&gt;Debug&gt;Formulas'!E7:F8)</f>
        <v>269</v>
      </c>
      <c r="F59" s="47">
        <f t="shared" ref="F59:F60" si="27">SUM(D59:E59)</f>
        <v>569</v>
      </c>
      <c r="G59" s="47"/>
      <c r="H59" s="47"/>
      <c r="I59" s="10"/>
      <c r="J59" s="9"/>
      <c r="K59" s="9"/>
      <c r="L59" s="63"/>
      <c r="M59" s="9"/>
      <c r="N59" s="9"/>
    </row>
    <row r="60">
      <c r="A60" s="1"/>
      <c r="B60" s="59" t="s">
        <v>43</v>
      </c>
      <c r="D60" s="47">
        <v>300.0</v>
      </c>
      <c r="E60" s="47">
        <f>DCOUNTA('Co-op&gt;Levels&gt;N++'!E5:F605, 'Co-op&gt;Levels&gt;N++'!E5, 'Data&gt;Debug&gt;Formulas'!E7:E8)</f>
        <v>300</v>
      </c>
      <c r="F60" s="47">
        <f t="shared" si="27"/>
        <v>600</v>
      </c>
      <c r="G60" s="47"/>
      <c r="H60" s="47"/>
      <c r="I60" s="10"/>
      <c r="J60" s="10"/>
      <c r="K60" s="10"/>
      <c r="L60" s="63"/>
      <c r="M60" s="9"/>
      <c r="N60" s="9"/>
    </row>
    <row r="61">
      <c r="A61" s="1"/>
      <c r="B61" s="70" t="s">
        <v>6294</v>
      </c>
      <c r="D61" s="71" t="str">
        <f t="shared" ref="D61:F61" si="28">FIXED(D59/D60, 3)</f>
        <v>1.000</v>
      </c>
      <c r="E61" s="71" t="str">
        <f t="shared" si="28"/>
        <v>0.897</v>
      </c>
      <c r="F61" s="71" t="str">
        <f t="shared" si="28"/>
        <v>0.948</v>
      </c>
      <c r="G61" s="47"/>
      <c r="H61" s="47"/>
      <c r="I61" s="10"/>
      <c r="J61" s="10"/>
      <c r="K61" s="10"/>
      <c r="L61" s="63"/>
      <c r="M61" s="9"/>
      <c r="N61" s="9"/>
    </row>
    <row r="62">
      <c r="A62" s="1"/>
      <c r="B62" s="70" t="s">
        <v>6299</v>
      </c>
      <c r="D62" s="72" t="str">
        <f>IFERROR(__xludf.DUMMYFUNCTION("IF(D59/D60 = 1, SPARKLINE(D59,{""charttype"",""bar"";""color1"", ""#e3e3e5"";""max"",D60}), SPARKLINE(D59,{""charttype"",""bar"";""color1"", ""#882285"";""max"",D60}))"),"")</f>
        <v/>
      </c>
      <c r="E62" s="72" t="str">
        <f>IFERROR(__xludf.DUMMYFUNCTION("IF(E59/E60 = 1, SPARKLINE(E59,{""charttype"",""bar"";""color1"", ""#e3e3e5"";""max"",E60}), SPARKLINE(E59,{""charttype"",""bar"";""color1"", ""#882285"";""max"",E60}))"),"")</f>
        <v/>
      </c>
      <c r="F62" s="72" t="str">
        <f>IFERROR(__xludf.DUMMYFUNCTION("IF(F59/F60 = 1, SPARKLINE(F59,{""charttype"",""bar"";""color1"", ""#e3e3e5"";""max"",F60}), SPARKLINE(F59,{""charttype"",""bar"";""color1"", ""#882285"";""max"",F60}))"),"")</f>
        <v/>
      </c>
      <c r="G62" s="47"/>
      <c r="H62" s="47"/>
      <c r="I62" s="10"/>
      <c r="J62" s="10"/>
      <c r="K62" s="10"/>
      <c r="L62" s="63"/>
      <c r="M62" s="9"/>
      <c r="N62" s="9"/>
    </row>
    <row r="63">
      <c r="A63" s="1"/>
      <c r="B63" s="69" t="s">
        <v>5</v>
      </c>
      <c r="D63" s="9" t="s">
        <v>6333</v>
      </c>
      <c r="E63" s="9" t="s">
        <v>14</v>
      </c>
      <c r="F63" s="9" t="s">
        <v>5566</v>
      </c>
      <c r="G63" s="47"/>
      <c r="H63" s="47"/>
      <c r="I63" s="10"/>
      <c r="J63" s="10"/>
      <c r="K63" s="10"/>
      <c r="L63" s="63"/>
      <c r="M63" s="9"/>
      <c r="N63" s="9"/>
    </row>
    <row r="64">
      <c r="A64" s="1"/>
      <c r="B64" s="59" t="s">
        <v>6288</v>
      </c>
      <c r="D64" s="47">
        <f>D65</f>
        <v>120</v>
      </c>
      <c r="E64" s="47">
        <f>DCOUNTA('Co-op&gt;Levels&gt;Legacy'!E5:F245, 'Co-op&gt;Levels&gt;Legacy'!E5, 'Data&gt;Debug&gt;Formulas'!E7:F8)</f>
        <v>4</v>
      </c>
      <c r="F64" s="47">
        <f t="shared" ref="F64:F65" si="29">SUM(D64:E64)</f>
        <v>124</v>
      </c>
      <c r="G64" s="47"/>
      <c r="H64" s="47"/>
      <c r="I64" s="10"/>
      <c r="J64" s="10"/>
      <c r="K64" s="10"/>
      <c r="L64" s="63"/>
      <c r="M64" s="9"/>
      <c r="N64" s="9"/>
    </row>
    <row r="65">
      <c r="A65" s="1"/>
      <c r="B65" s="59" t="s">
        <v>43</v>
      </c>
      <c r="D65" s="47">
        <v>120.0</v>
      </c>
      <c r="E65" s="47">
        <f>DCOUNTA('Co-op&gt;Levels&gt;Legacy'!E5:F245, 'Co-op&gt;Levels&gt;Legacy'!E5, 'Data&gt;Debug&gt;Formulas'!E7:E8)</f>
        <v>120</v>
      </c>
      <c r="F65" s="47">
        <f t="shared" si="29"/>
        <v>240</v>
      </c>
      <c r="G65" s="47"/>
      <c r="H65" s="47"/>
      <c r="I65" s="10"/>
      <c r="J65" s="10"/>
      <c r="K65" s="10"/>
      <c r="L65" s="63"/>
      <c r="M65" s="9"/>
      <c r="N65" s="9"/>
    </row>
    <row r="66">
      <c r="A66" s="1"/>
      <c r="B66" s="70" t="s">
        <v>6294</v>
      </c>
      <c r="D66" s="71" t="str">
        <f t="shared" ref="D66:F66" si="30">FIXED(D64/D65, 3)</f>
        <v>1.000</v>
      </c>
      <c r="E66" s="71" t="str">
        <f t="shared" si="30"/>
        <v>0.033</v>
      </c>
      <c r="F66" s="71" t="str">
        <f t="shared" si="30"/>
        <v>0.517</v>
      </c>
      <c r="G66" s="47"/>
      <c r="H66" s="47"/>
      <c r="I66" s="10"/>
      <c r="J66" s="10"/>
      <c r="K66" s="10"/>
      <c r="L66" s="63"/>
      <c r="M66" s="9"/>
      <c r="N66" s="9"/>
    </row>
    <row r="67">
      <c r="A67" s="1"/>
      <c r="B67" s="70" t="s">
        <v>6299</v>
      </c>
      <c r="D67" s="72" t="str">
        <f>IFERROR(__xludf.DUMMYFUNCTION("IF(D64/D65 = 1, SPARKLINE(D64,{""charttype"",""bar"";""color1"", ""#e3e3e5"";""max"",D65}), SPARKLINE(D64,{""charttype"",""bar"";""color1"", ""#882285"";""max"",D65}))"),"")</f>
        <v/>
      </c>
      <c r="E67" s="72" t="str">
        <f>IFERROR(__xludf.DUMMYFUNCTION("IF(E64/E65 = 1, SPARKLINE(E64,{""charttype"",""bar"";""color1"", ""#e3e3e5"";""max"",E65}), SPARKLINE(E64,{""charttype"",""bar"";""color1"", ""#882285"";""max"",E65}))"),"")</f>
        <v/>
      </c>
      <c r="F67" s="72" t="str">
        <f>IFERROR(__xludf.DUMMYFUNCTION("IF(F64/F65 = 1, SPARKLINE(F64,{""charttype"",""bar"";""color1"", ""#e3e3e5"";""max"",F65}), SPARKLINE(F64,{""charttype"",""bar"";""color1"", ""#882285"";""max"",F65}))"),"")</f>
        <v/>
      </c>
      <c r="G67" s="47"/>
      <c r="H67" s="47"/>
      <c r="I67" s="10"/>
      <c r="J67" s="10"/>
      <c r="K67" s="10"/>
      <c r="L67" s="63"/>
      <c r="M67" s="9"/>
      <c r="N67" s="9"/>
    </row>
    <row r="68">
      <c r="A68" s="1"/>
      <c r="B68" s="55" t="s">
        <v>6318</v>
      </c>
      <c r="N68" s="9"/>
    </row>
    <row r="69">
      <c r="A69" s="1"/>
      <c r="N69" s="9"/>
    </row>
    <row r="70">
      <c r="A70" s="1"/>
      <c r="B70" s="69" t="s">
        <v>2</v>
      </c>
      <c r="D70" s="9" t="s">
        <v>6333</v>
      </c>
      <c r="E70" s="9" t="s">
        <v>5566</v>
      </c>
      <c r="F70" s="9"/>
      <c r="G70" s="47"/>
      <c r="H70" s="47"/>
      <c r="I70" s="10"/>
      <c r="J70" s="10"/>
      <c r="K70" s="10"/>
      <c r="L70" s="63"/>
      <c r="M70" s="9"/>
      <c r="N70" s="9"/>
    </row>
    <row r="71">
      <c r="A71" s="1"/>
      <c r="B71" s="59" t="s">
        <v>6288</v>
      </c>
      <c r="D71" s="47">
        <f>D72</f>
        <v>25</v>
      </c>
      <c r="E71" s="47">
        <f t="shared" ref="E71:E72" si="31">SUM(D71)</f>
        <v>25</v>
      </c>
      <c r="F71" s="47"/>
      <c r="G71" s="47"/>
      <c r="H71" s="47"/>
      <c r="I71" s="10"/>
      <c r="J71" s="10"/>
      <c r="K71" s="10"/>
      <c r="L71" s="63"/>
      <c r="M71" s="9"/>
      <c r="N71" s="9"/>
    </row>
    <row r="72">
      <c r="A72" s="1"/>
      <c r="B72" s="59" t="s">
        <v>43</v>
      </c>
      <c r="D72" s="47">
        <v>25.0</v>
      </c>
      <c r="E72" s="47">
        <f t="shared" si="31"/>
        <v>25</v>
      </c>
      <c r="F72" s="47"/>
      <c r="G72" s="47"/>
      <c r="H72" s="47"/>
      <c r="I72" s="10"/>
      <c r="J72" s="10"/>
      <c r="K72" s="10"/>
      <c r="L72" s="63"/>
      <c r="M72" s="9"/>
      <c r="N72" s="9"/>
    </row>
    <row r="73">
      <c r="A73" s="1"/>
      <c r="B73" s="70" t="s">
        <v>6294</v>
      </c>
      <c r="D73" s="71" t="str">
        <f t="shared" ref="D73:E73" si="32">FIXED(D71/D72, 3)</f>
        <v>1.000</v>
      </c>
      <c r="E73" s="71" t="str">
        <f t="shared" si="32"/>
        <v>1.000</v>
      </c>
      <c r="F73" s="47"/>
      <c r="G73" s="47"/>
      <c r="H73" s="47"/>
      <c r="I73" s="10"/>
      <c r="J73" s="10"/>
      <c r="K73" s="10"/>
      <c r="L73" s="63"/>
      <c r="M73" s="9"/>
      <c r="N73" s="9"/>
    </row>
    <row r="74">
      <c r="A74" s="1"/>
      <c r="B74" s="70" t="s">
        <v>6299</v>
      </c>
      <c r="D74" s="72" t="str">
        <f>IFERROR(__xludf.DUMMYFUNCTION("IF(D71/D72 = 1, SPARKLINE(D71,{""charttype"",""bar"";""color1"", ""#e3e3e5"";""max"",D72}), SPARKLINE(D71,{""charttype"",""bar"";""color1"", ""#882285"";""max"",D72}))"),"")</f>
        <v/>
      </c>
      <c r="E74" s="72" t="str">
        <f>IFERROR(__xludf.DUMMYFUNCTION("IF(E71/E72 = 1, SPARKLINE(E71,{""charttype"",""bar"";""color1"", ""#e3e3e5"";""max"",E72}), SPARKLINE(E71,{""charttype"",""bar"";""color1"", ""#882285"";""max"",E72}))"),"")</f>
        <v/>
      </c>
      <c r="F74" s="47"/>
      <c r="G74" s="47"/>
      <c r="H74" s="47"/>
      <c r="I74" s="10"/>
      <c r="J74" s="10"/>
      <c r="K74" s="10"/>
      <c r="L74" s="63"/>
      <c r="M74" s="9"/>
      <c r="N74" s="9"/>
    </row>
    <row r="75">
      <c r="A75" s="1"/>
      <c r="B75" s="69" t="s">
        <v>3</v>
      </c>
      <c r="D75" s="9" t="s">
        <v>6333</v>
      </c>
      <c r="E75" s="9" t="s">
        <v>5566</v>
      </c>
      <c r="F75" s="47"/>
      <c r="G75" s="47"/>
      <c r="H75" s="47"/>
      <c r="I75" s="10"/>
      <c r="J75" s="10"/>
      <c r="K75" s="10"/>
      <c r="L75" s="63"/>
      <c r="M75" s="9"/>
      <c r="N75" s="9"/>
    </row>
    <row r="76">
      <c r="A76" s="1"/>
      <c r="B76" s="59" t="s">
        <v>6288</v>
      </c>
      <c r="D76" s="47">
        <f>D77</f>
        <v>300</v>
      </c>
      <c r="E76" s="47">
        <f t="shared" ref="E76:E77" si="33">SUM(D76)</f>
        <v>300</v>
      </c>
      <c r="F76" s="47"/>
      <c r="G76" s="47"/>
      <c r="H76" s="47"/>
      <c r="I76" s="10"/>
      <c r="J76" s="10"/>
      <c r="K76" s="10"/>
      <c r="L76" s="63"/>
      <c r="M76" s="9"/>
      <c r="N76" s="9"/>
    </row>
    <row r="77">
      <c r="A77" s="1"/>
      <c r="B77" s="59" t="s">
        <v>43</v>
      </c>
      <c r="D77" s="47">
        <v>300.0</v>
      </c>
      <c r="E77" s="47">
        <f t="shared" si="33"/>
        <v>300</v>
      </c>
      <c r="F77" s="47"/>
      <c r="G77" s="47"/>
      <c r="H77" s="47"/>
      <c r="I77" s="10"/>
      <c r="J77" s="10"/>
      <c r="K77" s="10"/>
      <c r="L77" s="63"/>
      <c r="M77" s="9"/>
      <c r="N77" s="9"/>
    </row>
    <row r="78">
      <c r="A78" s="1"/>
      <c r="B78" s="70" t="s">
        <v>6294</v>
      </c>
      <c r="D78" s="71" t="str">
        <f t="shared" ref="D78:E78" si="34">FIXED(D76/D77, 3)</f>
        <v>1.000</v>
      </c>
      <c r="E78" s="71" t="str">
        <f t="shared" si="34"/>
        <v>1.000</v>
      </c>
      <c r="F78" s="47"/>
      <c r="G78" s="47"/>
      <c r="H78" s="47"/>
      <c r="I78" s="10"/>
      <c r="J78" s="10"/>
      <c r="K78" s="10"/>
      <c r="L78" s="63"/>
      <c r="M78" s="9"/>
      <c r="N78" s="9"/>
    </row>
    <row r="79">
      <c r="A79" s="1"/>
      <c r="B79" s="70" t="s">
        <v>6299</v>
      </c>
      <c r="D79" s="72" t="str">
        <f>IFERROR(__xludf.DUMMYFUNCTION("IF(D76/D77 = 1, SPARKLINE(D76,{""charttype"",""bar"";""color1"", ""#e3e3e5"";""max"",D77}), SPARKLINE(D76,{""charttype"",""bar"";""color1"", ""#882285"";""max"",D77}))"),"")</f>
        <v/>
      </c>
      <c r="E79" s="72" t="str">
        <f>IFERROR(__xludf.DUMMYFUNCTION("IF(E76/E77 = 1, SPARKLINE(E76,{""charttype"",""bar"";""color1"", ""#e3e3e5"";""max"",E77}), SPARKLINE(E76,{""charttype"",""bar"";""color1"", ""#882285"";""max"",E77}))"),"")</f>
        <v/>
      </c>
      <c r="F79" s="47"/>
      <c r="G79" s="47"/>
      <c r="H79" s="47"/>
      <c r="I79" s="10"/>
      <c r="J79" s="10"/>
      <c r="K79" s="10"/>
      <c r="L79" s="63"/>
      <c r="M79" s="9"/>
      <c r="N79" s="9"/>
    </row>
    <row r="80">
      <c r="A80" s="1"/>
      <c r="B80" s="69" t="s">
        <v>5</v>
      </c>
      <c r="D80" s="9" t="s">
        <v>6333</v>
      </c>
      <c r="E80" s="9" t="s">
        <v>5566</v>
      </c>
      <c r="F80" s="47"/>
      <c r="G80" s="47"/>
      <c r="H80" s="47"/>
      <c r="I80" s="10"/>
      <c r="J80" s="10"/>
      <c r="K80" s="10"/>
      <c r="L80" s="63"/>
      <c r="M80" s="9"/>
      <c r="N80" s="9"/>
    </row>
    <row r="81">
      <c r="A81" s="1"/>
      <c r="B81" s="59" t="s">
        <v>6288</v>
      </c>
      <c r="D81" s="47">
        <f>D82</f>
        <v>120</v>
      </c>
      <c r="E81" s="47">
        <f t="shared" ref="E81:E82" si="35">SUM(D81)</f>
        <v>120</v>
      </c>
      <c r="F81" s="47"/>
      <c r="G81" s="47"/>
      <c r="H81" s="47"/>
      <c r="I81" s="10"/>
      <c r="J81" s="10"/>
      <c r="K81" s="10"/>
      <c r="L81" s="63"/>
      <c r="M81" s="9"/>
      <c r="N81" s="9"/>
    </row>
    <row r="82">
      <c r="A82" s="1"/>
      <c r="B82" s="59" t="s">
        <v>43</v>
      </c>
      <c r="D82" s="47">
        <v>120.0</v>
      </c>
      <c r="E82" s="47">
        <f t="shared" si="35"/>
        <v>120</v>
      </c>
      <c r="F82" s="47"/>
      <c r="G82" s="47"/>
      <c r="H82" s="47"/>
      <c r="I82" s="10"/>
      <c r="J82" s="10"/>
      <c r="K82" s="10"/>
      <c r="L82" s="63"/>
      <c r="M82" s="9"/>
      <c r="N82" s="9"/>
    </row>
    <row r="83">
      <c r="A83" s="1"/>
      <c r="B83" s="70" t="s">
        <v>6294</v>
      </c>
      <c r="D83" s="71" t="str">
        <f t="shared" ref="D83:E83" si="36">FIXED(D81/D82, 3)</f>
        <v>1.000</v>
      </c>
      <c r="E83" s="71" t="str">
        <f t="shared" si="36"/>
        <v>1.000</v>
      </c>
      <c r="F83" s="47"/>
      <c r="G83" s="47"/>
      <c r="H83" s="47"/>
      <c r="I83" s="10"/>
      <c r="J83" s="10"/>
      <c r="K83" s="10"/>
      <c r="L83" s="63"/>
      <c r="M83" s="9"/>
      <c r="N83" s="9"/>
    </row>
    <row r="84">
      <c r="A84" s="1"/>
      <c r="B84" s="70" t="s">
        <v>6299</v>
      </c>
      <c r="D84" s="72" t="str">
        <f>IFERROR(__xludf.DUMMYFUNCTION("IF(D81/D82 = 1, SPARKLINE(D81,{""charttype"",""bar"";""color1"", ""#e3e3e5"";""max"",D82}), SPARKLINE(D81,{""charttype"",""bar"";""color1"", ""#882285"";""max"",D82}))"),"")</f>
        <v/>
      </c>
      <c r="E84" s="72" t="str">
        <f>IFERROR(__xludf.DUMMYFUNCTION("IF(E81/E82 = 1, SPARKLINE(E81,{""charttype"",""bar"";""color1"", ""#e3e3e5"";""max"",E82}), SPARKLINE(E81,{""charttype"",""bar"";""color1"", ""#882285"";""max"",E82}))"),"")</f>
        <v/>
      </c>
      <c r="F84" s="47"/>
      <c r="G84" s="47"/>
      <c r="H84" s="47"/>
      <c r="I84" s="10"/>
      <c r="J84" s="10"/>
      <c r="K84" s="10"/>
      <c r="L84" s="63"/>
      <c r="M84" s="9"/>
      <c r="N84" s="9"/>
    </row>
    <row r="85">
      <c r="A85" s="1"/>
      <c r="B85" s="59"/>
      <c r="C85" s="59"/>
      <c r="D85" s="47"/>
      <c r="E85" s="47"/>
      <c r="F85" s="47"/>
      <c r="G85" s="47"/>
      <c r="H85" s="47"/>
      <c r="I85" s="10"/>
      <c r="J85" s="10"/>
      <c r="K85" s="10"/>
      <c r="L85" s="63"/>
      <c r="M85" s="9"/>
      <c r="N85" s="9"/>
    </row>
  </sheetData>
  <mergeCells count="81">
    <mergeCell ref="B77:C77"/>
    <mergeCell ref="B78:C78"/>
    <mergeCell ref="B79:C79"/>
    <mergeCell ref="B73:C73"/>
    <mergeCell ref="B72:C72"/>
    <mergeCell ref="B70:C70"/>
    <mergeCell ref="B71:C71"/>
    <mergeCell ref="B76:C76"/>
    <mergeCell ref="B75:C75"/>
    <mergeCell ref="B74:C74"/>
    <mergeCell ref="B12:M13"/>
    <mergeCell ref="B10:M11"/>
    <mergeCell ref="H6:M7"/>
    <mergeCell ref="H8:M9"/>
    <mergeCell ref="B6:G7"/>
    <mergeCell ref="B8:G9"/>
    <mergeCell ref="B1:M3"/>
    <mergeCell ref="H4:I4"/>
    <mergeCell ref="F4:G4"/>
    <mergeCell ref="D4:E4"/>
    <mergeCell ref="B4:C4"/>
    <mergeCell ref="B33:C33"/>
    <mergeCell ref="B32:C32"/>
    <mergeCell ref="B34:C34"/>
    <mergeCell ref="B31:C31"/>
    <mergeCell ref="B35:C35"/>
    <mergeCell ref="B24:C24"/>
    <mergeCell ref="B25:C25"/>
    <mergeCell ref="B26:C26"/>
    <mergeCell ref="B27:C27"/>
    <mergeCell ref="B28:C28"/>
    <mergeCell ref="B36:C36"/>
    <mergeCell ref="B21:C21"/>
    <mergeCell ref="B20:C20"/>
    <mergeCell ref="B23:C23"/>
    <mergeCell ref="B18:C18"/>
    <mergeCell ref="B14:C14"/>
    <mergeCell ref="B17:C17"/>
    <mergeCell ref="B16:C16"/>
    <mergeCell ref="B15:C15"/>
    <mergeCell ref="B22:C22"/>
    <mergeCell ref="B19:C19"/>
    <mergeCell ref="B46:C46"/>
    <mergeCell ref="B47:C47"/>
    <mergeCell ref="B64:C64"/>
    <mergeCell ref="B65:C65"/>
    <mergeCell ref="B66:C66"/>
    <mergeCell ref="B67:C67"/>
    <mergeCell ref="B68:M69"/>
    <mergeCell ref="B50:C50"/>
    <mergeCell ref="B54:C54"/>
    <mergeCell ref="B55:C55"/>
    <mergeCell ref="B51:M52"/>
    <mergeCell ref="B53:C53"/>
    <mergeCell ref="B84:C84"/>
    <mergeCell ref="B83:C83"/>
    <mergeCell ref="B82:C82"/>
    <mergeCell ref="B81:C81"/>
    <mergeCell ref="B80:C80"/>
    <mergeCell ref="B60:C60"/>
    <mergeCell ref="B59:C59"/>
    <mergeCell ref="B63:C63"/>
    <mergeCell ref="B61:C61"/>
    <mergeCell ref="B62:C62"/>
    <mergeCell ref="B57:C57"/>
    <mergeCell ref="B58:C58"/>
    <mergeCell ref="B56:C56"/>
    <mergeCell ref="B40:C40"/>
    <mergeCell ref="B39:C39"/>
    <mergeCell ref="B29:M30"/>
    <mergeCell ref="B38:C38"/>
    <mergeCell ref="I38:J38"/>
    <mergeCell ref="B37:C37"/>
    <mergeCell ref="K38:L38"/>
    <mergeCell ref="B41:C41"/>
    <mergeCell ref="B42:C42"/>
    <mergeCell ref="B48:C48"/>
    <mergeCell ref="B49:C49"/>
    <mergeCell ref="B44:C44"/>
    <mergeCell ref="B45:C45"/>
    <mergeCell ref="B43:C43"/>
  </mergeCells>
  <conditionalFormatting sqref="B1">
    <cfRule type="cellIs" dxfId="1" priority="1" operator="equal">
      <formula>"In Progress"</formula>
    </cfRule>
  </conditionalFormatting>
  <hyperlinks>
    <hyperlink display="N++&gt;Score" location="Main Menu!A1" ref="B1"/>
    <hyperlink display="Total" location="Score&gt;Total!A1" ref="B4"/>
    <hyperlink display="UE" location="Score&gt;UE!A1" ref="F4"/>
    <hyperlink display="Secrets" location="Score&gt;Secrets!A1" ref="H4"/>
    <hyperlink display="Intro" location="Solo&gt;Levels&gt;Intro!A1" ref="B31"/>
    <hyperlink display="N++" location="Solo&gt;Levels&gt;N++!A1" ref="B36"/>
    <hyperlink display="Legacy" location="Solo&gt;Levels&gt;Legacy!A1" ref="B41"/>
    <hyperlink display="?" location="Solo&gt;Levels&gt;!A1" ref="B46"/>
    <hyperlink display="Intro" location="Co-op&gt;Levels&gt;Intro!A1" ref="B53"/>
  </hyperlin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6267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43</v>
      </c>
      <c r="D4" s="7" t="s">
        <v>44</v>
      </c>
      <c r="F4" s="31" t="s">
        <v>45</v>
      </c>
      <c r="H4" s="7" t="s">
        <v>47</v>
      </c>
      <c r="J4" s="9"/>
      <c r="K4" s="9"/>
      <c r="L4" s="9"/>
      <c r="M4" s="9"/>
      <c r="N4" s="12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"/>
      <c r="B6" s="55" t="s">
        <v>6314</v>
      </c>
      <c r="H6" s="56" t="str">
        <f>FIXED((I15+I20+I25+I30) / (I16+I21+I26+I31), 6)</f>
        <v>0.777367</v>
      </c>
      <c r="N6" s="4"/>
    </row>
    <row r="7">
      <c r="A7" s="1"/>
      <c r="N7" s="4"/>
    </row>
    <row r="8">
      <c r="A8" s="1"/>
      <c r="B8" s="55" t="s">
        <v>6317</v>
      </c>
      <c r="H8" s="56" t="str">
        <f>I15+I20+I25+I30 &amp; " / " &amp; I16+I21+I26+I31</f>
        <v>3572 / 4595</v>
      </c>
      <c r="N8" s="4"/>
    </row>
    <row r="9">
      <c r="A9" s="1"/>
      <c r="N9" s="4"/>
    </row>
    <row r="10">
      <c r="A10" s="1"/>
      <c r="B10" s="57" t="str">
        <f>IFERROR(__xludf.DUMMYFUNCTION("IF((I15+I20+I25+I30) / (I16+I21+I26+I31) = 1, SPARKLINE((I15+I20+I25+I30),{""charttype"",""bar"";""color1"", ""#e3e3e5"";""max"",(I16+I21+I26+I31)}), SPARKLINE((I15+I20+I25+I30),{""charttype"",""bar"";""color1"", ""#882285"";""max"",(I16+I21+I26+I31)}))"),"")</f>
        <v/>
      </c>
      <c r="N10" s="4"/>
    </row>
    <row r="11">
      <c r="A11" s="1"/>
      <c r="N11" s="4"/>
    </row>
    <row r="12">
      <c r="A12" s="1"/>
      <c r="B12" s="55" t="s">
        <v>43</v>
      </c>
      <c r="N12" s="4"/>
    </row>
    <row r="13">
      <c r="A13" s="1"/>
      <c r="N13" s="4"/>
    </row>
    <row r="14">
      <c r="A14" s="1"/>
      <c r="B14" s="58" t="s">
        <v>5562</v>
      </c>
      <c r="D14" s="55"/>
      <c r="E14" s="55"/>
      <c r="F14" s="9" t="s">
        <v>5671</v>
      </c>
      <c r="G14" s="55"/>
      <c r="H14" s="9" t="s">
        <v>7</v>
      </c>
      <c r="I14" s="9" t="s">
        <v>5566</v>
      </c>
      <c r="J14" s="55"/>
      <c r="K14" s="55"/>
      <c r="L14" s="55"/>
      <c r="M14" s="55"/>
      <c r="N14" s="4"/>
    </row>
    <row r="15">
      <c r="A15" s="1"/>
      <c r="B15" s="59" t="s">
        <v>6288</v>
      </c>
      <c r="D15" s="55"/>
      <c r="E15" s="55"/>
      <c r="F15" s="47">
        <f t="shared" ref="F15:F16" si="1">H37</f>
        <v>1603</v>
      </c>
      <c r="G15" s="55"/>
      <c r="H15" s="47">
        <f t="shared" ref="H15:H16" si="2">H42</f>
        <v>364</v>
      </c>
      <c r="I15" s="47">
        <f t="shared" ref="I15:I16" si="3">SUM(F15:H15)</f>
        <v>1967</v>
      </c>
      <c r="J15" s="55"/>
      <c r="K15" s="55"/>
      <c r="L15" s="55"/>
      <c r="M15" s="55"/>
      <c r="N15" s="4"/>
    </row>
    <row r="16">
      <c r="A16" s="1"/>
      <c r="B16" s="59" t="s">
        <v>43</v>
      </c>
      <c r="D16" s="55"/>
      <c r="E16" s="55"/>
      <c r="F16" s="47">
        <f t="shared" si="1"/>
        <v>2174</v>
      </c>
      <c r="G16" s="55"/>
      <c r="H16" s="47">
        <f t="shared" si="2"/>
        <v>456</v>
      </c>
      <c r="I16" s="47">
        <f t="shared" si="3"/>
        <v>2630</v>
      </c>
      <c r="J16" s="55"/>
      <c r="K16" s="55"/>
      <c r="L16" s="55"/>
      <c r="M16" s="55"/>
      <c r="N16" s="4"/>
    </row>
    <row r="17">
      <c r="A17" s="1"/>
      <c r="B17" s="61" t="s">
        <v>6294</v>
      </c>
      <c r="D17" s="55"/>
      <c r="E17" s="55"/>
      <c r="F17" s="62" t="str">
        <f>FIXED(F15/F16, 3)</f>
        <v>0.737</v>
      </c>
      <c r="G17" s="55"/>
      <c r="H17" s="62" t="str">
        <f t="shared" ref="H17:I17" si="4">FIXED(H15/H16, 3)</f>
        <v>0.798</v>
      </c>
      <c r="I17" s="62" t="str">
        <f t="shared" si="4"/>
        <v>0.748</v>
      </c>
      <c r="J17" s="55"/>
      <c r="K17" s="55"/>
      <c r="L17" s="55"/>
      <c r="M17" s="55"/>
      <c r="N17" s="4"/>
    </row>
    <row r="18">
      <c r="A18" s="1"/>
      <c r="B18" s="61" t="s">
        <v>6299</v>
      </c>
      <c r="D18" s="55"/>
      <c r="E18" s="55"/>
      <c r="F18" s="64" t="str">
        <f>IFERROR(__xludf.DUMMYFUNCTION("IF(F15/F16 = 1, SPARKLINE(F15,{""charttype"",""bar"";""color1"", ""#e3e3e5"";""max"",F16}), SPARKLINE(F15,{""charttype"",""bar"";""color1"", ""#882285"";""max"",F16}))"),"")</f>
        <v/>
      </c>
      <c r="G18" s="55"/>
      <c r="H18" s="64" t="str">
        <f>IFERROR(__xludf.DUMMYFUNCTION("IF(H15/H16 = 1, SPARKLINE(H15,{""charttype"",""bar"";""color1"", ""#e3e3e5"";""max"",H16}), SPARKLINE(H15,{""charttype"",""bar"";""color1"", ""#882285"";""max"",H16}))"),"")</f>
        <v/>
      </c>
      <c r="I18" s="64" t="str">
        <f>IFERROR(__xludf.DUMMYFUNCTION("IF(I15/I16 = 1, SPARKLINE(I15,{""charttype"",""bar"";""color1"", ""#e3e3e5"";""max"",I16}), SPARKLINE(I15,{""charttype"",""bar"";""color1"", ""#882285"";""max"",I16}))"),"")</f>
        <v/>
      </c>
      <c r="J18" s="55"/>
      <c r="K18" s="55"/>
      <c r="L18" s="55"/>
      <c r="M18" s="55"/>
      <c r="N18" s="4"/>
    </row>
    <row r="19">
      <c r="A19" s="1"/>
      <c r="B19" s="58" t="s">
        <v>26</v>
      </c>
      <c r="D19" s="9" t="s">
        <v>2</v>
      </c>
      <c r="E19" s="9" t="s">
        <v>3</v>
      </c>
      <c r="F19" s="9" t="s">
        <v>5671</v>
      </c>
      <c r="G19" s="9" t="s">
        <v>5</v>
      </c>
      <c r="H19" s="55"/>
      <c r="I19" s="9" t="s">
        <v>5566</v>
      </c>
      <c r="J19" s="55"/>
      <c r="K19" s="55"/>
      <c r="L19" s="55"/>
      <c r="M19" s="55"/>
      <c r="N19" s="4"/>
    </row>
    <row r="20">
      <c r="A20" s="1"/>
      <c r="B20" s="59" t="s">
        <v>6288</v>
      </c>
      <c r="D20" s="47">
        <f t="shared" ref="D20:D21" si="5">G49</f>
        <v>5</v>
      </c>
      <c r="E20" s="47">
        <f t="shared" ref="E20:E21" si="6">G54</f>
        <v>28</v>
      </c>
      <c r="F20" s="47">
        <f t="shared" ref="F20:F21" si="7">G59</f>
        <v>24</v>
      </c>
      <c r="G20" s="47">
        <f t="shared" ref="G20:G21" si="8">G64</f>
        <v>21</v>
      </c>
      <c r="H20" s="55"/>
      <c r="I20" s="47">
        <f t="shared" ref="I20:I21" si="9">SUM(D20:G20)</f>
        <v>78</v>
      </c>
      <c r="J20" s="55"/>
      <c r="K20" s="55"/>
      <c r="L20" s="55"/>
      <c r="M20" s="55"/>
      <c r="N20" s="4"/>
    </row>
    <row r="21">
      <c r="A21" s="1"/>
      <c r="B21" s="59" t="s">
        <v>43</v>
      </c>
      <c r="D21" s="47">
        <f t="shared" si="5"/>
        <v>15</v>
      </c>
      <c r="E21" s="47">
        <f t="shared" si="6"/>
        <v>60</v>
      </c>
      <c r="F21" s="47">
        <f t="shared" si="7"/>
        <v>60</v>
      </c>
      <c r="G21" s="47">
        <f t="shared" si="8"/>
        <v>60</v>
      </c>
      <c r="H21" s="55"/>
      <c r="I21" s="47">
        <f t="shared" si="9"/>
        <v>195</v>
      </c>
      <c r="J21" s="55"/>
      <c r="K21" s="55"/>
      <c r="L21" s="55"/>
      <c r="M21" s="55"/>
      <c r="N21" s="4"/>
    </row>
    <row r="22">
      <c r="A22" s="1"/>
      <c r="B22" s="61" t="s">
        <v>6294</v>
      </c>
      <c r="D22" s="62" t="str">
        <f t="shared" ref="D22:G22" si="10">FIXED(D20/D21, 3)</f>
        <v>0.333</v>
      </c>
      <c r="E22" s="62" t="str">
        <f t="shared" si="10"/>
        <v>0.467</v>
      </c>
      <c r="F22" s="62" t="str">
        <f t="shared" si="10"/>
        <v>0.400</v>
      </c>
      <c r="G22" s="62" t="str">
        <f t="shared" si="10"/>
        <v>0.350</v>
      </c>
      <c r="H22" s="55"/>
      <c r="I22" s="62" t="str">
        <f>FIXED(I20/I21, 3)</f>
        <v>0.400</v>
      </c>
      <c r="J22" s="55"/>
      <c r="K22" s="55"/>
      <c r="L22" s="55"/>
      <c r="M22" s="55"/>
      <c r="N22" s="4"/>
    </row>
    <row r="23">
      <c r="A23" s="1"/>
      <c r="B23" s="61" t="s">
        <v>6299</v>
      </c>
      <c r="D23" s="64" t="str">
        <f>IFERROR(__xludf.DUMMYFUNCTION("IF(D20/D21 = 1, SPARKLINE(D20,{""charttype"",""bar"";""color1"", ""#e3e3e5"";""max"",D21}), SPARKLINE(D20,{""charttype"",""bar"";""color1"", ""#882285"";""max"",D21}))"),"")</f>
        <v/>
      </c>
      <c r="E23" s="64" t="str">
        <f>IFERROR(__xludf.DUMMYFUNCTION("IF(E20/E21 = 1, SPARKLINE(E20,{""charttype"",""bar"";""color1"", ""#e3e3e5"";""max"",E21}), SPARKLINE(E20,{""charttype"",""bar"";""color1"", ""#882285"";""max"",E21}))"),"")</f>
        <v/>
      </c>
      <c r="F23" s="64" t="str">
        <f>IFERROR(__xludf.DUMMYFUNCTION("IF(F20/F21 = 1, SPARKLINE(F20,{""charttype"",""bar"";""color1"", ""#e3e3e5"";""max"",F21}), SPARKLINE(F20,{""charttype"",""bar"";""color1"", ""#882285"";""max"",F21}))"),"")</f>
        <v/>
      </c>
      <c r="G23" s="64" t="str">
        <f>IFERROR(__xludf.DUMMYFUNCTION("IF(G20/G21 = 1, SPARKLINE(G20,{""charttype"",""bar"";""color1"", ""#e3e3e5"";""max"",G21}), SPARKLINE(G20,{""charttype"",""bar"";""color1"", ""#882285"";""max"",G21}))"),"")</f>
        <v/>
      </c>
      <c r="H23" s="55"/>
      <c r="I23" s="64" t="str">
        <f>IFERROR(__xludf.DUMMYFUNCTION("IF(I20/I21 = 1, SPARKLINE(I20,{""charttype"",""bar"";""color1"", ""#e3e3e5"";""max"",I21}), SPARKLINE(I20,{""charttype"",""bar"";""color1"", ""#882285"";""max"",I21}))"),"")</f>
        <v/>
      </c>
      <c r="J23" s="55"/>
      <c r="K23" s="55"/>
      <c r="L23" s="55"/>
      <c r="M23" s="55"/>
      <c r="N23" s="4"/>
    </row>
    <row r="24">
      <c r="A24" s="1"/>
      <c r="B24" s="58" t="s">
        <v>5565</v>
      </c>
      <c r="D24" s="55"/>
      <c r="E24" s="9" t="s">
        <v>3</v>
      </c>
      <c r="F24" s="55"/>
      <c r="G24" s="9" t="s">
        <v>5</v>
      </c>
      <c r="H24" s="55"/>
      <c r="I24" s="9" t="s">
        <v>5566</v>
      </c>
      <c r="J24" s="55"/>
      <c r="K24" s="55"/>
      <c r="L24" s="55"/>
      <c r="M24" s="55"/>
      <c r="N24" s="4"/>
    </row>
    <row r="25">
      <c r="A25" s="1"/>
      <c r="B25" s="59" t="s">
        <v>6288</v>
      </c>
      <c r="D25" s="55"/>
      <c r="E25" s="47">
        <f t="shared" ref="E25:E26" si="11">F71</f>
        <v>562</v>
      </c>
      <c r="F25" s="55"/>
      <c r="G25" s="47">
        <f t="shared" ref="G25:G26" si="12">F76</f>
        <v>215</v>
      </c>
      <c r="H25" s="55"/>
      <c r="I25" s="47">
        <f t="shared" ref="I25:I26" si="13">SUM(E25:G25)</f>
        <v>777</v>
      </c>
      <c r="J25" s="55"/>
      <c r="K25" s="55"/>
      <c r="L25" s="55"/>
      <c r="M25" s="55"/>
      <c r="N25" s="4"/>
    </row>
    <row r="26">
      <c r="A26" s="1"/>
      <c r="B26" s="59" t="s">
        <v>43</v>
      </c>
      <c r="D26" s="55"/>
      <c r="E26" s="47">
        <f t="shared" si="11"/>
        <v>600</v>
      </c>
      <c r="F26" s="55"/>
      <c r="G26" s="47">
        <f t="shared" si="12"/>
        <v>420</v>
      </c>
      <c r="H26" s="55"/>
      <c r="I26" s="47">
        <f t="shared" si="13"/>
        <v>1020</v>
      </c>
      <c r="J26" s="55"/>
      <c r="K26" s="55"/>
      <c r="L26" s="55"/>
      <c r="M26" s="55"/>
      <c r="N26" s="4"/>
    </row>
    <row r="27">
      <c r="A27" s="1"/>
      <c r="B27" s="61" t="s">
        <v>6294</v>
      </c>
      <c r="D27" s="62"/>
      <c r="E27" s="62" t="str">
        <f>FIXED(E25/E26, 3)</f>
        <v>0.937</v>
      </c>
      <c r="F27" s="55"/>
      <c r="G27" s="62" t="str">
        <f>FIXED(G25/G26, 3)</f>
        <v>0.512</v>
      </c>
      <c r="H27" s="55"/>
      <c r="I27" s="62" t="str">
        <f>FIXED(I25/I26, 3)</f>
        <v>0.762</v>
      </c>
      <c r="J27" s="55"/>
      <c r="K27" s="55"/>
      <c r="L27" s="55"/>
      <c r="M27" s="55"/>
      <c r="N27" s="4"/>
    </row>
    <row r="28">
      <c r="A28" s="1"/>
      <c r="B28" s="61" t="s">
        <v>6299</v>
      </c>
      <c r="D28" s="55"/>
      <c r="E28" s="64" t="str">
        <f>IFERROR(__xludf.DUMMYFUNCTION("IF(E25/E26 = 1, SPARKLINE(E25,{""charttype"",""bar"";""color1"", ""#e3e3e5"";""max"",E26}), SPARKLINE(E25,{""charttype"",""bar"";""color1"", ""#882285"";""max"",E26}))"),"")</f>
        <v/>
      </c>
      <c r="F28" s="55"/>
      <c r="G28" s="64" t="str">
        <f>IFERROR(__xludf.DUMMYFUNCTION("IF(G25/G26 = 1, SPARKLINE(G25,{""charttype"",""bar"";""color1"", ""#e3e3e5"";""max"",G26}), SPARKLINE(G25,{""charttype"",""bar"";""color1"", ""#882285"";""max"",G26}))"),"")</f>
        <v/>
      </c>
      <c r="H28" s="55"/>
      <c r="I28" s="64" t="str">
        <f>IFERROR(__xludf.DUMMYFUNCTION("IF(I25/I26 = 1, SPARKLINE(I25,{""charttype"",""bar"";""color1"", ""#e3e3e5"";""max"",I26}), SPARKLINE(I25,{""charttype"",""bar"";""color1"", ""#882285"";""max"",I26}))"),"")</f>
        <v/>
      </c>
      <c r="J28" s="55"/>
      <c r="K28" s="55"/>
      <c r="L28" s="55"/>
      <c r="M28" s="55"/>
      <c r="N28" s="4"/>
    </row>
    <row r="29">
      <c r="A29" s="1"/>
      <c r="B29" s="58" t="s">
        <v>6318</v>
      </c>
      <c r="D29" s="55"/>
      <c r="E29" s="9" t="s">
        <v>3</v>
      </c>
      <c r="F29" s="55"/>
      <c r="G29" s="9" t="s">
        <v>5</v>
      </c>
      <c r="H29" s="55"/>
      <c r="I29" s="9" t="s">
        <v>5566</v>
      </c>
      <c r="J29" s="55"/>
      <c r="K29" s="55"/>
      <c r="L29" s="55"/>
      <c r="M29" s="55"/>
      <c r="N29" s="4"/>
    </row>
    <row r="30">
      <c r="A30" s="1"/>
      <c r="B30" s="59" t="s">
        <v>6288</v>
      </c>
      <c r="D30" s="55"/>
      <c r="E30" s="47">
        <f t="shared" ref="E30:E31" si="14">E83</f>
        <v>300</v>
      </c>
      <c r="F30" s="55"/>
      <c r="G30" s="47">
        <f t="shared" ref="G30:G31" si="15">E88</f>
        <v>450</v>
      </c>
      <c r="H30" s="55"/>
      <c r="I30" s="47">
        <f t="shared" ref="I30:I31" si="16">SUM(E30:G30)</f>
        <v>750</v>
      </c>
      <c r="J30" s="55"/>
      <c r="K30" s="55"/>
      <c r="L30" s="55"/>
      <c r="M30" s="55"/>
      <c r="N30" s="4"/>
    </row>
    <row r="31">
      <c r="A31" s="1"/>
      <c r="B31" s="59" t="s">
        <v>43</v>
      </c>
      <c r="D31" s="55"/>
      <c r="E31" s="47">
        <f t="shared" si="14"/>
        <v>300</v>
      </c>
      <c r="F31" s="55"/>
      <c r="G31" s="47">
        <f t="shared" si="15"/>
        <v>450</v>
      </c>
      <c r="H31" s="55"/>
      <c r="I31" s="47">
        <f t="shared" si="16"/>
        <v>750</v>
      </c>
      <c r="J31" s="55"/>
      <c r="K31" s="55"/>
      <c r="L31" s="55"/>
      <c r="M31" s="55"/>
      <c r="N31" s="4"/>
    </row>
    <row r="32">
      <c r="A32" s="1"/>
      <c r="B32" s="61" t="s">
        <v>6294</v>
      </c>
      <c r="D32" s="62"/>
      <c r="E32" s="62" t="str">
        <f>FIXED(E30/E31, 3)</f>
        <v>1.000</v>
      </c>
      <c r="F32" s="55"/>
      <c r="G32" s="62" t="str">
        <f>FIXED(G30/G31, 3)</f>
        <v>1.000</v>
      </c>
      <c r="H32" s="55"/>
      <c r="I32" s="62" t="str">
        <f>FIXED(I30/I31, 3)</f>
        <v>1.000</v>
      </c>
      <c r="J32" s="55"/>
      <c r="K32" s="55"/>
      <c r="L32" s="55"/>
      <c r="M32" s="55"/>
      <c r="N32" s="4"/>
    </row>
    <row r="33">
      <c r="A33" s="1"/>
      <c r="B33" s="61" t="s">
        <v>6299</v>
      </c>
      <c r="D33" s="55"/>
      <c r="E33" s="64" t="str">
        <f>IFERROR(__xludf.DUMMYFUNCTION("IF(E30/E31 = 1, SPARKLINE(E30,{""charttype"",""bar"";""color1"", ""#e3e3e5"";""max"",E31}), SPARKLINE(E30,{""charttype"",""bar"";""color1"", ""#882285"";""max"",E31}))"),"")</f>
        <v/>
      </c>
      <c r="F33" s="55"/>
      <c r="G33" s="64" t="str">
        <f>IFERROR(__xludf.DUMMYFUNCTION("IF(G30/G31 = 1, SPARKLINE(G30,{""charttype"",""bar"";""color1"", ""#e3e3e5"";""max"",G31}), SPARKLINE(G30,{""charttype"",""bar"";""color1"", ""#882285"";""max"",G31}))"),"")</f>
        <v/>
      </c>
      <c r="H33" s="55"/>
      <c r="I33" s="64" t="str">
        <f>IFERROR(__xludf.DUMMYFUNCTION("IF(I30/I31 = 1, SPARKLINE(I30,{""charttype"",""bar"";""color1"", ""#e3e3e5"";""max"",I31}), SPARKLINE(I30,{""charttype"",""bar"";""color1"", ""#882285"";""max"",I31}))"),"")</f>
        <v/>
      </c>
      <c r="J33" s="55"/>
      <c r="K33" s="55"/>
      <c r="L33" s="55"/>
      <c r="M33" s="55"/>
      <c r="N33" s="4"/>
    </row>
    <row r="34">
      <c r="A34" s="1"/>
      <c r="B34" s="55" t="s">
        <v>5562</v>
      </c>
      <c r="N34" s="9"/>
    </row>
    <row r="35">
      <c r="A35" s="1"/>
      <c r="N35" s="9"/>
    </row>
    <row r="36">
      <c r="A36" s="1"/>
      <c r="B36" s="69" t="s">
        <v>4</v>
      </c>
      <c r="D36" s="9" t="s">
        <v>6333</v>
      </c>
      <c r="E36" s="9" t="s">
        <v>14</v>
      </c>
      <c r="F36" s="9" t="s">
        <v>6346</v>
      </c>
      <c r="G36" s="9" t="s">
        <v>4390</v>
      </c>
      <c r="H36" s="9" t="s">
        <v>5566</v>
      </c>
      <c r="I36" s="10"/>
      <c r="J36" s="10"/>
      <c r="K36" s="10"/>
      <c r="L36" s="63"/>
      <c r="M36" s="9"/>
      <c r="N36" s="9"/>
    </row>
    <row r="37">
      <c r="A37" s="1"/>
      <c r="B37" s="59" t="s">
        <v>6288</v>
      </c>
      <c r="D37" s="47">
        <f>D38</f>
        <v>600</v>
      </c>
      <c r="E37" s="47">
        <f>DCOUNTA('Solo&gt;Levels&gt;Ultimate'!E5:F92, 'Solo&gt;Levels&gt;Ultimate'!E5, 'Data&gt;Debug&gt;Formulas'!E7:F8)</f>
        <v>597</v>
      </c>
      <c r="F37" s="47">
        <f>DCOUNTA('Solo&gt;Levels&gt;Ultimate'!E5:F92, 'Solo&gt;Levels&gt;Ultimate'!E5, 'Data&gt;Debug&gt;Formulas'!E11:F21)</f>
        <v>376</v>
      </c>
      <c r="G37" s="47">
        <f>DCOUNTA('Solo&gt;Episodes&gt;Ultimate'!E5:F92, 'Solo&gt;Episodes&gt;Ultimate'!E5, 'Data&gt;Debug&gt;Formulas'!E9:F10)</f>
        <v>30</v>
      </c>
      <c r="H37" s="47">
        <f t="shared" ref="H37:H38" si="17">SUM(D37:G37)</f>
        <v>1603</v>
      </c>
      <c r="I37" s="10"/>
      <c r="J37" s="10"/>
      <c r="K37" s="10"/>
      <c r="L37" s="63"/>
      <c r="M37" s="9"/>
      <c r="N37" s="9"/>
    </row>
    <row r="38">
      <c r="A38" s="1"/>
      <c r="B38" s="59" t="s">
        <v>43</v>
      </c>
      <c r="D38" s="47">
        <v>600.0</v>
      </c>
      <c r="E38" s="47">
        <f>DCOUNTA('Solo&gt;Levels&gt;Ultimate'!E5:F92, 'Solo&gt;Levels&gt;Ultimate'!E5, 'Data&gt;Debug&gt;Formulas'!E7:E8)</f>
        <v>600</v>
      </c>
      <c r="F38" s="47">
        <f>DCOUNTA('Solo&gt;Levels&gt;Ultimate'!E5:F92, 'Solo&gt;Levels&gt;Ultimate'!E5, 'Data&gt;Debug&gt;Formulas'!E11:E21)</f>
        <v>854</v>
      </c>
      <c r="G38" s="47">
        <f>DCOUNTA('Solo&gt;Episodes&gt;Ultimate'!E5:F92, 'Solo&gt;Episodes&gt;Ultimate'!E5, 'Data&gt;Debug&gt;Formulas'!E9:E10)</f>
        <v>120</v>
      </c>
      <c r="H38" s="47">
        <f t="shared" si="17"/>
        <v>2174</v>
      </c>
      <c r="I38" s="10"/>
      <c r="J38" s="10"/>
      <c r="K38" s="10"/>
      <c r="L38" s="63"/>
      <c r="M38" s="9"/>
      <c r="N38" s="9"/>
    </row>
    <row r="39">
      <c r="A39" s="1"/>
      <c r="B39" s="61" t="s">
        <v>6294</v>
      </c>
      <c r="D39" s="62" t="str">
        <f t="shared" ref="D39:H39" si="18">FIXED(D37/D38, 3)</f>
        <v>1.000</v>
      </c>
      <c r="E39" s="62" t="str">
        <f t="shared" si="18"/>
        <v>0.995</v>
      </c>
      <c r="F39" s="62" t="str">
        <f t="shared" si="18"/>
        <v>0.440</v>
      </c>
      <c r="G39" s="62" t="str">
        <f t="shared" si="18"/>
        <v>0.250</v>
      </c>
      <c r="H39" s="62" t="str">
        <f t="shared" si="18"/>
        <v>0.737</v>
      </c>
      <c r="I39" s="10"/>
      <c r="J39" s="10"/>
      <c r="K39" s="10"/>
      <c r="L39" s="63"/>
      <c r="M39" s="9"/>
      <c r="N39" s="9"/>
    </row>
    <row r="40">
      <c r="A40" s="1"/>
      <c r="B40" s="61" t="s">
        <v>6299</v>
      </c>
      <c r="D40" s="64" t="str">
        <f>IFERROR(__xludf.DUMMYFUNCTION("IF(D37/D38 = 1, SPARKLINE(D37,{""charttype"",""bar"";""color1"", ""#e3e3e5"";""max"",D38}), SPARKLINE(D37,{""charttype"",""bar"";""color1"", ""#882285"";""max"",D38}))"),"")</f>
        <v/>
      </c>
      <c r="E40" s="64" t="str">
        <f>IFERROR(__xludf.DUMMYFUNCTION("IF(E37/E38 = 1, SPARKLINE(E37,{""charttype"",""bar"";""color1"", ""#e3e3e5"";""max"",E38}), SPARKLINE(E37,{""charttype"",""bar"";""color1"", ""#882285"";""max"",E38}))"),"")</f>
        <v/>
      </c>
      <c r="F40" s="64" t="str">
        <f>IFERROR(__xludf.DUMMYFUNCTION("IF(F37/F38 = 1, SPARKLINE(F37,{""charttype"",""bar"";""color1"", ""#e3e3e5"";""max"",F38}), SPARKLINE(F37,{""charttype"",""bar"";""color1"", ""#882285"";""max"",F38}))"),"")</f>
        <v/>
      </c>
      <c r="G40" s="64" t="str">
        <f>IFERROR(__xludf.DUMMYFUNCTION("IF(G37/G38 = 1, SPARKLINE(G37,{""charttype"",""bar"";""color1"", ""#e3e3e5"";""max"",G38}), SPARKLINE(G37,{""charttype"",""bar"";""color1"", ""#882285"";""max"",G38}))"),"")</f>
        <v/>
      </c>
      <c r="H40" s="64" t="str">
        <f>IFERROR(__xludf.DUMMYFUNCTION("IF(H37/H38 = 1, SPARKLINE(H37,{""charttype"",""bar"";""color1"", ""#e3e3e5"";""max"",H38}), SPARKLINE(H37,{""charttype"",""bar"";""color1"", ""#882285"";""max"",H38}))"),"")</f>
        <v/>
      </c>
      <c r="I40" s="10"/>
      <c r="J40" s="10"/>
      <c r="K40" s="10"/>
      <c r="L40" s="63"/>
      <c r="M40" s="9"/>
      <c r="N40" s="9"/>
    </row>
    <row r="41">
      <c r="A41" s="1"/>
      <c r="B41" s="7" t="s">
        <v>7</v>
      </c>
      <c r="D41" s="9" t="s">
        <v>6333</v>
      </c>
      <c r="E41" s="9" t="s">
        <v>14</v>
      </c>
      <c r="F41" s="9" t="s">
        <v>6346</v>
      </c>
      <c r="G41" s="9"/>
      <c r="H41" s="9" t="s">
        <v>5566</v>
      </c>
      <c r="I41" s="10"/>
      <c r="J41" s="10"/>
      <c r="K41" s="10"/>
      <c r="L41" s="63"/>
      <c r="M41" s="9"/>
      <c r="N41" s="9"/>
    </row>
    <row r="42">
      <c r="A42" s="1"/>
      <c r="B42" s="59" t="s">
        <v>6288</v>
      </c>
      <c r="D42" s="47">
        <f>D43</f>
        <v>120</v>
      </c>
      <c r="E42" s="47">
        <f>DCOUNTA('Solo&gt;Levels&gt;!'!E5:F92, 'Solo&gt;Levels&gt;!'!E5, 'Data&gt;Debug&gt;Formulas'!E7:F8)</f>
        <v>80</v>
      </c>
      <c r="F42" s="47">
        <f>DCOUNTA('Solo&gt;Levels&gt;!'!E5:F92, 'Solo&gt;Levels&gt;!'!E5, 'Data&gt;Debug&gt;Formulas'!E11:F21)</f>
        <v>164</v>
      </c>
      <c r="G42" s="47"/>
      <c r="H42" s="47">
        <f t="shared" ref="H42:H43" si="19">SUM(D42:F42)</f>
        <v>364</v>
      </c>
      <c r="I42" s="10"/>
      <c r="J42" s="10"/>
      <c r="K42" s="10"/>
      <c r="L42" s="63"/>
      <c r="M42" s="9"/>
      <c r="N42" s="9"/>
    </row>
    <row r="43">
      <c r="A43" s="1"/>
      <c r="B43" s="59" t="s">
        <v>43</v>
      </c>
      <c r="D43" s="47">
        <v>120.0</v>
      </c>
      <c r="E43" s="47">
        <f>DCOUNTA('Solo&gt;Levels&gt;!'!E5:F92, 'Solo&gt;Levels&gt;!'!E5, 'Data&gt;Debug&gt;Formulas'!E7:E8)</f>
        <v>120</v>
      </c>
      <c r="F43" s="47">
        <f>DCOUNTA('Solo&gt;Levels&gt;!'!E5:F92, 'Solo&gt;Levels&gt;!'!E5, 'Data&gt;Debug&gt;Formulas'!E11:E21)</f>
        <v>216</v>
      </c>
      <c r="G43" s="47"/>
      <c r="H43" s="47">
        <f t="shared" si="19"/>
        <v>456</v>
      </c>
      <c r="I43" s="10"/>
      <c r="J43" s="10"/>
      <c r="K43" s="10"/>
      <c r="L43" s="63"/>
      <c r="M43" s="9"/>
      <c r="N43" s="9"/>
    </row>
    <row r="44">
      <c r="A44" s="1"/>
      <c r="B44" s="61" t="s">
        <v>6294</v>
      </c>
      <c r="D44" s="62" t="str">
        <f t="shared" ref="D44:F44" si="20">FIXED(D42/D43, 3)</f>
        <v>1.000</v>
      </c>
      <c r="E44" s="62" t="str">
        <f t="shared" si="20"/>
        <v>0.667</v>
      </c>
      <c r="F44" s="62" t="str">
        <f t="shared" si="20"/>
        <v>0.759</v>
      </c>
      <c r="G44" s="10"/>
      <c r="H44" s="62" t="str">
        <f>FIXED(H42/H43, 3)</f>
        <v>0.798</v>
      </c>
      <c r="I44" s="10"/>
      <c r="J44" s="10"/>
      <c r="K44" s="10"/>
      <c r="L44" s="63"/>
      <c r="M44" s="9"/>
      <c r="N44" s="9"/>
    </row>
    <row r="45">
      <c r="A45" s="1"/>
      <c r="B45" s="61" t="s">
        <v>6299</v>
      </c>
      <c r="D45" s="64" t="str">
        <f>IFERROR(__xludf.DUMMYFUNCTION("IF(D42/D43 = 1, SPARKLINE(D42,{""charttype"",""bar"";""color1"", ""#e3e3e5"";""max"",D43}), SPARKLINE(D42,{""charttype"",""bar"";""color1"", ""#882285"";""max"",D43}))"),"")</f>
        <v/>
      </c>
      <c r="E45" s="64" t="str">
        <f>IFERROR(__xludf.DUMMYFUNCTION("IF(E42/E43 = 1, SPARKLINE(E42,{""charttype"",""bar"";""color1"", ""#e3e3e5"";""max"",E43}), SPARKLINE(E42,{""charttype"",""bar"";""color1"", ""#882285"";""max"",E43}))"),"")</f>
        <v/>
      </c>
      <c r="F45" s="64" t="str">
        <f>IFERROR(__xludf.DUMMYFUNCTION("IF(F42/F43 = 1, SPARKLINE(F42,{""charttype"",""bar"";""color1"", ""#e3e3e5"";""max"",F43}), SPARKLINE(F42,{""charttype"",""bar"";""color1"", ""#882285"";""max"",F43}))"),"")</f>
        <v/>
      </c>
      <c r="G45" s="10"/>
      <c r="H45" s="64" t="str">
        <f>IFERROR(__xludf.DUMMYFUNCTION("IF(H42/H43 = 1, SPARKLINE(H42,{""charttype"",""bar"";""color1"", ""#e3e3e5"";""max"",H43}), SPARKLINE(H42,{""charttype"",""bar"";""color1"", ""#882285"";""max"",H43}))"),"")</f>
        <v/>
      </c>
      <c r="I45" s="10"/>
      <c r="J45" s="10"/>
      <c r="K45" s="10"/>
      <c r="L45" s="63"/>
      <c r="M45" s="9"/>
      <c r="N45" s="9"/>
    </row>
    <row r="46">
      <c r="A46" s="1"/>
      <c r="B46" s="55" t="s">
        <v>26</v>
      </c>
      <c r="N46" s="9"/>
    </row>
    <row r="47">
      <c r="A47" s="1"/>
      <c r="N47" s="9"/>
    </row>
    <row r="48">
      <c r="A48" s="1"/>
      <c r="B48" s="7" t="s">
        <v>2</v>
      </c>
      <c r="D48" s="9" t="s">
        <v>6333</v>
      </c>
      <c r="E48" s="9" t="s">
        <v>14</v>
      </c>
      <c r="F48" s="9" t="s">
        <v>4390</v>
      </c>
      <c r="G48" s="9" t="s">
        <v>5566</v>
      </c>
      <c r="H48" s="10"/>
      <c r="I48" s="10"/>
      <c r="J48" s="10"/>
      <c r="K48" s="10"/>
      <c r="L48" s="63"/>
      <c r="M48" s="9"/>
      <c r="N48" s="9"/>
    </row>
    <row r="49">
      <c r="A49" s="1"/>
      <c r="B49" s="59" t="s">
        <v>6288</v>
      </c>
      <c r="D49" s="47">
        <f>D50</f>
        <v>5</v>
      </c>
      <c r="E49" s="47">
        <f>DCOUNTA('Hardcore&gt;Intro'!E5:F92, 'Hardcore&gt;Intro'!E5, 'Data&gt;Debug&gt;Formulas'!E7:F8)</f>
        <v>0</v>
      </c>
      <c r="F49" s="47">
        <f>DCOUNTA('Hardcore&gt;Intro'!E5:F92, 'Hardcore&gt;Intro'!E5, 'Data&gt;Debug&gt;Formulas'!E22:F23)</f>
        <v>0</v>
      </c>
      <c r="G49" s="47">
        <f t="shared" ref="G49:G50" si="21">SUM(D49:F49)</f>
        <v>5</v>
      </c>
      <c r="H49" s="10"/>
      <c r="I49" s="10"/>
      <c r="J49" s="10"/>
      <c r="K49" s="10"/>
      <c r="L49" s="63"/>
      <c r="M49" s="9"/>
      <c r="N49" s="9"/>
    </row>
    <row r="50">
      <c r="A50" s="1"/>
      <c r="B50" s="59" t="s">
        <v>43</v>
      </c>
      <c r="D50" s="47">
        <v>5.0</v>
      </c>
      <c r="E50" s="47">
        <v>5.0</v>
      </c>
      <c r="F50" s="47">
        <f>DCOUNTA('Hardcore&gt;Intro'!E5:F92, 'Hardcore&gt;Intro'!E5, 'Data&gt;Debug&gt;Formulas'!E22:E23)</f>
        <v>5</v>
      </c>
      <c r="G50" s="47">
        <f t="shared" si="21"/>
        <v>15</v>
      </c>
      <c r="H50" s="10"/>
      <c r="I50" s="10"/>
      <c r="J50" s="10"/>
      <c r="K50" s="10"/>
      <c r="L50" s="63"/>
      <c r="M50" s="9"/>
      <c r="N50" s="9"/>
    </row>
    <row r="51">
      <c r="A51" s="1"/>
      <c r="B51" s="61" t="s">
        <v>6294</v>
      </c>
      <c r="D51" s="62" t="str">
        <f t="shared" ref="D51:G51" si="22">FIXED(D49/D50, 3)</f>
        <v>1.000</v>
      </c>
      <c r="E51" s="62" t="str">
        <f t="shared" si="22"/>
        <v>0.000</v>
      </c>
      <c r="F51" s="62" t="str">
        <f t="shared" si="22"/>
        <v>0.000</v>
      </c>
      <c r="G51" s="62" t="str">
        <f t="shared" si="22"/>
        <v>0.333</v>
      </c>
      <c r="H51" s="10"/>
      <c r="I51" s="10"/>
      <c r="J51" s="10"/>
      <c r="K51" s="10"/>
      <c r="L51" s="63"/>
      <c r="M51" s="9"/>
      <c r="N51" s="9"/>
    </row>
    <row r="52">
      <c r="A52" s="1"/>
      <c r="B52" s="61" t="s">
        <v>6299</v>
      </c>
      <c r="D52" s="64" t="str">
        <f>IFERROR(__xludf.DUMMYFUNCTION("IF(D49/D50 = 1, SPARKLINE(D49,{""charttype"",""bar"";""color1"", ""#e3e3e5"";""max"",D50}), SPARKLINE(D49,{""charttype"",""bar"";""color1"", ""#882285"";""max"",D50}))"),"")</f>
        <v/>
      </c>
      <c r="E52" s="64" t="str">
        <f>IFERROR(__xludf.DUMMYFUNCTION("IF(E49/E50 = 1, SPARKLINE(E49,{""charttype"",""bar"";""color1"", ""#e3e3e5"";""max"",E50}), SPARKLINE(E49,{""charttype"",""bar"";""color1"", ""#882285"";""max"",E50}))"),"")</f>
        <v/>
      </c>
      <c r="F52" s="64" t="str">
        <f>IFERROR(__xludf.DUMMYFUNCTION("IF(F49/F50 = 1, SPARKLINE(F49,{""charttype"",""bar"";""color1"", ""#e3e3e5"";""max"",F50}), SPARKLINE(F49,{""charttype"",""bar"";""color1"", ""#882285"";""max"",F50}))"),"")</f>
        <v/>
      </c>
      <c r="G52" s="64" t="str">
        <f>IFERROR(__xludf.DUMMYFUNCTION("IF(G49/G50 = 1, SPARKLINE(G49,{""charttype"",""bar"";""color1"", ""#e3e3e5"";""max"",G50}), SPARKLINE(G49,{""charttype"",""bar"";""color1"", ""#882285"";""max"",G50}))"),"")</f>
        <v/>
      </c>
      <c r="H52" s="10"/>
      <c r="I52" s="10"/>
      <c r="J52" s="10"/>
      <c r="K52" s="10"/>
      <c r="L52" s="63"/>
      <c r="M52" s="9"/>
      <c r="N52" s="9"/>
    </row>
    <row r="53">
      <c r="A53" s="1"/>
      <c r="B53" s="7" t="s">
        <v>3</v>
      </c>
      <c r="D53" s="9" t="s">
        <v>6333</v>
      </c>
      <c r="E53" s="9" t="s">
        <v>14</v>
      </c>
      <c r="F53" s="9" t="s">
        <v>4390</v>
      </c>
      <c r="G53" s="9" t="s">
        <v>5566</v>
      </c>
      <c r="H53" s="10"/>
      <c r="I53" s="10"/>
      <c r="J53" s="10"/>
      <c r="K53" s="10"/>
      <c r="L53" s="63"/>
      <c r="M53" s="9"/>
      <c r="N53" s="9"/>
    </row>
    <row r="54">
      <c r="A54" s="1"/>
      <c r="B54" s="59" t="s">
        <v>6288</v>
      </c>
      <c r="D54" s="47">
        <f>D55</f>
        <v>20</v>
      </c>
      <c r="E54" s="47">
        <f>DCOUNTA('Hardcore&gt;N++'!E5:F92, 'Hardcore&gt;N++'!E5, 'Data&gt;Debug&gt;Formulas'!E7:F8)</f>
        <v>0</v>
      </c>
      <c r="F54" s="47">
        <f>DCOUNTA('Hardcore&gt;N++'!E5:F92, 'Hardcore&gt;N++'!E5, 'Data&gt;Debug&gt;Formulas'!E22:F23)</f>
        <v>8</v>
      </c>
      <c r="G54" s="47">
        <f t="shared" ref="G54:G55" si="23">SUM(D54:F54)</f>
        <v>28</v>
      </c>
      <c r="H54" s="10"/>
      <c r="I54" s="10"/>
      <c r="J54" s="10"/>
      <c r="K54" s="10"/>
      <c r="L54" s="63"/>
      <c r="M54" s="9"/>
      <c r="N54" s="9"/>
    </row>
    <row r="55">
      <c r="A55" s="1"/>
      <c r="B55" s="59" t="s">
        <v>43</v>
      </c>
      <c r="D55" s="47">
        <v>20.0</v>
      </c>
      <c r="E55" s="47">
        <v>20.0</v>
      </c>
      <c r="F55" s="47">
        <f>DCOUNTA('Hardcore&gt;N++'!E5:F92, 'Hardcore&gt;N++'!E5, 'Data&gt;Debug&gt;Formulas'!E22:E23)</f>
        <v>20</v>
      </c>
      <c r="G55" s="47">
        <f t="shared" si="23"/>
        <v>60</v>
      </c>
      <c r="H55" s="10"/>
      <c r="I55" s="10"/>
      <c r="J55" s="10"/>
      <c r="K55" s="10"/>
      <c r="L55" s="63"/>
      <c r="M55" s="9"/>
      <c r="N55" s="9"/>
    </row>
    <row r="56">
      <c r="A56" s="1"/>
      <c r="B56" s="61" t="s">
        <v>6294</v>
      </c>
      <c r="D56" s="62" t="str">
        <f t="shared" ref="D56:G56" si="24">FIXED(D54/D55, 3)</f>
        <v>1.000</v>
      </c>
      <c r="E56" s="62" t="str">
        <f t="shared" si="24"/>
        <v>0.000</v>
      </c>
      <c r="F56" s="62" t="str">
        <f t="shared" si="24"/>
        <v>0.400</v>
      </c>
      <c r="G56" s="62" t="str">
        <f t="shared" si="24"/>
        <v>0.467</v>
      </c>
      <c r="H56" s="10"/>
      <c r="I56" s="10"/>
      <c r="J56" s="10"/>
      <c r="K56" s="10"/>
      <c r="L56" s="63"/>
      <c r="M56" s="9"/>
      <c r="N56" s="9"/>
    </row>
    <row r="57">
      <c r="A57" s="1"/>
      <c r="B57" s="61" t="s">
        <v>6299</v>
      </c>
      <c r="D57" s="64" t="str">
        <f>IFERROR(__xludf.DUMMYFUNCTION("IF(D54/D55 = 1, SPARKLINE(D54,{""charttype"",""bar"";""color1"", ""#e3e3e5"";""max"",D55}), SPARKLINE(D54,{""charttype"",""bar"";""color1"", ""#882285"";""max"",D55}))"),"")</f>
        <v/>
      </c>
      <c r="E57" s="64" t="str">
        <f>IFERROR(__xludf.DUMMYFUNCTION("IF(E54/E55 = 1, SPARKLINE(E54,{""charttype"",""bar"";""color1"", ""#e3e3e5"";""max"",E55}), SPARKLINE(E54,{""charttype"",""bar"";""color1"", ""#882285"";""max"",E55}))"),"")</f>
        <v/>
      </c>
      <c r="F57" s="64" t="str">
        <f>IFERROR(__xludf.DUMMYFUNCTION("IF(F54/F55 = 1, SPARKLINE(F54,{""charttype"",""bar"";""color1"", ""#e3e3e5"";""max"",F55}), SPARKLINE(F54,{""charttype"",""bar"";""color1"", ""#882285"";""max"",F55}))"),"")</f>
        <v/>
      </c>
      <c r="G57" s="64" t="str">
        <f>IFERROR(__xludf.DUMMYFUNCTION("IF(G54/G55 = 1, SPARKLINE(G54,{""charttype"",""bar"";""color1"", ""#e3e3e5"";""max"",G55}), SPARKLINE(G54,{""charttype"",""bar"";""color1"", ""#882285"";""max"",G55}))"),"")</f>
        <v/>
      </c>
      <c r="H57" s="10"/>
      <c r="I57" s="10"/>
      <c r="J57" s="10"/>
      <c r="K57" s="10"/>
      <c r="L57" s="63"/>
      <c r="M57" s="9"/>
      <c r="N57" s="9"/>
    </row>
    <row r="58">
      <c r="A58" s="1"/>
      <c r="B58" s="7" t="s">
        <v>4</v>
      </c>
      <c r="D58" s="9" t="s">
        <v>6333</v>
      </c>
      <c r="E58" s="9" t="s">
        <v>14</v>
      </c>
      <c r="F58" s="9" t="s">
        <v>4390</v>
      </c>
      <c r="G58" s="9" t="s">
        <v>5566</v>
      </c>
      <c r="H58" s="10"/>
      <c r="I58" s="10"/>
      <c r="J58" s="10"/>
      <c r="K58" s="10"/>
      <c r="L58" s="63"/>
      <c r="M58" s="9"/>
      <c r="N58" s="9"/>
    </row>
    <row r="59">
      <c r="A59" s="1"/>
      <c r="B59" s="59" t="s">
        <v>6288</v>
      </c>
      <c r="D59" s="47">
        <f>D60</f>
        <v>20</v>
      </c>
      <c r="E59" s="47">
        <f>DCOUNTA('Hardcore&gt;Ultimate'!E5:F92, 'Hardcore&gt;Ultimate'!E5, 'Data&gt;Debug&gt;Formulas'!E7:F8)</f>
        <v>0</v>
      </c>
      <c r="F59" s="47">
        <f>DCOUNTA('Hardcore&gt;Ultimate'!E5:F92, 'Hardcore&gt;Ultimate'!E5, 'Data&gt;Debug&gt;Formulas'!E22:F23)</f>
        <v>4</v>
      </c>
      <c r="G59" s="47">
        <f t="shared" ref="G59:G60" si="25">SUM(D59:F59)</f>
        <v>24</v>
      </c>
      <c r="H59" s="10"/>
      <c r="I59" s="10"/>
      <c r="J59" s="10"/>
      <c r="K59" s="10"/>
      <c r="L59" s="63"/>
      <c r="M59" s="9"/>
      <c r="N59" s="9"/>
    </row>
    <row r="60">
      <c r="A60" s="1"/>
      <c r="B60" s="59" t="s">
        <v>43</v>
      </c>
      <c r="D60" s="47">
        <v>20.0</v>
      </c>
      <c r="E60" s="47">
        <v>20.0</v>
      </c>
      <c r="F60" s="47">
        <f>DCOUNTA('Hardcore&gt;Ultimate'!E5:F92, 'Hardcore&gt;Ultimate'!E5, 'Data&gt;Debug&gt;Formulas'!E22:E23)</f>
        <v>20</v>
      </c>
      <c r="G60" s="47">
        <f t="shared" si="25"/>
        <v>60</v>
      </c>
      <c r="H60" s="10"/>
      <c r="I60" s="10"/>
      <c r="J60" s="10"/>
      <c r="K60" s="10"/>
      <c r="L60" s="63"/>
      <c r="M60" s="9"/>
      <c r="N60" s="9"/>
    </row>
    <row r="61">
      <c r="A61" s="1"/>
      <c r="B61" s="61" t="s">
        <v>6294</v>
      </c>
      <c r="D61" s="62" t="str">
        <f t="shared" ref="D61:G61" si="26">FIXED(D59/D60, 3)</f>
        <v>1.000</v>
      </c>
      <c r="E61" s="62" t="str">
        <f t="shared" si="26"/>
        <v>0.000</v>
      </c>
      <c r="F61" s="62" t="str">
        <f t="shared" si="26"/>
        <v>0.200</v>
      </c>
      <c r="G61" s="62" t="str">
        <f t="shared" si="26"/>
        <v>0.400</v>
      </c>
      <c r="H61" s="10"/>
      <c r="I61" s="10"/>
      <c r="J61" s="10"/>
      <c r="K61" s="10"/>
      <c r="L61" s="63"/>
      <c r="M61" s="9"/>
      <c r="N61" s="9"/>
    </row>
    <row r="62">
      <c r="A62" s="1"/>
      <c r="B62" s="61" t="s">
        <v>6299</v>
      </c>
      <c r="D62" s="64" t="str">
        <f>IFERROR(__xludf.DUMMYFUNCTION("IF(D59/D60 = 1, SPARKLINE(D59,{""charttype"",""bar"";""color1"", ""#e3e3e5"";""max"",D60}), SPARKLINE(D59,{""charttype"",""bar"";""color1"", ""#882285"";""max"",D60}))"),"")</f>
        <v/>
      </c>
      <c r="E62" s="64" t="str">
        <f>IFERROR(__xludf.DUMMYFUNCTION("IF(E59/E60 = 1, SPARKLINE(E59,{""charttype"",""bar"";""color1"", ""#e3e3e5"";""max"",E60}), SPARKLINE(E59,{""charttype"",""bar"";""color1"", ""#882285"";""max"",E60}))"),"")</f>
        <v/>
      </c>
      <c r="F62" s="64" t="str">
        <f>IFERROR(__xludf.DUMMYFUNCTION("IF(F59/F60 = 1, SPARKLINE(F59,{""charttype"",""bar"";""color1"", ""#e3e3e5"";""max"",F60}), SPARKLINE(F59,{""charttype"",""bar"";""color1"", ""#882285"";""max"",F60}))"),"")</f>
        <v/>
      </c>
      <c r="G62" s="64" t="str">
        <f>IFERROR(__xludf.DUMMYFUNCTION("IF(G59/G60 = 1, SPARKLINE(G59,{""charttype"",""bar"";""color1"", ""#e3e3e5"";""max"",G60}), SPARKLINE(G59,{""charttype"",""bar"";""color1"", ""#882285"";""max"",G60}))"),"")</f>
        <v/>
      </c>
      <c r="H62" s="10"/>
      <c r="I62" s="10"/>
      <c r="J62" s="10"/>
      <c r="K62" s="10"/>
      <c r="L62" s="63"/>
      <c r="M62" s="9"/>
      <c r="N62" s="9"/>
    </row>
    <row r="63">
      <c r="A63" s="1"/>
      <c r="B63" s="7" t="s">
        <v>5</v>
      </c>
      <c r="D63" s="9" t="s">
        <v>6333</v>
      </c>
      <c r="E63" s="9" t="s">
        <v>14</v>
      </c>
      <c r="F63" s="9" t="s">
        <v>4390</v>
      </c>
      <c r="G63" s="9" t="s">
        <v>5566</v>
      </c>
      <c r="H63" s="10"/>
      <c r="I63" s="10"/>
      <c r="J63" s="10"/>
      <c r="K63" s="10"/>
      <c r="L63" s="63"/>
      <c r="M63" s="9"/>
      <c r="N63" s="9"/>
    </row>
    <row r="64">
      <c r="A64" s="1"/>
      <c r="B64" s="59" t="s">
        <v>6288</v>
      </c>
      <c r="D64" s="47">
        <f>D65</f>
        <v>20</v>
      </c>
      <c r="E64" s="47">
        <f>DCOUNTA('Hardcore&gt;Legacy'!E5:F92, 'Hardcore&gt;Legacy'!E5, 'Data&gt;Debug&gt;Formulas'!E7:F8)</f>
        <v>0</v>
      </c>
      <c r="F64" s="47">
        <f>DCOUNTA('Hardcore&gt;Legacy'!E5:F92, 'Hardcore&gt;Legacy'!E5, 'Data&gt;Debug&gt;Formulas'!E22:F23)</f>
        <v>1</v>
      </c>
      <c r="G64" s="47">
        <f t="shared" ref="G64:G65" si="27">SUM(D64:F64)</f>
        <v>21</v>
      </c>
      <c r="H64" s="10"/>
      <c r="I64" s="10"/>
      <c r="J64" s="10"/>
      <c r="K64" s="10"/>
      <c r="L64" s="63"/>
      <c r="M64" s="9"/>
      <c r="N64" s="9"/>
    </row>
    <row r="65">
      <c r="A65" s="1"/>
      <c r="B65" s="59" t="s">
        <v>43</v>
      </c>
      <c r="D65" s="47">
        <v>20.0</v>
      </c>
      <c r="E65" s="47">
        <v>20.0</v>
      </c>
      <c r="F65" s="47">
        <f>DCOUNTA('Hardcore&gt;Legacy'!E5:F92, 'Hardcore&gt;Legacy'!E5, 'Data&gt;Debug&gt;Formulas'!E22:E23)</f>
        <v>20</v>
      </c>
      <c r="G65" s="47">
        <f t="shared" si="27"/>
        <v>60</v>
      </c>
      <c r="H65" s="10"/>
      <c r="I65" s="10"/>
      <c r="J65" s="10"/>
      <c r="K65" s="10"/>
      <c r="L65" s="63"/>
      <c r="M65" s="9"/>
      <c r="N65" s="9"/>
    </row>
    <row r="66">
      <c r="A66" s="1"/>
      <c r="B66" s="61" t="s">
        <v>6294</v>
      </c>
      <c r="D66" s="62" t="str">
        <f t="shared" ref="D66:G66" si="28">FIXED(D64/D65, 3)</f>
        <v>1.000</v>
      </c>
      <c r="E66" s="62" t="str">
        <f t="shared" si="28"/>
        <v>0.000</v>
      </c>
      <c r="F66" s="62" t="str">
        <f t="shared" si="28"/>
        <v>0.050</v>
      </c>
      <c r="G66" s="62" t="str">
        <f t="shared" si="28"/>
        <v>0.350</v>
      </c>
      <c r="H66" s="10"/>
      <c r="I66" s="10"/>
      <c r="J66" s="10"/>
      <c r="K66" s="10"/>
      <c r="L66" s="63"/>
      <c r="M66" s="9"/>
      <c r="N66" s="9"/>
    </row>
    <row r="67">
      <c r="A67" s="1"/>
      <c r="B67" s="61" t="s">
        <v>6299</v>
      </c>
      <c r="D67" s="64" t="str">
        <f>IFERROR(__xludf.DUMMYFUNCTION("IF(D64/D65 = 1, SPARKLINE(D64,{""charttype"",""bar"";""color1"", ""#e3e3e5"";""max"",D65}), SPARKLINE(D64,{""charttype"",""bar"";""color1"", ""#882285"";""max"",D65}))"),"")</f>
        <v/>
      </c>
      <c r="E67" s="64" t="str">
        <f>IFERROR(__xludf.DUMMYFUNCTION("IF(E64/E65 = 1, SPARKLINE(E64,{""charttype"",""bar"";""color1"", ""#e3e3e5"";""max"",E65}), SPARKLINE(E64,{""charttype"",""bar"";""color1"", ""#882285"";""max"",E65}))"),"")</f>
        <v/>
      </c>
      <c r="F67" s="64" t="str">
        <f>IFERROR(__xludf.DUMMYFUNCTION("IF(F64/F65 = 1, SPARKLINE(F64,{""charttype"",""bar"";""color1"", ""#e3e3e5"";""max"",F65}), SPARKLINE(F64,{""charttype"",""bar"";""color1"", ""#882285"";""max"",F65}))"),"")</f>
        <v/>
      </c>
      <c r="G67" s="64" t="str">
        <f>IFERROR(__xludf.DUMMYFUNCTION("IF(G64/G65 = 1, SPARKLINE(G64,{""charttype"",""bar"";""color1"", ""#e3e3e5"";""max"",G65}), SPARKLINE(G64,{""charttype"",""bar"";""color1"", ""#882285"";""max"",G65}))"),"")</f>
        <v/>
      </c>
      <c r="H67" s="10"/>
      <c r="I67" s="10"/>
      <c r="J67" s="10"/>
      <c r="K67" s="10"/>
      <c r="L67" s="63"/>
      <c r="M67" s="9"/>
      <c r="N67" s="9"/>
    </row>
    <row r="68">
      <c r="A68" s="1"/>
      <c r="B68" s="55" t="s">
        <v>5565</v>
      </c>
      <c r="N68" s="9"/>
    </row>
    <row r="69">
      <c r="A69" s="1"/>
      <c r="N69" s="9"/>
    </row>
    <row r="70">
      <c r="A70" s="1"/>
      <c r="B70" s="69" t="s">
        <v>3</v>
      </c>
      <c r="D70" s="9" t="s">
        <v>6333</v>
      </c>
      <c r="E70" s="9" t="s">
        <v>14</v>
      </c>
      <c r="F70" s="9" t="s">
        <v>5566</v>
      </c>
      <c r="G70" s="47"/>
      <c r="H70" s="47"/>
      <c r="I70" s="10"/>
      <c r="J70" s="10"/>
      <c r="K70" s="10"/>
      <c r="L70" s="63"/>
      <c r="M70" s="9"/>
      <c r="N70" s="9"/>
    </row>
    <row r="71">
      <c r="A71" s="1"/>
      <c r="B71" s="59" t="s">
        <v>6288</v>
      </c>
      <c r="D71" s="47">
        <f>D72</f>
        <v>300</v>
      </c>
      <c r="E71" s="47">
        <f>DCOUNTA('Co-op&gt;Levels&gt;N++'!E92:F606, 'Co-op&gt;Levels&gt;N++'!E5, 'Data&gt;Debug&gt;Formulas'!E7:F8)</f>
        <v>262</v>
      </c>
      <c r="F71" s="47">
        <f t="shared" ref="F71:F72" si="29">SUM(D71:E71)</f>
        <v>562</v>
      </c>
      <c r="G71" s="47"/>
      <c r="H71" s="47"/>
      <c r="I71" s="10"/>
      <c r="J71" s="10"/>
      <c r="K71" s="10"/>
      <c r="L71" s="63"/>
      <c r="M71" s="9"/>
      <c r="N71" s="9"/>
    </row>
    <row r="72">
      <c r="A72" s="1"/>
      <c r="B72" s="59" t="s">
        <v>43</v>
      </c>
      <c r="D72" s="47">
        <v>300.0</v>
      </c>
      <c r="E72" s="47">
        <f>DCOUNTA('Co-op&gt;Levels&gt;N++'!E92:F606, 'Co-op&gt;Levels&gt;N++'!E5, 'Data&gt;Debug&gt;Formulas'!E7:E8)</f>
        <v>300</v>
      </c>
      <c r="F72" s="47">
        <f t="shared" si="29"/>
        <v>600</v>
      </c>
      <c r="G72" s="47"/>
      <c r="H72" s="47"/>
      <c r="I72" s="10"/>
      <c r="J72" s="10"/>
      <c r="K72" s="10"/>
      <c r="L72" s="63"/>
      <c r="M72" s="9"/>
      <c r="N72" s="9"/>
    </row>
    <row r="73">
      <c r="A73" s="1"/>
      <c r="B73" s="61" t="s">
        <v>6294</v>
      </c>
      <c r="D73" s="62" t="str">
        <f t="shared" ref="D73:F73" si="30">FIXED(D71/D72, 3)</f>
        <v>1.000</v>
      </c>
      <c r="E73" s="62" t="str">
        <f t="shared" si="30"/>
        <v>0.873</v>
      </c>
      <c r="F73" s="62" t="str">
        <f t="shared" si="30"/>
        <v>0.937</v>
      </c>
      <c r="G73" s="47"/>
      <c r="H73" s="47"/>
      <c r="I73" s="10"/>
      <c r="J73" s="10"/>
      <c r="K73" s="10"/>
      <c r="L73" s="63"/>
      <c r="M73" s="9"/>
      <c r="N73" s="9"/>
    </row>
    <row r="74">
      <c r="A74" s="1"/>
      <c r="B74" s="61" t="s">
        <v>6299</v>
      </c>
      <c r="D74" s="64" t="str">
        <f>IFERROR(__xludf.DUMMYFUNCTION("IF(D71/D72 = 1, SPARKLINE(D71,{""charttype"",""bar"";""color1"", ""#e3e3e5"";""max"",D72}), SPARKLINE(D71,{""charttype"",""bar"";""color1"", ""#882285"";""max"",D72}))"),"")</f>
        <v/>
      </c>
      <c r="E74" s="64" t="str">
        <f>IFERROR(__xludf.DUMMYFUNCTION("IF(E71/E72 = 1, SPARKLINE(E71,{""charttype"",""bar"";""color1"", ""#e3e3e5"";""max"",E72}), SPARKLINE(E71,{""charttype"",""bar"";""color1"", ""#882285"";""max"",E72}))"),"")</f>
        <v/>
      </c>
      <c r="F74" s="64" t="str">
        <f>IFERROR(__xludf.DUMMYFUNCTION("IF(F71/F72 = 1, SPARKLINE(F71,{""charttype"",""bar"";""color1"", ""#e3e3e5"";""max"",F72}), SPARKLINE(F71,{""charttype"",""bar"";""color1"", ""#882285"";""max"",F72}))"),"")</f>
        <v/>
      </c>
      <c r="G74" s="47"/>
      <c r="H74" s="47"/>
      <c r="I74" s="10"/>
      <c r="J74" s="10"/>
      <c r="K74" s="10"/>
      <c r="L74" s="63"/>
      <c r="M74" s="9"/>
      <c r="N74" s="9"/>
    </row>
    <row r="75">
      <c r="A75" s="1"/>
      <c r="B75" s="69" t="s">
        <v>5</v>
      </c>
      <c r="D75" s="9" t="s">
        <v>6333</v>
      </c>
      <c r="E75" s="9" t="s">
        <v>14</v>
      </c>
      <c r="F75" s="9" t="s">
        <v>5566</v>
      </c>
      <c r="G75" s="47"/>
      <c r="H75" s="47"/>
      <c r="I75" s="10"/>
      <c r="J75" s="10"/>
      <c r="K75" s="10"/>
      <c r="L75" s="63"/>
      <c r="M75" s="9"/>
      <c r="N75" s="9"/>
    </row>
    <row r="76">
      <c r="A76" s="1"/>
      <c r="B76" s="59" t="s">
        <v>6288</v>
      </c>
      <c r="D76" s="47">
        <f>D77</f>
        <v>210</v>
      </c>
      <c r="E76" s="47">
        <f>DCOUNTA('Co-op&gt;Levels&gt;Legacy'!E92:F246, 'Co-op&gt;Levels&gt;Legacy'!E5, 'Data&gt;Debug&gt;Formulas'!E7:F8)</f>
        <v>5</v>
      </c>
      <c r="F76" s="47">
        <f t="shared" ref="F76:F77" si="31">SUM(D76:E76)</f>
        <v>215</v>
      </c>
      <c r="G76" s="47"/>
      <c r="H76" s="47"/>
      <c r="I76" s="10"/>
      <c r="J76" s="10"/>
      <c r="K76" s="10"/>
      <c r="L76" s="63"/>
      <c r="M76" s="9"/>
      <c r="N76" s="9"/>
    </row>
    <row r="77">
      <c r="A77" s="1"/>
      <c r="B77" s="59" t="s">
        <v>43</v>
      </c>
      <c r="D77" s="47">
        <v>210.0</v>
      </c>
      <c r="E77" s="47">
        <f>DCOUNTA('Co-op&gt;Levels&gt;Legacy'!E92:F246, 'Co-op&gt;Levels&gt;Legacy'!E5, 'Data&gt;Debug&gt;Formulas'!E7:E8)</f>
        <v>210</v>
      </c>
      <c r="F77" s="47">
        <f t="shared" si="31"/>
        <v>420</v>
      </c>
      <c r="G77" s="47"/>
      <c r="H77" s="47"/>
      <c r="I77" s="10"/>
      <c r="J77" s="10"/>
      <c r="K77" s="10"/>
      <c r="L77" s="63"/>
      <c r="M77" s="9"/>
      <c r="N77" s="9"/>
    </row>
    <row r="78">
      <c r="A78" s="1"/>
      <c r="B78" s="61" t="s">
        <v>6294</v>
      </c>
      <c r="D78" s="62" t="str">
        <f t="shared" ref="D78:F78" si="32">FIXED(D76/D77, 3)</f>
        <v>1.000</v>
      </c>
      <c r="E78" s="62" t="str">
        <f t="shared" si="32"/>
        <v>0.024</v>
      </c>
      <c r="F78" s="62" t="str">
        <f t="shared" si="32"/>
        <v>0.512</v>
      </c>
      <c r="G78" s="47"/>
      <c r="H78" s="47"/>
      <c r="I78" s="10"/>
      <c r="J78" s="10"/>
      <c r="K78" s="10"/>
      <c r="L78" s="63"/>
      <c r="M78" s="9"/>
      <c r="N78" s="9"/>
    </row>
    <row r="79">
      <c r="A79" s="1"/>
      <c r="B79" s="61" t="s">
        <v>6299</v>
      </c>
      <c r="D79" s="64" t="str">
        <f>IFERROR(__xludf.DUMMYFUNCTION("IF(D76/D77 = 1, SPARKLINE(D76,{""charttype"",""bar"";""color1"", ""#e3e3e5"";""max"",D77}), SPARKLINE(D76,{""charttype"",""bar"";""color1"", ""#882285"";""max"",D77}))"),"")</f>
        <v/>
      </c>
      <c r="E79" s="64" t="str">
        <f>IFERROR(__xludf.DUMMYFUNCTION("IF(E76/E77 = 1, SPARKLINE(E76,{""charttype"",""bar"";""color1"", ""#e3e3e5"";""max"",E77}), SPARKLINE(E76,{""charttype"",""bar"";""color1"", ""#882285"";""max"",E77}))"),"")</f>
        <v/>
      </c>
      <c r="F79" s="64" t="str">
        <f>IFERROR(__xludf.DUMMYFUNCTION("IF(F76/F77 = 1, SPARKLINE(F76,{""charttype"",""bar"";""color1"", ""#e3e3e5"";""max"",F77}), SPARKLINE(F76,{""charttype"",""bar"";""color1"", ""#882285"";""max"",F77}))"),"")</f>
        <v/>
      </c>
      <c r="G79" s="47"/>
      <c r="H79" s="47"/>
      <c r="I79" s="10"/>
      <c r="J79" s="10"/>
      <c r="K79" s="10"/>
      <c r="L79" s="63"/>
      <c r="M79" s="9"/>
      <c r="N79" s="9"/>
    </row>
    <row r="80">
      <c r="A80" s="1"/>
      <c r="B80" s="55" t="s">
        <v>6318</v>
      </c>
      <c r="N80" s="9"/>
    </row>
    <row r="81">
      <c r="A81" s="1"/>
      <c r="N81" s="9"/>
    </row>
    <row r="82">
      <c r="A82" s="1"/>
      <c r="B82" s="69" t="s">
        <v>3</v>
      </c>
      <c r="D82" s="9" t="s">
        <v>6333</v>
      </c>
      <c r="E82" s="9" t="s">
        <v>5566</v>
      </c>
      <c r="F82" s="9"/>
      <c r="G82" s="47"/>
      <c r="H82" s="47"/>
      <c r="I82" s="10"/>
      <c r="J82" s="10"/>
      <c r="K82" s="10"/>
      <c r="L82" s="63"/>
      <c r="M82" s="9"/>
      <c r="N82" s="9"/>
    </row>
    <row r="83">
      <c r="A83" s="1"/>
      <c r="B83" s="59" t="s">
        <v>6288</v>
      </c>
      <c r="D83" s="47">
        <f>D84</f>
        <v>300</v>
      </c>
      <c r="E83" s="47">
        <f t="shared" ref="E83:E84" si="33">SUM(D83)</f>
        <v>300</v>
      </c>
      <c r="F83" s="47"/>
      <c r="G83" s="47"/>
      <c r="H83" s="47"/>
      <c r="I83" s="10"/>
      <c r="J83" s="10"/>
      <c r="K83" s="10"/>
      <c r="L83" s="63"/>
      <c r="M83" s="9"/>
      <c r="N83" s="9"/>
    </row>
    <row r="84">
      <c r="A84" s="1"/>
      <c r="B84" s="59" t="s">
        <v>43</v>
      </c>
      <c r="D84" s="47">
        <v>300.0</v>
      </c>
      <c r="E84" s="47">
        <f t="shared" si="33"/>
        <v>300</v>
      </c>
      <c r="F84" s="47"/>
      <c r="G84" s="47"/>
      <c r="H84" s="47"/>
      <c r="I84" s="10"/>
      <c r="J84" s="10"/>
      <c r="K84" s="10"/>
      <c r="L84" s="63"/>
      <c r="M84" s="9"/>
      <c r="N84" s="9"/>
    </row>
    <row r="85">
      <c r="A85" s="1"/>
      <c r="B85" s="61" t="s">
        <v>6294</v>
      </c>
      <c r="D85" s="62" t="str">
        <f t="shared" ref="D85:E85" si="34">FIXED(D83/D84, 3)</f>
        <v>1.000</v>
      </c>
      <c r="E85" s="62" t="str">
        <f t="shared" si="34"/>
        <v>1.000</v>
      </c>
      <c r="F85" s="47"/>
      <c r="G85" s="47"/>
      <c r="H85" s="47"/>
      <c r="I85" s="10"/>
      <c r="J85" s="10"/>
      <c r="K85" s="10"/>
      <c r="L85" s="63"/>
      <c r="M85" s="9"/>
      <c r="N85" s="9"/>
    </row>
    <row r="86">
      <c r="A86" s="1"/>
      <c r="B86" s="61" t="s">
        <v>6299</v>
      </c>
      <c r="D86" s="64" t="str">
        <f>IFERROR(__xludf.DUMMYFUNCTION("IF(D83/D84 = 1, SPARKLINE(D83,{""charttype"",""bar"";""color1"", ""#e3e3e5"";""max"",D84}), SPARKLINE(D83,{""charttype"",""bar"";""color1"", ""#882285"";""max"",D84}))"),"")</f>
        <v/>
      </c>
      <c r="E86" s="64" t="str">
        <f>IFERROR(__xludf.DUMMYFUNCTION("IF(E83/E84 = 1, SPARKLINE(E83,{""charttype"",""bar"";""color1"", ""#e3e3e5"";""max"",E84}), SPARKLINE(E83,{""charttype"",""bar"";""color1"", ""#882285"";""max"",E84}))"),"")</f>
        <v/>
      </c>
      <c r="F86" s="47"/>
      <c r="G86" s="47"/>
      <c r="H86" s="47"/>
      <c r="I86" s="10"/>
      <c r="J86" s="10"/>
      <c r="K86" s="10"/>
      <c r="L86" s="63"/>
      <c r="M86" s="9"/>
      <c r="N86" s="9"/>
    </row>
    <row r="87">
      <c r="A87" s="1"/>
      <c r="B87" s="69" t="s">
        <v>5</v>
      </c>
      <c r="D87" s="9" t="s">
        <v>6333</v>
      </c>
      <c r="E87" s="9" t="s">
        <v>5566</v>
      </c>
      <c r="F87" s="47"/>
      <c r="G87" s="47"/>
      <c r="H87" s="47"/>
      <c r="I87" s="10"/>
      <c r="J87" s="10"/>
      <c r="K87" s="10"/>
      <c r="L87" s="63"/>
      <c r="M87" s="9"/>
      <c r="N87" s="9"/>
    </row>
    <row r="88">
      <c r="A88" s="1"/>
      <c r="B88" s="59" t="s">
        <v>6288</v>
      </c>
      <c r="D88" s="47">
        <f>D89</f>
        <v>450</v>
      </c>
      <c r="E88" s="47">
        <f t="shared" ref="E88:E89" si="35">SUM(D88)</f>
        <v>450</v>
      </c>
      <c r="F88" s="47"/>
      <c r="G88" s="47"/>
      <c r="H88" s="47"/>
      <c r="I88" s="10"/>
      <c r="J88" s="10"/>
      <c r="K88" s="10"/>
      <c r="L88" s="63"/>
      <c r="M88" s="9"/>
      <c r="N88" s="9"/>
    </row>
    <row r="89">
      <c r="A89" s="1"/>
      <c r="B89" s="59" t="s">
        <v>43</v>
      </c>
      <c r="D89" s="47">
        <v>450.0</v>
      </c>
      <c r="E89" s="47">
        <f t="shared" si="35"/>
        <v>450</v>
      </c>
      <c r="F89" s="47"/>
      <c r="G89" s="47"/>
      <c r="H89" s="47"/>
      <c r="I89" s="10"/>
      <c r="J89" s="10"/>
      <c r="K89" s="10"/>
      <c r="L89" s="63"/>
      <c r="M89" s="9"/>
      <c r="N89" s="9"/>
    </row>
    <row r="90">
      <c r="A90" s="1"/>
      <c r="B90" s="61" t="s">
        <v>6294</v>
      </c>
      <c r="D90" s="62" t="str">
        <f t="shared" ref="D90:E90" si="36">FIXED(D88/D89, 3)</f>
        <v>1.000</v>
      </c>
      <c r="E90" s="62" t="str">
        <f t="shared" si="36"/>
        <v>1.000</v>
      </c>
      <c r="F90" s="47"/>
      <c r="G90" s="47"/>
      <c r="H90" s="47"/>
      <c r="I90" s="10"/>
      <c r="J90" s="10"/>
      <c r="K90" s="10"/>
      <c r="L90" s="63"/>
      <c r="M90" s="9"/>
      <c r="N90" s="9"/>
    </row>
    <row r="91">
      <c r="A91" s="1"/>
      <c r="B91" s="61" t="s">
        <v>6299</v>
      </c>
      <c r="D91" s="64" t="str">
        <f>IFERROR(__xludf.DUMMYFUNCTION("IF(D88/D89 = 1, SPARKLINE(D88,{""charttype"",""bar"";""color1"", ""#e3e3e5"";""max"",D89}), SPARKLINE(D88,{""charttype"",""bar"";""color1"", ""#882285"";""max"",D89}))"),"")</f>
        <v/>
      </c>
      <c r="E91" s="64" t="str">
        <f>IFERROR(__xludf.DUMMYFUNCTION("IF(E88/E89 = 1, SPARKLINE(E88,{""charttype"",""bar"";""color1"", ""#e3e3e5"";""max"",E89}), SPARKLINE(E88,{""charttype"",""bar"";""color1"", ""#882285"";""max"",E89}))"),"")</f>
        <v/>
      </c>
      <c r="F91" s="47"/>
      <c r="G91" s="47"/>
      <c r="H91" s="47"/>
      <c r="I91" s="10"/>
      <c r="J91" s="10"/>
      <c r="K91" s="10"/>
      <c r="L91" s="63"/>
      <c r="M91" s="9"/>
      <c r="N91" s="9"/>
    </row>
    <row r="92">
      <c r="A92" s="1"/>
      <c r="B92" s="59"/>
      <c r="C92" s="59"/>
      <c r="D92" s="47"/>
      <c r="E92" s="47"/>
      <c r="F92" s="47"/>
      <c r="G92" s="47"/>
      <c r="H92" s="47"/>
      <c r="I92" s="10"/>
      <c r="J92" s="10"/>
      <c r="K92" s="10"/>
      <c r="L92" s="63"/>
      <c r="M92" s="9"/>
      <c r="N92" s="9"/>
    </row>
  </sheetData>
  <mergeCells count="85">
    <mergeCell ref="B49:C49"/>
    <mergeCell ref="B50:C50"/>
    <mergeCell ref="B46:M47"/>
    <mergeCell ref="B68:M69"/>
    <mergeCell ref="B80:M81"/>
    <mergeCell ref="B74:C74"/>
    <mergeCell ref="B75:C75"/>
    <mergeCell ref="B71:C71"/>
    <mergeCell ref="B70:C70"/>
    <mergeCell ref="B66:C66"/>
    <mergeCell ref="B67:C67"/>
    <mergeCell ref="B54:C54"/>
    <mergeCell ref="B51:C51"/>
    <mergeCell ref="B53:C53"/>
    <mergeCell ref="B52:C52"/>
    <mergeCell ref="B55:C55"/>
    <mergeCell ref="B56:C56"/>
    <mergeCell ref="B48:C48"/>
    <mergeCell ref="B86:C86"/>
    <mergeCell ref="B87:C87"/>
    <mergeCell ref="B89:C89"/>
    <mergeCell ref="B90:C90"/>
    <mergeCell ref="B91:C91"/>
    <mergeCell ref="B83:C83"/>
    <mergeCell ref="B84:C84"/>
    <mergeCell ref="B85:C85"/>
    <mergeCell ref="B88:C88"/>
    <mergeCell ref="B64:C64"/>
    <mergeCell ref="B65:C65"/>
    <mergeCell ref="B57:C57"/>
    <mergeCell ref="B63:C63"/>
    <mergeCell ref="B62:C62"/>
    <mergeCell ref="B58:C58"/>
    <mergeCell ref="B59:C59"/>
    <mergeCell ref="B60:C60"/>
    <mergeCell ref="B61:C61"/>
    <mergeCell ref="B72:C72"/>
    <mergeCell ref="B73:C73"/>
    <mergeCell ref="B27:C27"/>
    <mergeCell ref="B26:C26"/>
    <mergeCell ref="B25:C25"/>
    <mergeCell ref="B21:C21"/>
    <mergeCell ref="B22:C22"/>
    <mergeCell ref="B23:C23"/>
    <mergeCell ref="B24:C24"/>
    <mergeCell ref="B82:C82"/>
    <mergeCell ref="B76:C76"/>
    <mergeCell ref="B79:C79"/>
    <mergeCell ref="B78:C78"/>
    <mergeCell ref="B77:C77"/>
    <mergeCell ref="B10:M11"/>
    <mergeCell ref="B12:M13"/>
    <mergeCell ref="B18:C18"/>
    <mergeCell ref="B15:C15"/>
    <mergeCell ref="B19:C19"/>
    <mergeCell ref="B20:C20"/>
    <mergeCell ref="B30:C30"/>
    <mergeCell ref="B32:C32"/>
    <mergeCell ref="B31:C31"/>
    <mergeCell ref="B6:G7"/>
    <mergeCell ref="H8:M9"/>
    <mergeCell ref="H6:M7"/>
    <mergeCell ref="B34:M35"/>
    <mergeCell ref="B40:C40"/>
    <mergeCell ref="B41:C41"/>
    <mergeCell ref="H4:I4"/>
    <mergeCell ref="F4:G4"/>
    <mergeCell ref="B4:C4"/>
    <mergeCell ref="D4:E4"/>
    <mergeCell ref="B1:M3"/>
    <mergeCell ref="B37:C37"/>
    <mergeCell ref="B38:C38"/>
    <mergeCell ref="B36:C36"/>
    <mergeCell ref="B33:C33"/>
    <mergeCell ref="B43:C43"/>
    <mergeCell ref="B45:C45"/>
    <mergeCell ref="B44:C44"/>
    <mergeCell ref="B39:C39"/>
    <mergeCell ref="B28:C28"/>
    <mergeCell ref="B29:C29"/>
    <mergeCell ref="B42:C42"/>
    <mergeCell ref="B8:G9"/>
    <mergeCell ref="B14:C14"/>
    <mergeCell ref="B17:C17"/>
    <mergeCell ref="B16:C16"/>
  </mergeCells>
  <conditionalFormatting sqref="B1">
    <cfRule type="cellIs" dxfId="1" priority="1" operator="equal">
      <formula>"In Progress"</formula>
    </cfRule>
  </conditionalFormatting>
  <hyperlinks>
    <hyperlink display="N++&gt;Score" location="Main Menu!A1" ref="B1"/>
    <hyperlink display="Total" location="Score&gt;Total!A1" ref="B4"/>
    <hyperlink display="Pre-UE" location="Score&gt;Pre-UE!A1" ref="D4"/>
    <hyperlink display="Secrets" location="Score&gt;Secrets!A1" ref="H4"/>
    <hyperlink display="!" location="Solo&gt;Levels&gt;!!A1" ref="B41"/>
    <hyperlink display="Intro" location="Hardcore&gt;Intro!A1" ref="B48"/>
    <hyperlink display="N++" location="Hardcore&gt;N++!A1" ref="B53"/>
    <hyperlink display="Ultimate" location="Hardcore&gt;Ultimate!A1" ref="B58"/>
    <hyperlink display="Legacy" location="Hardcore&gt;Legacy!A1" ref="B63"/>
  </hyperlin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6267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43</v>
      </c>
      <c r="D4" s="7" t="s">
        <v>44</v>
      </c>
      <c r="F4" s="7" t="s">
        <v>45</v>
      </c>
      <c r="H4" s="31" t="s">
        <v>47</v>
      </c>
      <c r="J4" s="9"/>
      <c r="K4" s="9"/>
      <c r="L4" s="9"/>
      <c r="M4" s="9"/>
      <c r="N4" s="12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"/>
      <c r="B6" s="55" t="s">
        <v>6459</v>
      </c>
      <c r="N6" s="4"/>
    </row>
    <row r="7">
      <c r="A7" s="1"/>
      <c r="N7" s="4"/>
    </row>
    <row r="8">
      <c r="A8" s="1"/>
      <c r="B8" s="58" t="s">
        <v>44</v>
      </c>
      <c r="D8" s="73" t="s">
        <v>7</v>
      </c>
      <c r="E8" s="73" t="s">
        <v>6</v>
      </c>
      <c r="F8" s="74" t="s">
        <v>5566</v>
      </c>
      <c r="G8" s="55"/>
      <c r="H8" s="58" t="s">
        <v>45</v>
      </c>
      <c r="J8" s="73" t="s">
        <v>7</v>
      </c>
      <c r="K8" s="73" t="s">
        <v>6</v>
      </c>
      <c r="L8" s="74" t="s">
        <v>5566</v>
      </c>
      <c r="M8" s="55"/>
      <c r="N8" s="4"/>
    </row>
    <row r="9">
      <c r="A9" s="1"/>
      <c r="B9" s="59" t="s">
        <v>6288</v>
      </c>
      <c r="D9" s="75">
        <f t="shared" ref="D9:E9" si="1">D16+D21</f>
        <v>437</v>
      </c>
      <c r="E9" s="75">
        <f t="shared" si="1"/>
        <v>409</v>
      </c>
      <c r="F9" s="75">
        <f t="shared" ref="F9:F10" si="4">SUM(D9:E9)</f>
        <v>846</v>
      </c>
      <c r="G9" s="55"/>
      <c r="H9" s="59" t="s">
        <v>6288</v>
      </c>
      <c r="J9" s="75">
        <f t="shared" ref="J9:K9" si="2">J16+J21</f>
        <v>377</v>
      </c>
      <c r="K9" s="75">
        <f t="shared" si="2"/>
        <v>163</v>
      </c>
      <c r="L9" s="75">
        <f t="shared" ref="L9:L10" si="6">SUM(J9:K9)</f>
        <v>540</v>
      </c>
      <c r="M9" s="55"/>
      <c r="N9" s="4"/>
    </row>
    <row r="10">
      <c r="A10" s="1"/>
      <c r="B10" s="59" t="s">
        <v>43</v>
      </c>
      <c r="D10" s="75">
        <f t="shared" ref="D10:E10" si="3">D17+D22</f>
        <v>720</v>
      </c>
      <c r="E10" s="75">
        <f t="shared" si="3"/>
        <v>920</v>
      </c>
      <c r="F10" s="75">
        <f t="shared" si="4"/>
        <v>1640</v>
      </c>
      <c r="G10" s="55"/>
      <c r="H10" s="59" t="s">
        <v>43</v>
      </c>
      <c r="J10" s="75">
        <f t="shared" ref="J10:K10" si="5">J17+J22</f>
        <v>720</v>
      </c>
      <c r="K10" s="75">
        <f t="shared" si="5"/>
        <v>350</v>
      </c>
      <c r="L10" s="75">
        <f t="shared" si="6"/>
        <v>1070</v>
      </c>
      <c r="M10" s="55"/>
      <c r="N10" s="4"/>
    </row>
    <row r="11">
      <c r="A11" s="1"/>
      <c r="B11" s="61" t="s">
        <v>6294</v>
      </c>
      <c r="D11" s="71" t="str">
        <f t="shared" ref="D11:F11" si="7">FIXED(D9/D10, 3)</f>
        <v>0.607</v>
      </c>
      <c r="E11" s="71" t="str">
        <f t="shared" si="7"/>
        <v>0.445</v>
      </c>
      <c r="F11" s="71" t="str">
        <f t="shared" si="7"/>
        <v>0.516</v>
      </c>
      <c r="G11" s="55"/>
      <c r="H11" s="61" t="s">
        <v>6294</v>
      </c>
      <c r="J11" s="71" t="str">
        <f t="shared" ref="J11:L11" si="8">FIXED(J9/J10, 3)</f>
        <v>0.524</v>
      </c>
      <c r="K11" s="71" t="str">
        <f t="shared" si="8"/>
        <v>0.466</v>
      </c>
      <c r="L11" s="71" t="str">
        <f t="shared" si="8"/>
        <v>0.505</v>
      </c>
      <c r="M11" s="55"/>
      <c r="N11" s="4"/>
    </row>
    <row r="12">
      <c r="A12" s="1"/>
      <c r="B12" s="61" t="s">
        <v>6299</v>
      </c>
      <c r="D12" s="76" t="str">
        <f>IFERROR(__xludf.DUMMYFUNCTION("IF(D9/D10 = 1, SPARKLINE(D9,{""charttype"",""bar"";""color1"", ""#e3e3e5"";""max"",D10}), SPARKLINE(D9,{""charttype"",""bar"";""color1"", ""#882285"";""max"",D10}))"),"")</f>
        <v/>
      </c>
      <c r="E12" s="76" t="str">
        <f>IFERROR(__xludf.DUMMYFUNCTION("IF(E9/E10 = 1, SPARKLINE(E9,{""charttype"",""bar"";""color1"", ""#e3e3e5"";""max"",E10}), SPARKLINE(E9,{""charttype"",""bar"";""color1"", ""#882285"";""max"",E10}))"),"")</f>
        <v/>
      </c>
      <c r="F12" s="72" t="str">
        <f>IFERROR(__xludf.DUMMYFUNCTION("IF(F9/F10 = 1, SPARKLINE(F9,{""charttype"",""bar"";""color1"", ""#e3e3e5"";""max"",F10}), SPARKLINE(F9,{""charttype"",""bar"";""color1"", ""#882285"";""max"",F10}))"),"")</f>
        <v/>
      </c>
      <c r="G12" s="55"/>
      <c r="H12" s="61" t="s">
        <v>6299</v>
      </c>
      <c r="J12" s="76" t="str">
        <f>IFERROR(__xludf.DUMMYFUNCTION("IF(J9/J10 = 1, SPARKLINE(J9,{""charttype"",""bar"";""color1"", ""#e3e3e5"";""max"",J10}), SPARKLINE(J9,{""charttype"",""bar"";""color1"", ""#882285"";""max"",J10}))"),"")</f>
        <v/>
      </c>
      <c r="K12" s="76" t="str">
        <f>IFERROR(__xludf.DUMMYFUNCTION("IF(K9/K10 = 1, SPARKLINE(K9,{""charttype"",""bar"";""color1"", ""#e3e3e5"";""max"",K10}), SPARKLINE(K9,{""charttype"",""bar"";""color1"", ""#882285"";""max"",K10}))"),"")</f>
        <v/>
      </c>
      <c r="L12" s="72" t="str">
        <f>IFERROR(__xludf.DUMMYFUNCTION("IF(L9/L10 = 1, SPARKLINE(L9,{""charttype"",""bar"";""color1"", ""#e3e3e5"";""max"",L10}), SPARKLINE(L9,{""charttype"",""bar"";""color1"", ""#882285"";""max"",L10}))"),"")</f>
        <v/>
      </c>
      <c r="M12" s="55"/>
      <c r="N12" s="4"/>
    </row>
    <row r="13">
      <c r="A13" s="1"/>
      <c r="B13" s="55" t="s">
        <v>6487</v>
      </c>
      <c r="N13" s="4"/>
    </row>
    <row r="14">
      <c r="A14" s="1"/>
      <c r="N14" s="4"/>
    </row>
    <row r="15">
      <c r="A15" s="1"/>
      <c r="B15" s="58" t="s">
        <v>3</v>
      </c>
      <c r="D15" s="73" t="s">
        <v>7</v>
      </c>
      <c r="E15" s="73" t="s">
        <v>6</v>
      </c>
      <c r="F15" s="74" t="s">
        <v>5566</v>
      </c>
      <c r="G15" s="55"/>
      <c r="H15" s="58" t="s">
        <v>4</v>
      </c>
      <c r="J15" s="73" t="s">
        <v>7</v>
      </c>
      <c r="K15" s="73" t="s">
        <v>6</v>
      </c>
      <c r="L15" s="74" t="s">
        <v>5566</v>
      </c>
      <c r="M15" s="55"/>
      <c r="N15" s="4"/>
    </row>
    <row r="16">
      <c r="A16" s="1"/>
      <c r="B16" s="59" t="s">
        <v>6288</v>
      </c>
      <c r="D16" s="75">
        <f t="shared" ref="D16:D17" si="9">I28</f>
        <v>324</v>
      </c>
      <c r="E16" s="75">
        <f t="shared" ref="E16:E17" si="10">I33</f>
        <v>198</v>
      </c>
      <c r="F16" s="75">
        <f t="shared" ref="F16:F17" si="11">SUM(D16:E16)</f>
        <v>522</v>
      </c>
      <c r="G16" s="55"/>
      <c r="H16" s="59" t="s">
        <v>6288</v>
      </c>
      <c r="J16" s="75">
        <f t="shared" ref="J16:J17" si="12">I52</f>
        <v>271</v>
      </c>
      <c r="K16" s="75">
        <f t="shared" ref="K16:K17" si="13">I57</f>
        <v>105</v>
      </c>
      <c r="L16" s="75">
        <f t="shared" ref="L16:L17" si="14">SUM(J16:K16)</f>
        <v>376</v>
      </c>
      <c r="M16" s="55"/>
      <c r="N16" s="4"/>
    </row>
    <row r="17">
      <c r="A17" s="1"/>
      <c r="B17" s="59" t="s">
        <v>43</v>
      </c>
      <c r="D17" s="75">
        <f t="shared" si="9"/>
        <v>600</v>
      </c>
      <c r="E17" s="75">
        <f t="shared" si="10"/>
        <v>576</v>
      </c>
      <c r="F17" s="75">
        <f t="shared" si="11"/>
        <v>1176</v>
      </c>
      <c r="G17" s="4"/>
      <c r="H17" s="59" t="s">
        <v>43</v>
      </c>
      <c r="J17" s="75">
        <f t="shared" si="12"/>
        <v>600</v>
      </c>
      <c r="K17" s="75">
        <f t="shared" si="13"/>
        <v>254</v>
      </c>
      <c r="L17" s="75">
        <f t="shared" si="14"/>
        <v>854</v>
      </c>
      <c r="M17" s="4"/>
      <c r="N17" s="4"/>
    </row>
    <row r="18">
      <c r="A18" s="1"/>
      <c r="B18" s="61" t="s">
        <v>6294</v>
      </c>
      <c r="D18" s="71" t="str">
        <f t="shared" ref="D18:F18" si="15">FIXED(D16/D17, 3)</f>
        <v>0.540</v>
      </c>
      <c r="E18" s="71" t="str">
        <f t="shared" si="15"/>
        <v>0.344</v>
      </c>
      <c r="F18" s="71" t="str">
        <f t="shared" si="15"/>
        <v>0.444</v>
      </c>
      <c r="G18" s="4"/>
      <c r="H18" s="61" t="s">
        <v>6294</v>
      </c>
      <c r="J18" s="71" t="str">
        <f t="shared" ref="J18:L18" si="16">FIXED(J16/J17, 3)</f>
        <v>0.452</v>
      </c>
      <c r="K18" s="71" t="str">
        <f t="shared" si="16"/>
        <v>0.413</v>
      </c>
      <c r="L18" s="71" t="str">
        <f t="shared" si="16"/>
        <v>0.440</v>
      </c>
      <c r="M18" s="4"/>
      <c r="N18" s="4"/>
    </row>
    <row r="19">
      <c r="A19" s="1"/>
      <c r="B19" s="61" t="s">
        <v>6299</v>
      </c>
      <c r="D19" s="76" t="str">
        <f>IFERROR(__xludf.DUMMYFUNCTION("IF(D16/D17 = 1, SPARKLINE(D16,{""charttype"",""bar"";""color1"", ""#e3e3e5"";""max"",D17}), SPARKLINE(D16,{""charttype"",""bar"";""color1"", ""#882285"";""max"",D17}))"),"")</f>
        <v/>
      </c>
      <c r="E19" s="76" t="str">
        <f>IFERROR(__xludf.DUMMYFUNCTION("IF(E16/E17 = 1, SPARKLINE(E16,{""charttype"",""bar"";""color1"", ""#e3e3e5"";""max"",E17}), SPARKLINE(E16,{""charttype"",""bar"";""color1"", ""#882285"";""max"",E17}))"),"")</f>
        <v/>
      </c>
      <c r="F19" s="72" t="str">
        <f>IFERROR(__xludf.DUMMYFUNCTION("IF(F16/F17 = 1, SPARKLINE(F16,{""charttype"",""bar"";""color1"", ""#e3e3e5"";""max"",F17}), SPARKLINE(F16,{""charttype"",""bar"";""color1"", ""#882285"";""max"",F17}))"),"")</f>
        <v/>
      </c>
      <c r="G19" s="4"/>
      <c r="H19" s="61" t="s">
        <v>6299</v>
      </c>
      <c r="J19" s="76" t="str">
        <f>IFERROR(__xludf.DUMMYFUNCTION("IF(J16/J17 = 1, SPARKLINE(J16,{""charttype"",""bar"";""color1"", ""#e3e3e5"";""max"",J17}), SPARKLINE(J16,{""charttype"",""bar"";""color1"", ""#882285"";""max"",J17}))"),"")</f>
        <v/>
      </c>
      <c r="K19" s="76" t="str">
        <f>IFERROR(__xludf.DUMMYFUNCTION("IF(K16/K17 = 1, SPARKLINE(K16,{""charttype"",""bar"";""color1"", ""#e3e3e5"";""max"",K17}), SPARKLINE(K16,{""charttype"",""bar"";""color1"", ""#882285"";""max"",K17}))"),"")</f>
        <v/>
      </c>
      <c r="L19" s="72" t="str">
        <f>IFERROR(__xludf.DUMMYFUNCTION("IF(L16/L17 = 1, SPARKLINE(L16,{""charttype"",""bar"";""color1"", ""#e3e3e5"";""max"",L17}), SPARKLINE(L16,{""charttype"",""bar"";""color1"", ""#882285"";""max"",L17}))"),"")</f>
        <v/>
      </c>
      <c r="M19" s="4"/>
      <c r="N19" s="4"/>
    </row>
    <row r="20">
      <c r="A20" s="1"/>
      <c r="B20" s="58" t="s">
        <v>6</v>
      </c>
      <c r="D20" s="73" t="s">
        <v>7</v>
      </c>
      <c r="E20" s="73" t="s">
        <v>6</v>
      </c>
      <c r="F20" s="74" t="s">
        <v>5566</v>
      </c>
      <c r="G20" s="4"/>
      <c r="H20" s="58" t="s">
        <v>7</v>
      </c>
      <c r="J20" s="73" t="s">
        <v>7</v>
      </c>
      <c r="K20" s="73" t="s">
        <v>6</v>
      </c>
      <c r="L20" s="74" t="s">
        <v>5566</v>
      </c>
      <c r="M20" s="4"/>
      <c r="N20" s="4"/>
    </row>
    <row r="21">
      <c r="A21" s="1"/>
      <c r="B21" s="59" t="s">
        <v>6288</v>
      </c>
      <c r="D21" s="75">
        <f t="shared" ref="D21:D22" si="17">I40</f>
        <v>113</v>
      </c>
      <c r="E21" s="75">
        <f t="shared" ref="E21:E22" si="18">I45</f>
        <v>211</v>
      </c>
      <c r="F21" s="75">
        <f t="shared" ref="F21:F22" si="19">SUM(D21:E21)</f>
        <v>324</v>
      </c>
      <c r="G21" s="4"/>
      <c r="H21" s="59" t="s">
        <v>6288</v>
      </c>
      <c r="J21" s="75">
        <f t="shared" ref="J21:J22" si="20">I64</f>
        <v>106</v>
      </c>
      <c r="K21" s="75">
        <f t="shared" ref="K21:K22" si="21">I69</f>
        <v>58</v>
      </c>
      <c r="L21" s="75">
        <f t="shared" ref="L21:L22" si="22">SUM(J21:K21)</f>
        <v>164</v>
      </c>
      <c r="M21" s="4"/>
      <c r="N21" s="4"/>
    </row>
    <row r="22">
      <c r="A22" s="1"/>
      <c r="B22" s="59" t="s">
        <v>43</v>
      </c>
      <c r="D22" s="75">
        <f t="shared" si="17"/>
        <v>120</v>
      </c>
      <c r="E22" s="75">
        <f t="shared" si="18"/>
        <v>344</v>
      </c>
      <c r="F22" s="75">
        <f t="shared" si="19"/>
        <v>464</v>
      </c>
      <c r="G22" s="4"/>
      <c r="H22" s="59" t="s">
        <v>43</v>
      </c>
      <c r="J22" s="75">
        <f t="shared" si="20"/>
        <v>120</v>
      </c>
      <c r="K22" s="75">
        <f t="shared" si="21"/>
        <v>96</v>
      </c>
      <c r="L22" s="75">
        <f t="shared" si="22"/>
        <v>216</v>
      </c>
      <c r="M22" s="4"/>
      <c r="N22" s="4"/>
    </row>
    <row r="23">
      <c r="A23" s="1"/>
      <c r="B23" s="61" t="s">
        <v>6294</v>
      </c>
      <c r="D23" s="71" t="str">
        <f t="shared" ref="D23:F23" si="23">FIXED(D21/D22, 3)</f>
        <v>0.942</v>
      </c>
      <c r="E23" s="71" t="str">
        <f t="shared" si="23"/>
        <v>0.613</v>
      </c>
      <c r="F23" s="71" t="str">
        <f t="shared" si="23"/>
        <v>0.698</v>
      </c>
      <c r="G23" s="4"/>
      <c r="H23" s="61" t="s">
        <v>6294</v>
      </c>
      <c r="J23" s="71" t="str">
        <f t="shared" ref="J23:L23" si="24">FIXED(J21/J22, 3)</f>
        <v>0.883</v>
      </c>
      <c r="K23" s="71" t="str">
        <f t="shared" si="24"/>
        <v>0.604</v>
      </c>
      <c r="L23" s="71" t="str">
        <f t="shared" si="24"/>
        <v>0.759</v>
      </c>
      <c r="M23" s="4"/>
      <c r="N23" s="4"/>
    </row>
    <row r="24">
      <c r="A24" s="1"/>
      <c r="B24" s="61" t="s">
        <v>6299</v>
      </c>
      <c r="D24" s="76" t="str">
        <f>IFERROR(__xludf.DUMMYFUNCTION("IF(D21/D22 = 1, SPARKLINE(D21,{""charttype"",""bar"";""color1"", ""#e3e3e5"";""max"",D22}), SPARKLINE(D21,{""charttype"",""bar"";""color1"", ""#882285"";""max"",D22}))"),"")</f>
        <v/>
      </c>
      <c r="E24" s="76" t="str">
        <f>IFERROR(__xludf.DUMMYFUNCTION("IF(E21/E22 = 1, SPARKLINE(E21,{""charttype"",""bar"";""color1"", ""#e3e3e5"";""max"",E22}), SPARKLINE(E21,{""charttype"",""bar"";""color1"", ""#882285"";""max"",E22}))"),"")</f>
        <v/>
      </c>
      <c r="F24" s="72" t="str">
        <f>IFERROR(__xludf.DUMMYFUNCTION("IF(F21/F22 = 1, SPARKLINE(F21,{""charttype"",""bar"";""color1"", ""#e3e3e5"";""max"",F22}), SPARKLINE(F21,{""charttype"",""bar"";""color1"", ""#882285"";""max"",F22}))"),"")</f>
        <v/>
      </c>
      <c r="G24" s="4"/>
      <c r="H24" s="61" t="s">
        <v>6299</v>
      </c>
      <c r="J24" s="76" t="str">
        <f>IFERROR(__xludf.DUMMYFUNCTION("IF(J21/J22 = 1, SPARKLINE(J21,{""charttype"",""bar"";""color1"", ""#e3e3e5"";""max"",J22}), SPARKLINE(J21,{""charttype"",""bar"";""color1"", ""#882285"";""max"",J22}))"),"")</f>
        <v/>
      </c>
      <c r="K24" s="76" t="str">
        <f>IFERROR(__xludf.DUMMYFUNCTION("IF(K21/K22 = 1, SPARKLINE(K21,{""charttype"",""bar"";""color1"", ""#e3e3e5"";""max"",K22}), SPARKLINE(K21,{""charttype"",""bar"";""color1"", ""#882285"";""max"",K22}))"),"")</f>
        <v/>
      </c>
      <c r="L24" s="72" t="str">
        <f>IFERROR(__xludf.DUMMYFUNCTION("IF(L21/L22 = 1, SPARKLINE(L21,{""charttype"",""bar"";""color1"", ""#e3e3e5"";""max"",L22}), SPARKLINE(L21,{""charttype"",""bar"";""color1"", ""#882285"";""max"",L22}))"),"")</f>
        <v/>
      </c>
      <c r="M24" s="4"/>
      <c r="N24" s="4"/>
    </row>
    <row r="25">
      <c r="A25" s="1"/>
      <c r="B25" s="55" t="s">
        <v>3</v>
      </c>
      <c r="N25" s="4"/>
    </row>
    <row r="26">
      <c r="A26" s="1"/>
      <c r="N26" s="4"/>
    </row>
    <row r="27">
      <c r="A27" s="1"/>
      <c r="B27" s="58" t="s">
        <v>7</v>
      </c>
      <c r="D27" s="74" t="s">
        <v>90</v>
      </c>
      <c r="E27" s="74" t="s">
        <v>110</v>
      </c>
      <c r="F27" s="74" t="s">
        <v>234</v>
      </c>
      <c r="G27" s="74" t="s">
        <v>380</v>
      </c>
      <c r="H27" s="74" t="s">
        <v>915</v>
      </c>
      <c r="I27" s="74" t="s">
        <v>5566</v>
      </c>
      <c r="J27" s="55"/>
      <c r="K27" s="55"/>
      <c r="L27" s="55"/>
      <c r="M27" s="55"/>
      <c r="N27" s="4"/>
    </row>
    <row r="28">
      <c r="A28" s="1"/>
      <c r="B28" s="59" t="s">
        <v>6288</v>
      </c>
      <c r="D28" s="75">
        <f>DCOUNTA('Solo&gt;Levels&gt;N++'!E5:F73, 'Solo&gt;Levels&gt;N++'!E5, 'Data&gt;Debug&gt;Formulas'!E30:F31)</f>
        <v>77</v>
      </c>
      <c r="E28" s="75">
        <f>DCOUNTA('Solo&gt;Levels&gt;N++'!E5:F73, 'Solo&gt;Levels&gt;N++'!E5, 'Data&gt;Debug&gt;Formulas'!E32:F33)</f>
        <v>186</v>
      </c>
      <c r="F28" s="75">
        <f>DCOUNTA('Solo&gt;Levels&gt;N++'!E5:F73, 'Solo&gt;Levels&gt;N++'!E5, 'Data&gt;Debug&gt;Formulas'!E34:F35)</f>
        <v>40</v>
      </c>
      <c r="G28" s="75">
        <f>DCOUNTA('Solo&gt;Levels&gt;N++'!E5:F73, 'Solo&gt;Levels&gt;N++'!E5, 'Data&gt;Debug&gt;Formulas'!E36:F37)</f>
        <v>16</v>
      </c>
      <c r="H28" s="75">
        <f>DCOUNTA('Solo&gt;Levels&gt;N++'!E5:F73, 'Solo&gt;Levels&gt;N++'!E5, 'Data&gt;Debug&gt;Formulas'!E38:F39)</f>
        <v>5</v>
      </c>
      <c r="I28" s="75">
        <f t="shared" ref="I28:I29" si="25">SUM(D28:H28)</f>
        <v>324</v>
      </c>
      <c r="J28" s="55"/>
      <c r="K28" s="55"/>
      <c r="L28" s="55"/>
      <c r="M28" s="55"/>
      <c r="N28" s="4"/>
    </row>
    <row r="29">
      <c r="A29" s="1"/>
      <c r="B29" s="59" t="s">
        <v>43</v>
      </c>
      <c r="D29" s="75">
        <f>DCOUNTA('Solo&gt;Levels&gt;N++'!E5:F73, 'Solo&gt;Levels&gt;N++'!E5, 'Data&gt;Debug&gt;Formulas'!E30:E31)</f>
        <v>161</v>
      </c>
      <c r="E29" s="75">
        <f>DCOUNTA('Solo&gt;Levels&gt;N++'!E5:F73, 'Solo&gt;Levels&gt;N++'!E5, 'Data&gt;Debug&gt;Formulas'!E32:E33)</f>
        <v>344</v>
      </c>
      <c r="F29" s="75">
        <f>DCOUNTA('Solo&gt;Levels&gt;N++'!E5:F73, 'Solo&gt;Levels&gt;N++'!E5, 'Data&gt;Debug&gt;Formulas'!E34:E35)</f>
        <v>69</v>
      </c>
      <c r="G29" s="75">
        <f>DCOUNTA('Solo&gt;Levels&gt;N++'!E5:F73, 'Solo&gt;Levels&gt;N++'!E5, 'Data&gt;Debug&gt;Formulas'!E36:E37)</f>
        <v>19</v>
      </c>
      <c r="H29" s="75">
        <f>DCOUNTA('Solo&gt;Levels&gt;N++'!E5:F73, 'Solo&gt;Levels&gt;N++'!E5, 'Data&gt;Debug&gt;Formulas'!E38:E39)</f>
        <v>7</v>
      </c>
      <c r="I29" s="75">
        <f t="shared" si="25"/>
        <v>600</v>
      </c>
      <c r="J29" s="55"/>
      <c r="K29" s="55"/>
      <c r="L29" s="55"/>
      <c r="M29" s="55"/>
      <c r="N29" s="4"/>
    </row>
    <row r="30">
      <c r="A30" s="1"/>
      <c r="B30" s="61" t="s">
        <v>6294</v>
      </c>
      <c r="D30" s="71" t="str">
        <f t="shared" ref="D30:I30" si="26">FIXED(D28/D29, 3)</f>
        <v>0.478</v>
      </c>
      <c r="E30" s="71" t="str">
        <f t="shared" si="26"/>
        <v>0.541</v>
      </c>
      <c r="F30" s="71" t="str">
        <f t="shared" si="26"/>
        <v>0.580</v>
      </c>
      <c r="G30" s="71" t="str">
        <f t="shared" si="26"/>
        <v>0.842</v>
      </c>
      <c r="H30" s="71" t="str">
        <f t="shared" si="26"/>
        <v>0.714</v>
      </c>
      <c r="I30" s="71" t="str">
        <f t="shared" si="26"/>
        <v>0.540</v>
      </c>
      <c r="J30" s="55"/>
      <c r="K30" s="55"/>
      <c r="L30" s="55"/>
      <c r="M30" s="55"/>
      <c r="N30" s="4"/>
    </row>
    <row r="31">
      <c r="A31" s="1"/>
      <c r="B31" s="61" t="s">
        <v>6299</v>
      </c>
      <c r="D31" s="76" t="str">
        <f>IFERROR(__xludf.DUMMYFUNCTION("IF(D28/D29 = 1, SPARKLINE(D28,{""charttype"",""bar"";""color1"", ""#e3e3e5"";""max"",D29}), SPARKLINE(D28,{""charttype"",""bar"";""color1"", ""#882285"";""max"",D29}))"),"")</f>
        <v/>
      </c>
      <c r="E31" s="72" t="str">
        <f>IFERROR(__xludf.DUMMYFUNCTION("IF(E28/E29 = 1, SPARKLINE(E28,{""charttype"",""bar"";""color1"", ""#e3e3e5"";""max"",E29}), SPARKLINE(E28,{""charttype"",""bar"";""color1"", ""#882285"";""max"",E29}))"),"")</f>
        <v/>
      </c>
      <c r="F31" s="72" t="str">
        <f>IFERROR(__xludf.DUMMYFUNCTION("IF(F28/F29 = 1, SPARKLINE(F28,{""charttype"",""bar"";""color1"", ""#e3e3e5"";""max"",F29}), SPARKLINE(F28,{""charttype"",""bar"";""color1"", ""#882285"";""max"",F29}))"),"")</f>
        <v/>
      </c>
      <c r="G31" s="72" t="str">
        <f>IFERROR(__xludf.DUMMYFUNCTION("IF(G28/G29 = 1, SPARKLINE(G28,{""charttype"",""bar"";""color1"", ""#e3e3e5"";""max"",G29}), SPARKLINE(G28,{""charttype"",""bar"";""color1"", ""#882285"";""max"",G29}))"),"")</f>
        <v/>
      </c>
      <c r="H31" s="72" t="str">
        <f>IFERROR(__xludf.DUMMYFUNCTION("IF(H28/H29 = 1, SPARKLINE(H28,{""charttype"",""bar"";""color1"", ""#e3e3e5"";""max"",H29}), SPARKLINE(H28,{""charttype"",""bar"";""color1"", ""#882285"";""max"",H29}))"),"")</f>
        <v/>
      </c>
      <c r="I31" s="72" t="str">
        <f>IFERROR(__xludf.DUMMYFUNCTION("IF(I28/I29 = 1, SPARKLINE(I28,{""charttype"",""bar"";""color1"", ""#e3e3e5"";""max"",I29}), SPARKLINE(I28,{""charttype"",""bar"";""color1"", ""#882285"";""max"",I29}))"),"")</f>
        <v/>
      </c>
      <c r="J31" s="55"/>
      <c r="K31" s="55"/>
      <c r="L31" s="55"/>
      <c r="M31" s="55"/>
      <c r="N31" s="4"/>
    </row>
    <row r="32">
      <c r="A32" s="1"/>
      <c r="B32" s="58" t="s">
        <v>6</v>
      </c>
      <c r="D32" s="74" t="s">
        <v>147</v>
      </c>
      <c r="E32" s="74" t="s">
        <v>132</v>
      </c>
      <c r="F32" s="74" t="s">
        <v>358</v>
      </c>
      <c r="G32" s="74" t="s">
        <v>1418</v>
      </c>
      <c r="H32" s="74" t="s">
        <v>2185</v>
      </c>
      <c r="I32" s="74" t="s">
        <v>5566</v>
      </c>
      <c r="J32" s="55"/>
      <c r="K32" s="55"/>
      <c r="L32" s="55"/>
      <c r="M32" s="55"/>
      <c r="N32" s="4"/>
    </row>
    <row r="33">
      <c r="A33" s="1"/>
      <c r="B33" s="59" t="s">
        <v>6288</v>
      </c>
      <c r="D33" s="75">
        <f>DCOUNTA('Solo&gt;Levels&gt;N++'!E5:F73, 'Solo&gt;Levels&gt;N++'!E5, 'Data&gt;Debug&gt;Formulas'!E40:F41)</f>
        <v>34</v>
      </c>
      <c r="E33" s="75">
        <f>DCOUNTA('Solo&gt;Levels&gt;N++'!E5:F73, 'Solo&gt;Levels&gt;N++'!E5, 'Data&gt;Debug&gt;Formulas'!E42:F43)</f>
        <v>118</v>
      </c>
      <c r="F33" s="75">
        <f>DCOUNTA('Solo&gt;Levels&gt;N++'!E5:F73, 'Solo&gt;Levels&gt;N++'!E5, 'Data&gt;Debug&gt;Formulas'!E44:F45)</f>
        <v>36</v>
      </c>
      <c r="G33" s="75">
        <f>DCOUNTA('Solo&gt;Levels&gt;N++'!E5:F73, 'Solo&gt;Levels&gt;N++'!E5, 'Data&gt;Debug&gt;Formulas'!E46:F47)</f>
        <v>6</v>
      </c>
      <c r="H33" s="75">
        <f>DCOUNTA('Solo&gt;Levels&gt;N++'!E5:F73, 'Solo&gt;Levels&gt;N++'!E5, 'Data&gt;Debug&gt;Formulas'!E48:F49)</f>
        <v>4</v>
      </c>
      <c r="I33" s="75">
        <f t="shared" ref="I33:I34" si="27">SUM(D33:H33)</f>
        <v>198</v>
      </c>
      <c r="J33" s="55"/>
      <c r="K33" s="55"/>
      <c r="L33" s="55"/>
      <c r="M33" s="55"/>
      <c r="N33" s="4"/>
    </row>
    <row r="34">
      <c r="A34" s="1"/>
      <c r="B34" s="59" t="s">
        <v>43</v>
      </c>
      <c r="D34" s="75">
        <f>DCOUNTA('Solo&gt;Levels&gt;N++'!E5:F73, 'Solo&gt;Levels&gt;N++'!E5, 'Data&gt;Debug&gt;Formulas'!E40:E41)</f>
        <v>281</v>
      </c>
      <c r="E34" s="75">
        <f>DCOUNTA('Solo&gt;Levels&gt;N++'!E5:F73, 'Solo&gt;Levels&gt;N++'!E5, 'Data&gt;Debug&gt;Formulas'!E42:E43)</f>
        <v>229</v>
      </c>
      <c r="F34" s="75">
        <f>DCOUNTA('Solo&gt;Levels&gt;N++'!E5:F73, 'Solo&gt;Levels&gt;N++'!E5, 'Data&gt;Debug&gt;Formulas'!E44:E45)</f>
        <v>51</v>
      </c>
      <c r="G34" s="75">
        <f>DCOUNTA('Solo&gt;Levels&gt;N++'!E5:F73, 'Solo&gt;Levels&gt;N++'!E5, 'Data&gt;Debug&gt;Formulas'!E46:E47)</f>
        <v>10</v>
      </c>
      <c r="H34" s="75">
        <f>DCOUNTA('Solo&gt;Levels&gt;N++'!E5:F73, 'Solo&gt;Levels&gt;N++'!E5, 'Data&gt;Debug&gt;Formulas'!E48:E49)</f>
        <v>5</v>
      </c>
      <c r="I34" s="75">
        <f t="shared" si="27"/>
        <v>576</v>
      </c>
      <c r="J34" s="55"/>
      <c r="K34" s="55"/>
      <c r="L34" s="55"/>
      <c r="M34" s="55"/>
      <c r="N34" s="4"/>
    </row>
    <row r="35">
      <c r="A35" s="1"/>
      <c r="B35" s="61" t="s">
        <v>6294</v>
      </c>
      <c r="D35" s="71" t="str">
        <f t="shared" ref="D35:I35" si="28">FIXED(D33/D34, 3)</f>
        <v>0.121</v>
      </c>
      <c r="E35" s="71" t="str">
        <f t="shared" si="28"/>
        <v>0.515</v>
      </c>
      <c r="F35" s="71" t="str">
        <f t="shared" si="28"/>
        <v>0.706</v>
      </c>
      <c r="G35" s="71" t="str">
        <f t="shared" si="28"/>
        <v>0.600</v>
      </c>
      <c r="H35" s="71" t="str">
        <f t="shared" si="28"/>
        <v>0.800</v>
      </c>
      <c r="I35" s="71" t="str">
        <f t="shared" si="28"/>
        <v>0.344</v>
      </c>
      <c r="J35" s="55"/>
      <c r="K35" s="55"/>
      <c r="L35" s="55"/>
      <c r="M35" s="55"/>
      <c r="N35" s="4"/>
    </row>
    <row r="36">
      <c r="A36" s="1"/>
      <c r="B36" s="61" t="s">
        <v>6299</v>
      </c>
      <c r="D36" s="76" t="str">
        <f>IFERROR(__xludf.DUMMYFUNCTION("IF(D33/D34 = 1, SPARKLINE(D33,{""charttype"",""bar"";""color1"", ""#e3e3e5"";""max"",D34}), SPARKLINE(D33,{""charttype"",""bar"";""color1"", ""#882285"";""max"",D34}))"),"")</f>
        <v/>
      </c>
      <c r="E36" s="72" t="str">
        <f>IFERROR(__xludf.DUMMYFUNCTION("IF(E33/E34 = 1, SPARKLINE(E33,{""charttype"",""bar"";""color1"", ""#e3e3e5"";""max"",E34}), SPARKLINE(E33,{""charttype"",""bar"";""color1"", ""#882285"";""max"",E34}))"),"")</f>
        <v/>
      </c>
      <c r="F36" s="72" t="str">
        <f>IFERROR(__xludf.DUMMYFUNCTION("IF(F33/F34 = 1, SPARKLINE(F33,{""charttype"",""bar"";""color1"", ""#e3e3e5"";""max"",F34}), SPARKLINE(F33,{""charttype"",""bar"";""color1"", ""#882285"";""max"",F34}))"),"")</f>
        <v/>
      </c>
      <c r="G36" s="72" t="str">
        <f>IFERROR(__xludf.DUMMYFUNCTION("IF(G33/G34 = 1, SPARKLINE(G33,{""charttype"",""bar"";""color1"", ""#e3e3e5"";""max"",G34}), SPARKLINE(G33,{""charttype"",""bar"";""color1"", ""#882285"";""max"",G34}))"),"")</f>
        <v/>
      </c>
      <c r="H36" s="72" t="str">
        <f>IFERROR(__xludf.DUMMYFUNCTION("IF(H33/H34 = 1, SPARKLINE(H33,{""charttype"",""bar"";""color1"", ""#e3e3e5"";""max"",H34}), SPARKLINE(H33,{""charttype"",""bar"";""color1"", ""#882285"";""max"",H34}))"),"")</f>
        <v/>
      </c>
      <c r="I36" s="72" t="str">
        <f>IFERROR(__xludf.DUMMYFUNCTION("IF(I33/I34 = 1, SPARKLINE(I33,{""charttype"",""bar"";""color1"", ""#e3e3e5"";""max"",I34}), SPARKLINE(I33,{""charttype"",""bar"";""color1"", ""#882285"";""max"",I34}))"),"")</f>
        <v/>
      </c>
      <c r="J36" s="55"/>
      <c r="K36" s="55"/>
      <c r="L36" s="55"/>
      <c r="M36" s="55"/>
      <c r="N36" s="4"/>
    </row>
    <row r="37">
      <c r="A37" s="1"/>
      <c r="B37" s="55" t="s">
        <v>6</v>
      </c>
      <c r="N37" s="4"/>
    </row>
    <row r="38">
      <c r="A38" s="1"/>
      <c r="N38" s="4"/>
    </row>
    <row r="39">
      <c r="A39" s="1"/>
      <c r="B39" s="58" t="s">
        <v>7</v>
      </c>
      <c r="D39" s="9" t="s">
        <v>90</v>
      </c>
      <c r="E39" s="9" t="s">
        <v>110</v>
      </c>
      <c r="F39" s="9" t="s">
        <v>234</v>
      </c>
      <c r="G39" s="9" t="s">
        <v>380</v>
      </c>
      <c r="H39" s="9" t="s">
        <v>915</v>
      </c>
      <c r="I39" s="9" t="s">
        <v>5566</v>
      </c>
      <c r="J39" s="55"/>
      <c r="K39" s="55"/>
      <c r="L39" s="55"/>
      <c r="M39" s="55"/>
      <c r="N39" s="4"/>
    </row>
    <row r="40">
      <c r="A40" s="1"/>
      <c r="B40" s="59" t="s">
        <v>6288</v>
      </c>
      <c r="D40" s="83">
        <f>DCOUNTA('Solo&gt;Levels&gt;'!E5:F73, 'Solo&gt;Levels&gt;'!E5, 'Data&gt;Debug&gt;Formulas'!E30:F31)</f>
        <v>24</v>
      </c>
      <c r="E40" s="83">
        <f>DCOUNTA('Solo&gt;Levels&gt;'!E5:F73, 'Solo&gt;Levels&gt;'!E5, 'Data&gt;Debug&gt;Formulas'!E32:F33)</f>
        <v>44</v>
      </c>
      <c r="F40" s="83">
        <f>DCOUNTA('Solo&gt;Levels&gt;'!E5:F73, 'Solo&gt;Levels&gt;'!E5, 'Data&gt;Debug&gt;Formulas'!E34:F35)</f>
        <v>24</v>
      </c>
      <c r="G40" s="83">
        <f>DCOUNTA('Solo&gt;Levels&gt;'!E5:F73, 'Solo&gt;Levels&gt;'!E5, 'Data&gt;Debug&gt;Formulas'!E36:F37)</f>
        <v>14</v>
      </c>
      <c r="H40" s="83">
        <f>DCOUNTA('Solo&gt;Levels&gt;'!E5:F73, 'Solo&gt;Levels&gt;'!E5, 'Data&gt;Debug&gt;Formulas'!E38:F39)</f>
        <v>7</v>
      </c>
      <c r="I40" s="47">
        <f t="shared" ref="I40:I41" si="29">SUM(D40:H40)</f>
        <v>113</v>
      </c>
      <c r="J40" s="55"/>
      <c r="K40" s="55"/>
      <c r="L40" s="55"/>
      <c r="M40" s="55"/>
      <c r="N40" s="4"/>
    </row>
    <row r="41">
      <c r="A41" s="1"/>
      <c r="B41" s="59" t="s">
        <v>43</v>
      </c>
      <c r="D41" s="75">
        <f>DCOUNTA('Solo&gt;Levels&gt;'!E5:F73, 'Solo&gt;Levels&gt;'!E5, 'Data&gt;Debug&gt;Formulas'!E30:E31)</f>
        <v>28</v>
      </c>
      <c r="E41" s="75">
        <f>DCOUNTA('Solo&gt;Levels&gt;'!E5:F73, 'Solo&gt;Levels&gt;'!E5, 'Data&gt;Debug&gt;Formulas'!E32:E33)</f>
        <v>46</v>
      </c>
      <c r="F41" s="75">
        <f>DCOUNTA('Solo&gt;Levels&gt;'!E5:F73, 'Solo&gt;Levels&gt;'!E5, 'Data&gt;Debug&gt;Formulas'!E34:E35)</f>
        <v>25</v>
      </c>
      <c r="G41" s="75">
        <f>DCOUNTA('Solo&gt;Levels&gt;'!E5:F73, 'Solo&gt;Levels&gt;'!E5, 'Data&gt;Debug&gt;Formulas'!E36:E37)</f>
        <v>14</v>
      </c>
      <c r="H41" s="75">
        <f>DCOUNTA('Solo&gt;Levels&gt;'!E5:F73, 'Solo&gt;Levels&gt;'!E5, 'Data&gt;Debug&gt;Formulas'!E38:E39)</f>
        <v>7</v>
      </c>
      <c r="I41" s="47">
        <f t="shared" si="29"/>
        <v>120</v>
      </c>
      <c r="J41" s="55"/>
      <c r="K41" s="55"/>
      <c r="L41" s="55"/>
      <c r="M41" s="55"/>
      <c r="N41" s="4"/>
    </row>
    <row r="42">
      <c r="A42" s="1"/>
      <c r="B42" s="61" t="s">
        <v>6294</v>
      </c>
      <c r="D42" s="62" t="str">
        <f t="shared" ref="D42:I42" si="30">FIXED(D40/D41, 3)</f>
        <v>0.857</v>
      </c>
      <c r="E42" s="62" t="str">
        <f t="shared" si="30"/>
        <v>0.957</v>
      </c>
      <c r="F42" s="62" t="str">
        <f t="shared" si="30"/>
        <v>0.960</v>
      </c>
      <c r="G42" s="62" t="str">
        <f t="shared" si="30"/>
        <v>1.000</v>
      </c>
      <c r="H42" s="62" t="str">
        <f t="shared" si="30"/>
        <v>1.000</v>
      </c>
      <c r="I42" s="62" t="str">
        <f t="shared" si="30"/>
        <v>0.942</v>
      </c>
      <c r="J42" s="55"/>
      <c r="K42" s="55"/>
      <c r="L42" s="55"/>
      <c r="M42" s="55"/>
      <c r="N42" s="4"/>
    </row>
    <row r="43">
      <c r="A43" s="1"/>
      <c r="B43" s="61" t="s">
        <v>6299</v>
      </c>
      <c r="D43" s="64" t="str">
        <f>IFERROR(__xludf.DUMMYFUNCTION("IF(D40/D41 = 1, SPARKLINE(D40,{""charttype"",""bar"";""color1"", ""#e3e3e5"";""max"",D41}), SPARKLINE(D40,{""charttype"",""bar"";""color1"", ""#882285"";""max"",D41}))"),"")</f>
        <v/>
      </c>
      <c r="E43" s="64" t="str">
        <f>IFERROR(__xludf.DUMMYFUNCTION("IF(E40/E41 = 1, SPARKLINE(E40,{""charttype"",""bar"";""color1"", ""#e3e3e5"";""max"",E41}), SPARKLINE(E40,{""charttype"",""bar"";""color1"", ""#882285"";""max"",E41}))"),"")</f>
        <v/>
      </c>
      <c r="F43" s="64" t="str">
        <f>IFERROR(__xludf.DUMMYFUNCTION("IF(F40/F41 = 1, SPARKLINE(F40,{""charttype"",""bar"";""color1"", ""#e3e3e5"";""max"",F41}), SPARKLINE(F40,{""charttype"",""bar"";""color1"", ""#882285"";""max"",F41}))"),"")</f>
        <v/>
      </c>
      <c r="G43" s="64" t="str">
        <f>IFERROR(__xludf.DUMMYFUNCTION("IF(G40/G41 = 1, SPARKLINE(G40,{""charttype"",""bar"";""color1"", ""#e3e3e5"";""max"",G41}), SPARKLINE(G40,{""charttype"",""bar"";""color1"", ""#882285"";""max"",G41}))"),"")</f>
        <v/>
      </c>
      <c r="H43" s="64" t="str">
        <f>IFERROR(__xludf.DUMMYFUNCTION("IF(H40/H41 = 1, SPARKLINE(H40,{""charttype"",""bar"";""color1"", ""#e3e3e5"";""max"",H41}), SPARKLINE(H40,{""charttype"",""bar"";""color1"", ""#882285"";""max"",H41}))"),"")</f>
        <v/>
      </c>
      <c r="I43" s="64" t="str">
        <f>IFERROR(__xludf.DUMMYFUNCTION("IF(I40/I41 = 1, SPARKLINE(I40,{""charttype"",""bar"";""color1"", ""#e3e3e5"";""max"",I41}), SPARKLINE(I40,{""charttype"",""bar"";""color1"", ""#882285"";""max"",I41}))"),"")</f>
        <v/>
      </c>
      <c r="J43" s="55"/>
      <c r="K43" s="55"/>
      <c r="L43" s="55"/>
      <c r="M43" s="55"/>
      <c r="N43" s="4"/>
    </row>
    <row r="44">
      <c r="A44" s="1"/>
      <c r="B44" s="58" t="s">
        <v>6</v>
      </c>
      <c r="D44" s="9" t="s">
        <v>147</v>
      </c>
      <c r="E44" s="9" t="s">
        <v>132</v>
      </c>
      <c r="F44" s="9" t="s">
        <v>358</v>
      </c>
      <c r="G44" s="9" t="s">
        <v>1418</v>
      </c>
      <c r="H44" s="9" t="s">
        <v>2185</v>
      </c>
      <c r="I44" s="9" t="s">
        <v>5566</v>
      </c>
      <c r="J44" s="55"/>
      <c r="K44" s="55"/>
      <c r="L44" s="55"/>
      <c r="M44" s="55"/>
      <c r="N44" s="4"/>
    </row>
    <row r="45">
      <c r="A45" s="1"/>
      <c r="B45" s="59" t="s">
        <v>6288</v>
      </c>
      <c r="D45" s="83">
        <f>DCOUNTA('Solo&gt;Levels&gt;'!E5:F73, 'Solo&gt;Levels&gt;'!E5, 'Data&gt;Debug&gt;Formulas'!E40:F41)</f>
        <v>36</v>
      </c>
      <c r="E45" s="83">
        <f>DCOUNTA('Solo&gt;Levels&gt;'!E5:F73, 'Solo&gt;Levels&gt;'!E5, 'Data&gt;Debug&gt;Formulas'!E42:F43)</f>
        <v>96</v>
      </c>
      <c r="F45" s="83">
        <f>DCOUNTA('Solo&gt;Levels&gt;'!E5:F73, 'Solo&gt;Levels&gt;'!E5, 'Data&gt;Debug&gt;Formulas'!E44:F45)</f>
        <v>39</v>
      </c>
      <c r="G45" s="83">
        <f>DCOUNTA('Solo&gt;Levels&gt;'!E5:F73, 'Solo&gt;Levels&gt;'!E5, 'Data&gt;Debug&gt;Formulas'!E46:F47)</f>
        <v>28</v>
      </c>
      <c r="H45" s="83">
        <f>DCOUNTA('Solo&gt;Levels&gt;'!E5:F73, 'Solo&gt;Levels&gt;'!E5, 'Data&gt;Debug&gt;Formulas'!E48:F49)</f>
        <v>12</v>
      </c>
      <c r="I45" s="47">
        <f t="shared" ref="I45:I46" si="31">SUM(D45:H45)</f>
        <v>211</v>
      </c>
      <c r="J45" s="55"/>
      <c r="K45" s="55"/>
      <c r="L45" s="55"/>
      <c r="M45" s="55"/>
      <c r="N45" s="4"/>
    </row>
    <row r="46">
      <c r="A46" s="1"/>
      <c r="B46" s="59" t="s">
        <v>43</v>
      </c>
      <c r="D46" s="75">
        <f>DCOUNTA('Solo&gt;Levels&gt;'!E5:F73, 'Solo&gt;Levels&gt;'!E5, 'Data&gt;Debug&gt;Formulas'!E40:E41)</f>
        <v>155</v>
      </c>
      <c r="E46" s="75">
        <f>DCOUNTA('Solo&gt;Levels&gt;'!E5:F73, 'Solo&gt;Levels&gt;'!E5, 'Data&gt;Debug&gt;Formulas'!E42:E43)</f>
        <v>105</v>
      </c>
      <c r="F46" s="75">
        <f>DCOUNTA('Solo&gt;Levels&gt;'!E5:F73, 'Solo&gt;Levels&gt;'!E5, 'Data&gt;Debug&gt;Formulas'!E44:E45)</f>
        <v>43</v>
      </c>
      <c r="G46" s="75">
        <f>DCOUNTA('Solo&gt;Levels&gt;'!E5:F73, 'Solo&gt;Levels&gt;'!E5, 'Data&gt;Debug&gt;Formulas'!E46:E47)</f>
        <v>29</v>
      </c>
      <c r="H46" s="75">
        <f>DCOUNTA('Solo&gt;Levels&gt;'!E5:F73, 'Solo&gt;Levels&gt;'!E5, 'Data&gt;Debug&gt;Formulas'!E48:E49)</f>
        <v>12</v>
      </c>
      <c r="I46" s="47">
        <f t="shared" si="31"/>
        <v>344</v>
      </c>
      <c r="J46" s="55"/>
      <c r="K46" s="55"/>
      <c r="L46" s="55"/>
      <c r="M46" s="55"/>
      <c r="N46" s="4"/>
    </row>
    <row r="47">
      <c r="A47" s="1"/>
      <c r="B47" s="61" t="s">
        <v>6294</v>
      </c>
      <c r="D47" s="62" t="str">
        <f t="shared" ref="D47:I47" si="32">FIXED(D45/D46, 3)</f>
        <v>0.232</v>
      </c>
      <c r="E47" s="62" t="str">
        <f t="shared" si="32"/>
        <v>0.914</v>
      </c>
      <c r="F47" s="62" t="str">
        <f t="shared" si="32"/>
        <v>0.907</v>
      </c>
      <c r="G47" s="62" t="str">
        <f t="shared" si="32"/>
        <v>0.966</v>
      </c>
      <c r="H47" s="62" t="str">
        <f t="shared" si="32"/>
        <v>1.000</v>
      </c>
      <c r="I47" s="62" t="str">
        <f t="shared" si="32"/>
        <v>0.613</v>
      </c>
      <c r="J47" s="55"/>
      <c r="K47" s="55"/>
      <c r="L47" s="55"/>
      <c r="M47" s="55"/>
      <c r="N47" s="4"/>
    </row>
    <row r="48">
      <c r="A48" s="1"/>
      <c r="B48" s="61" t="s">
        <v>6299</v>
      </c>
      <c r="D48" s="64" t="str">
        <f>IFERROR(__xludf.DUMMYFUNCTION("IF(D45/D46 = 1, SPARKLINE(D45,{""charttype"",""bar"";""color1"", ""#e3e3e5"";""max"",D46}), SPARKLINE(D45,{""charttype"",""bar"";""color1"", ""#882285"";""max"",D46}))"),"")</f>
        <v/>
      </c>
      <c r="E48" s="64" t="str">
        <f>IFERROR(__xludf.DUMMYFUNCTION("IF(E45/E46 = 1, SPARKLINE(E45,{""charttype"",""bar"";""color1"", ""#e3e3e5"";""max"",E46}), SPARKLINE(E45,{""charttype"",""bar"";""color1"", ""#882285"";""max"",E46}))"),"")</f>
        <v/>
      </c>
      <c r="F48" s="64" t="str">
        <f>IFERROR(__xludf.DUMMYFUNCTION("IF(F45/F46 = 1, SPARKLINE(F45,{""charttype"",""bar"";""color1"", ""#e3e3e5"";""max"",F46}), SPARKLINE(F45,{""charttype"",""bar"";""color1"", ""#882285"";""max"",F46}))"),"")</f>
        <v/>
      </c>
      <c r="G48" s="64" t="str">
        <f>IFERROR(__xludf.DUMMYFUNCTION("IF(G45/G46 = 1, SPARKLINE(G45,{""charttype"",""bar"";""color1"", ""#e3e3e5"";""max"",G46}), SPARKLINE(G45,{""charttype"",""bar"";""color1"", ""#882285"";""max"",G46}))"),"")</f>
        <v/>
      </c>
      <c r="H48" s="64" t="str">
        <f>IFERROR(__xludf.DUMMYFUNCTION("IF(H45/H46 = 1, SPARKLINE(H45,{""charttype"",""bar"";""color1"", ""#e3e3e5"";""max"",H46}), SPARKLINE(H45,{""charttype"",""bar"";""color1"", ""#882285"";""max"",H46}))"),"")</f>
        <v/>
      </c>
      <c r="I48" s="64" t="str">
        <f>IFERROR(__xludf.DUMMYFUNCTION("IF(I45/I46 = 1, SPARKLINE(I45,{""charttype"",""bar"";""color1"", ""#e3e3e5"";""max"",I46}), SPARKLINE(I45,{""charttype"",""bar"";""color1"", ""#882285"";""max"",I46}))"),"")</f>
        <v/>
      </c>
      <c r="J48" s="55"/>
      <c r="K48" s="55"/>
      <c r="L48" s="55"/>
      <c r="M48" s="55"/>
      <c r="N48" s="4"/>
    </row>
    <row r="49">
      <c r="A49" s="1"/>
      <c r="B49" s="55" t="s">
        <v>4</v>
      </c>
      <c r="N49" s="4"/>
    </row>
    <row r="50">
      <c r="A50" s="1"/>
      <c r="N50" s="4"/>
    </row>
    <row r="51">
      <c r="A51" s="1"/>
      <c r="B51" s="58" t="s">
        <v>7</v>
      </c>
      <c r="D51" s="74" t="s">
        <v>90</v>
      </c>
      <c r="E51" s="74" t="s">
        <v>110</v>
      </c>
      <c r="F51" s="74" t="s">
        <v>234</v>
      </c>
      <c r="G51" s="74" t="s">
        <v>380</v>
      </c>
      <c r="H51" s="74" t="s">
        <v>915</v>
      </c>
      <c r="I51" s="74" t="s">
        <v>5566</v>
      </c>
      <c r="J51" s="55"/>
      <c r="K51" s="55"/>
      <c r="L51" s="55"/>
      <c r="M51" s="55"/>
      <c r="N51" s="4"/>
    </row>
    <row r="52">
      <c r="A52" s="1"/>
      <c r="B52" s="59" t="s">
        <v>6288</v>
      </c>
      <c r="D52" s="75">
        <f>DCOUNTA('Solo&gt;Levels&gt;Ultimate'!E5:F73, 'Solo&gt;Levels&gt;Ultimate'!E5, 'Data&gt;Debug&gt;Formulas'!E30:F31)</f>
        <v>111</v>
      </c>
      <c r="E52" s="75">
        <f>DCOUNTA('Solo&gt;Levels&gt;Ultimate'!E5:F73, 'Solo&gt;Levels&gt;Ultimate'!E5, 'Data&gt;Debug&gt;Formulas'!E32:F33)</f>
        <v>141</v>
      </c>
      <c r="F52" s="75">
        <f>DCOUNTA('Solo&gt;Levels&gt;Ultimate'!E5:F73, 'Solo&gt;Levels&gt;Ultimate'!E5, 'Data&gt;Debug&gt;Formulas'!E34:F35)</f>
        <v>14</v>
      </c>
      <c r="G52" s="75">
        <f>DCOUNTA('Solo&gt;Levels&gt;Ultimate'!E5:F73, 'Solo&gt;Levels&gt;Ultimate'!E5, 'Data&gt;Debug&gt;Formulas'!E36:F37)</f>
        <v>3</v>
      </c>
      <c r="H52" s="75">
        <f>DCOUNTA('Solo&gt;Levels&gt;Ultimate'!E5:F73, 'Solo&gt;Levels&gt;Ultimate'!E5, 'Data&gt;Debug&gt;Formulas'!E38:F39)</f>
        <v>2</v>
      </c>
      <c r="I52" s="75">
        <f t="shared" ref="I52:I53" si="33">SUM(D52:H52)</f>
        <v>271</v>
      </c>
      <c r="J52" s="55"/>
      <c r="K52" s="55"/>
      <c r="L52" s="55"/>
      <c r="M52" s="55"/>
      <c r="N52" s="4"/>
    </row>
    <row r="53">
      <c r="A53" s="1"/>
      <c r="B53" s="59" t="s">
        <v>43</v>
      </c>
      <c r="D53" s="75">
        <f>DCOUNTA('Solo&gt;Levels&gt;Ultimate'!E5:F73, 'Solo&gt;Levels&gt;Ultimate'!E5, 'Data&gt;Debug&gt;Formulas'!E30:E31)</f>
        <v>270</v>
      </c>
      <c r="E53" s="75">
        <f>DCOUNTA('Solo&gt;Levels&gt;Ultimate'!E5:F73, 'Solo&gt;Levels&gt;Ultimate'!E5, 'Data&gt;Debug&gt;Formulas'!E32:E33)</f>
        <v>290</v>
      </c>
      <c r="F53" s="75">
        <f>DCOUNTA('Solo&gt;Levels&gt;Ultimate'!E5:F73, 'Solo&gt;Levels&gt;Ultimate'!E5, 'Data&gt;Debug&gt;Formulas'!E34:E35)</f>
        <v>32</v>
      </c>
      <c r="G53" s="75">
        <f>DCOUNTA('Solo&gt;Levels&gt;Ultimate'!E5:F73, 'Solo&gt;Levels&gt;Ultimate'!E5, 'Data&gt;Debug&gt;Formulas'!E36:E37)</f>
        <v>6</v>
      </c>
      <c r="H53" s="75">
        <f>DCOUNTA('Solo&gt;Levels&gt;Ultimate'!E5:F73, 'Solo&gt;Levels&gt;Ultimate'!E5, 'Data&gt;Debug&gt;Formulas'!E38:E39)</f>
        <v>2</v>
      </c>
      <c r="I53" s="75">
        <f t="shared" si="33"/>
        <v>600</v>
      </c>
      <c r="J53" s="55"/>
      <c r="K53" s="55"/>
      <c r="L53" s="55"/>
      <c r="M53" s="55"/>
      <c r="N53" s="4"/>
    </row>
    <row r="54">
      <c r="A54" s="1"/>
      <c r="B54" s="61" t="s">
        <v>6294</v>
      </c>
      <c r="D54" s="71" t="str">
        <f t="shared" ref="D54:I54" si="34">FIXED(D52/D53, 3)</f>
        <v>0.411</v>
      </c>
      <c r="E54" s="71" t="str">
        <f t="shared" si="34"/>
        <v>0.486</v>
      </c>
      <c r="F54" s="71" t="str">
        <f t="shared" si="34"/>
        <v>0.438</v>
      </c>
      <c r="G54" s="71" t="str">
        <f t="shared" si="34"/>
        <v>0.500</v>
      </c>
      <c r="H54" s="71" t="str">
        <f t="shared" si="34"/>
        <v>1.000</v>
      </c>
      <c r="I54" s="71" t="str">
        <f t="shared" si="34"/>
        <v>0.452</v>
      </c>
      <c r="J54" s="55"/>
      <c r="K54" s="55"/>
      <c r="L54" s="55"/>
      <c r="M54" s="55"/>
      <c r="N54" s="4"/>
    </row>
    <row r="55">
      <c r="A55" s="1"/>
      <c r="B55" s="61" t="s">
        <v>6299</v>
      </c>
      <c r="D55" s="76" t="str">
        <f>IFERROR(__xludf.DUMMYFUNCTION("IF(D52/D53 = 1, SPARKLINE(D52,{""charttype"",""bar"";""color1"", ""#e3e3e5"";""max"",D53}), SPARKLINE(D52,{""charttype"",""bar"";""color1"", ""#882285"";""max"",D53}))"),"")</f>
        <v/>
      </c>
      <c r="E55" s="72" t="str">
        <f>IFERROR(__xludf.DUMMYFUNCTION("IF(E52/E53 = 1, SPARKLINE(E52,{""charttype"",""bar"";""color1"", ""#e3e3e5"";""max"",E53}), SPARKLINE(E52,{""charttype"",""bar"";""color1"", ""#882285"";""max"",E53}))"),"")</f>
        <v/>
      </c>
      <c r="F55" s="72" t="str">
        <f>IFERROR(__xludf.DUMMYFUNCTION("IF(F52/F53 = 1, SPARKLINE(F52,{""charttype"",""bar"";""color1"", ""#e3e3e5"";""max"",F53}), SPARKLINE(F52,{""charttype"",""bar"";""color1"", ""#882285"";""max"",F53}))"),"")</f>
        <v/>
      </c>
      <c r="G55" s="72" t="str">
        <f>IFERROR(__xludf.DUMMYFUNCTION("IF(G52/G53 = 1, SPARKLINE(G52,{""charttype"",""bar"";""color1"", ""#e3e3e5"";""max"",G53}), SPARKLINE(G52,{""charttype"",""bar"";""color1"", ""#882285"";""max"",G53}))"),"")</f>
        <v/>
      </c>
      <c r="H55" s="72" t="str">
        <f>IFERROR(__xludf.DUMMYFUNCTION("IF(H52/H53 = 1, SPARKLINE(H52,{""charttype"",""bar"";""color1"", ""#e3e3e5"";""max"",H53}), SPARKLINE(H52,{""charttype"",""bar"";""color1"", ""#882285"";""max"",H53}))"),"")</f>
        <v/>
      </c>
      <c r="I55" s="72" t="str">
        <f>IFERROR(__xludf.DUMMYFUNCTION("IF(I52/I53 = 1, SPARKLINE(I52,{""charttype"",""bar"";""color1"", ""#e3e3e5"";""max"",I53}), SPARKLINE(I52,{""charttype"",""bar"";""color1"", ""#882285"";""max"",I53}))"),"")</f>
        <v/>
      </c>
      <c r="J55" s="55"/>
      <c r="K55" s="55"/>
      <c r="L55" s="55"/>
      <c r="M55" s="55"/>
      <c r="N55" s="4"/>
    </row>
    <row r="56">
      <c r="A56" s="1"/>
      <c r="B56" s="58" t="s">
        <v>6</v>
      </c>
      <c r="D56" s="74" t="s">
        <v>147</v>
      </c>
      <c r="E56" s="74" t="s">
        <v>132</v>
      </c>
      <c r="F56" s="74" t="s">
        <v>358</v>
      </c>
      <c r="G56" s="74" t="s">
        <v>1418</v>
      </c>
      <c r="H56" s="74" t="s">
        <v>2185</v>
      </c>
      <c r="I56" s="74" t="s">
        <v>5566</v>
      </c>
      <c r="J56" s="55"/>
      <c r="K56" s="55"/>
      <c r="L56" s="55"/>
      <c r="M56" s="55"/>
      <c r="N56" s="4"/>
    </row>
    <row r="57">
      <c r="A57" s="1"/>
      <c r="B57" s="59" t="s">
        <v>6288</v>
      </c>
      <c r="D57" s="75">
        <f>DCOUNTA('Solo&gt;Levels&gt;Ultimate'!E5:F73, 'Solo&gt;Levels&gt;Ultimate'!E5, 'Data&gt;Debug&gt;Formulas'!E40:F41)</f>
        <v>46</v>
      </c>
      <c r="E57" s="75">
        <f>DCOUNTA('Solo&gt;Levels&gt;Ultimate'!E5:F73, 'Solo&gt;Levels&gt;Ultimate'!E5, 'Data&gt;Debug&gt;Formulas'!E42:F43)</f>
        <v>46</v>
      </c>
      <c r="F57" s="75">
        <f>DCOUNTA('Solo&gt;Levels&gt;Ultimate'!E5:F73, 'Solo&gt;Levels&gt;Ultimate'!E5, 'Data&gt;Debug&gt;Formulas'!E44:F45)</f>
        <v>5</v>
      </c>
      <c r="G57" s="75">
        <f>DCOUNTA('Solo&gt;Levels&gt;Ultimate'!E5:F73, 'Solo&gt;Levels&gt;Ultimate'!E5, 'Data&gt;Debug&gt;Formulas'!E46:F47)</f>
        <v>5</v>
      </c>
      <c r="H57" s="75">
        <f>DCOUNTA('Solo&gt;Levels&gt;Ultimate'!E5:F73, 'Solo&gt;Levels&gt;Ultimate'!E5, 'Data&gt;Debug&gt;Formulas'!E48:F49)</f>
        <v>3</v>
      </c>
      <c r="I57" s="75">
        <f t="shared" ref="I57:I58" si="35">SUM(D57:H57)</f>
        <v>105</v>
      </c>
      <c r="J57" s="55"/>
      <c r="K57" s="55"/>
      <c r="L57" s="55"/>
      <c r="M57" s="55"/>
      <c r="N57" s="4"/>
    </row>
    <row r="58">
      <c r="A58" s="1"/>
      <c r="B58" s="59" t="s">
        <v>43</v>
      </c>
      <c r="D58" s="75">
        <f>DCOUNTA('Solo&gt;Levels&gt;Ultimate'!E5:F73, 'Solo&gt;Levels&gt;Ultimate'!E5, 'Data&gt;Debug&gt;Formulas'!E40:E41)</f>
        <v>139</v>
      </c>
      <c r="E58" s="75">
        <f>DCOUNTA('Solo&gt;Levels&gt;Ultimate'!E5:F73, 'Solo&gt;Levels&gt;Ultimate'!E5, 'Data&gt;Debug&gt;Formulas'!E42:E43)</f>
        <v>92</v>
      </c>
      <c r="F58" s="75">
        <f>DCOUNTA('Solo&gt;Levels&gt;Ultimate'!E5:F73, 'Solo&gt;Levels&gt;Ultimate'!E5, 'Data&gt;Debug&gt;Formulas'!E44:E45)</f>
        <v>8</v>
      </c>
      <c r="G58" s="75">
        <f>DCOUNTA('Solo&gt;Levels&gt;Ultimate'!E5:F73, 'Solo&gt;Levels&gt;Ultimate'!E5, 'Data&gt;Debug&gt;Formulas'!E46:E47)</f>
        <v>11</v>
      </c>
      <c r="H58" s="75">
        <f>DCOUNTA('Solo&gt;Levels&gt;Ultimate'!E5:F73, 'Solo&gt;Levels&gt;Ultimate'!E5, 'Data&gt;Debug&gt;Formulas'!E48:E49)</f>
        <v>4</v>
      </c>
      <c r="I58" s="75">
        <f t="shared" si="35"/>
        <v>254</v>
      </c>
      <c r="J58" s="55"/>
      <c r="K58" s="55"/>
      <c r="L58" s="55"/>
      <c r="M58" s="55"/>
      <c r="N58" s="4"/>
    </row>
    <row r="59">
      <c r="A59" s="1"/>
      <c r="B59" s="61" t="s">
        <v>6294</v>
      </c>
      <c r="D59" s="71" t="str">
        <f t="shared" ref="D59:I59" si="36">FIXED(D57/D58, 3)</f>
        <v>0.331</v>
      </c>
      <c r="E59" s="71" t="str">
        <f t="shared" si="36"/>
        <v>0.500</v>
      </c>
      <c r="F59" s="71" t="str">
        <f t="shared" si="36"/>
        <v>0.625</v>
      </c>
      <c r="G59" s="71" t="str">
        <f t="shared" si="36"/>
        <v>0.455</v>
      </c>
      <c r="H59" s="71" t="str">
        <f t="shared" si="36"/>
        <v>0.750</v>
      </c>
      <c r="I59" s="71" t="str">
        <f t="shared" si="36"/>
        <v>0.413</v>
      </c>
      <c r="J59" s="55"/>
      <c r="K59" s="55"/>
      <c r="L59" s="55"/>
      <c r="M59" s="55"/>
      <c r="N59" s="4"/>
    </row>
    <row r="60">
      <c r="A60" s="1"/>
      <c r="B60" s="61" t="s">
        <v>6299</v>
      </c>
      <c r="D60" s="76" t="str">
        <f>IFERROR(__xludf.DUMMYFUNCTION("IF(D57/D58 = 1, SPARKLINE(D57,{""charttype"",""bar"";""color1"", ""#e3e3e5"";""max"",D58}), SPARKLINE(D57,{""charttype"",""bar"";""color1"", ""#882285"";""max"",D58}))"),"")</f>
        <v/>
      </c>
      <c r="E60" s="72" t="str">
        <f>IFERROR(__xludf.DUMMYFUNCTION("IF(E57/E58 = 1, SPARKLINE(E57,{""charttype"",""bar"";""color1"", ""#e3e3e5"";""max"",E58}), SPARKLINE(E57,{""charttype"",""bar"";""color1"", ""#882285"";""max"",E58}))"),"")</f>
        <v/>
      </c>
      <c r="F60" s="72" t="str">
        <f>IFERROR(__xludf.DUMMYFUNCTION("IF(F57/F58 = 1, SPARKLINE(F57,{""charttype"",""bar"";""color1"", ""#e3e3e5"";""max"",F58}), SPARKLINE(F57,{""charttype"",""bar"";""color1"", ""#882285"";""max"",F58}))"),"")</f>
        <v/>
      </c>
      <c r="G60" s="72" t="str">
        <f>IFERROR(__xludf.DUMMYFUNCTION("IF(G57/G58 = 1, SPARKLINE(G57,{""charttype"",""bar"";""color1"", ""#e3e3e5"";""max"",G58}), SPARKLINE(G57,{""charttype"",""bar"";""color1"", ""#882285"";""max"",G58}))"),"")</f>
        <v/>
      </c>
      <c r="H60" s="72" t="str">
        <f>IFERROR(__xludf.DUMMYFUNCTION("IF(H57/H58 = 1, SPARKLINE(H57,{""charttype"",""bar"";""color1"", ""#e3e3e5"";""max"",H58}), SPARKLINE(H57,{""charttype"",""bar"";""color1"", ""#882285"";""max"",H58}))"),"")</f>
        <v/>
      </c>
      <c r="I60" s="72" t="str">
        <f>IFERROR(__xludf.DUMMYFUNCTION("IF(I57/I58 = 1, SPARKLINE(I57,{""charttype"",""bar"";""color1"", ""#e3e3e5"";""max"",I58}), SPARKLINE(I57,{""charttype"",""bar"";""color1"", ""#882285"";""max"",I58}))"),"")</f>
        <v/>
      </c>
      <c r="J60" s="55"/>
      <c r="K60" s="55"/>
      <c r="L60" s="55"/>
      <c r="M60" s="55"/>
      <c r="N60" s="4"/>
    </row>
    <row r="61">
      <c r="A61" s="1"/>
      <c r="B61" s="55" t="s">
        <v>7</v>
      </c>
      <c r="N61" s="4"/>
    </row>
    <row r="62">
      <c r="A62" s="1"/>
      <c r="N62" s="4"/>
    </row>
    <row r="63">
      <c r="A63" s="1"/>
      <c r="B63" s="58" t="s">
        <v>7</v>
      </c>
      <c r="D63" s="88" t="s">
        <v>90</v>
      </c>
      <c r="E63" s="88" t="s">
        <v>110</v>
      </c>
      <c r="F63" s="88" t="s">
        <v>234</v>
      </c>
      <c r="G63" s="88" t="s">
        <v>380</v>
      </c>
      <c r="H63" s="88" t="s">
        <v>915</v>
      </c>
      <c r="I63" s="88" t="s">
        <v>5566</v>
      </c>
      <c r="J63" s="55"/>
      <c r="K63" s="55"/>
      <c r="L63" s="55"/>
      <c r="M63" s="55"/>
      <c r="N63" s="4"/>
    </row>
    <row r="64">
      <c r="A64" s="1"/>
      <c r="B64" s="59" t="s">
        <v>6288</v>
      </c>
      <c r="D64" s="75">
        <f>DCOUNTA('Solo&gt;Levels&gt;!'!E5:F73, 'Solo&gt;Levels&gt;!'!E5, 'Data&gt;Debug&gt;Formulas'!E30:F31)</f>
        <v>51</v>
      </c>
      <c r="E64" s="75">
        <f>DCOUNTA('Solo&gt;Levels&gt;!'!E5:F73, 'Solo&gt;Levels&gt;!'!E5, 'Data&gt;Debug&gt;Formulas'!E32:F33)</f>
        <v>44</v>
      </c>
      <c r="F64" s="75">
        <f>DCOUNTA('Solo&gt;Levels&gt;!'!E5:F73, 'Solo&gt;Levels&gt;!'!E5, 'Data&gt;Debug&gt;Formulas'!E34:F35)</f>
        <v>5</v>
      </c>
      <c r="G64" s="75">
        <f>DCOUNTA('Solo&gt;Levels&gt;!'!E5:F73, 'Solo&gt;Levels&gt;!'!E5, 'Data&gt;Debug&gt;Formulas'!E36:F37)</f>
        <v>3</v>
      </c>
      <c r="H64" s="75">
        <f>DCOUNTA('Solo&gt;Levels&gt;!'!E5:F73, 'Solo&gt;Levels&gt;!'!E5, 'Data&gt;Debug&gt;Formulas'!E38:F39)</f>
        <v>3</v>
      </c>
      <c r="I64" s="83">
        <f t="shared" ref="I64:I65" si="37">SUM(D64:H64)</f>
        <v>106</v>
      </c>
      <c r="J64" s="55"/>
      <c r="K64" s="55"/>
      <c r="L64" s="55"/>
      <c r="M64" s="55"/>
      <c r="N64" s="4"/>
    </row>
    <row r="65">
      <c r="A65" s="1"/>
      <c r="B65" s="59" t="s">
        <v>43</v>
      </c>
      <c r="D65" s="75">
        <f>DCOUNTA('Solo&gt;Levels&gt;!'!E5:F73, 'Solo&gt;Levels&gt;!'!E5, 'Data&gt;Debug&gt;Formulas'!E30:E31)</f>
        <v>64</v>
      </c>
      <c r="E65" s="75">
        <f>DCOUNTA('Solo&gt;Levels&gt;!'!E5:F73, 'Solo&gt;Levels&gt;!'!E5, 'Data&gt;Debug&gt;Formulas'!E32:E33)</f>
        <v>45</v>
      </c>
      <c r="F65" s="75">
        <f>DCOUNTA('Solo&gt;Levels&gt;!'!E5:F73, 'Solo&gt;Levels&gt;!'!E5, 'Data&gt;Debug&gt;Formulas'!E34:E35)</f>
        <v>5</v>
      </c>
      <c r="G65" s="75">
        <f>DCOUNTA('Solo&gt;Levels&gt;!'!E5:F73, 'Solo&gt;Levels&gt;!'!E5, 'Data&gt;Debug&gt;Formulas'!E36:E37)</f>
        <v>3</v>
      </c>
      <c r="H65" s="75">
        <f>DCOUNTA('Solo&gt;Levels&gt;!'!E5:F73, 'Solo&gt;Levels&gt;!'!E5, 'Data&gt;Debug&gt;Formulas'!E38:E39)</f>
        <v>3</v>
      </c>
      <c r="I65" s="83">
        <f t="shared" si="37"/>
        <v>120</v>
      </c>
      <c r="J65" s="55"/>
      <c r="K65" s="55"/>
      <c r="L65" s="55"/>
      <c r="M65" s="55"/>
      <c r="N65" s="4"/>
    </row>
    <row r="66">
      <c r="A66" s="1"/>
      <c r="B66" s="61" t="s">
        <v>6294</v>
      </c>
      <c r="D66" s="62" t="str">
        <f t="shared" ref="D66:I66" si="38">FIXED(D64/D65, 3)</f>
        <v>0.797</v>
      </c>
      <c r="E66" s="62" t="str">
        <f t="shared" si="38"/>
        <v>0.978</v>
      </c>
      <c r="F66" s="62" t="str">
        <f t="shared" si="38"/>
        <v>1.000</v>
      </c>
      <c r="G66" s="62" t="str">
        <f t="shared" si="38"/>
        <v>1.000</v>
      </c>
      <c r="H66" s="62" t="str">
        <f t="shared" si="38"/>
        <v>1.000</v>
      </c>
      <c r="I66" s="62" t="str">
        <f t="shared" si="38"/>
        <v>0.883</v>
      </c>
      <c r="J66" s="55"/>
      <c r="K66" s="55"/>
      <c r="L66" s="55"/>
      <c r="M66" s="55"/>
      <c r="N66" s="4"/>
    </row>
    <row r="67">
      <c r="A67" s="1"/>
      <c r="B67" s="61" t="s">
        <v>6299</v>
      </c>
      <c r="D67" s="64" t="str">
        <f>IFERROR(__xludf.DUMMYFUNCTION("IF(D64/D65 = 1, SPARKLINE(D64,{""charttype"",""bar"";""color1"", ""#e3e3e5"";""max"",D65}), SPARKLINE(D64,{""charttype"",""bar"";""color1"", ""#882285"";""max"",D65}))"),"")</f>
        <v/>
      </c>
      <c r="E67" s="64" t="str">
        <f>IFERROR(__xludf.DUMMYFUNCTION("IF(E64/E65 = 1, SPARKLINE(E64,{""charttype"",""bar"";""color1"", ""#e3e3e5"";""max"",E65}), SPARKLINE(E64,{""charttype"",""bar"";""color1"", ""#882285"";""max"",E65}))"),"")</f>
        <v/>
      </c>
      <c r="F67" s="64" t="str">
        <f>IFERROR(__xludf.DUMMYFUNCTION("IF(F64/F65 = 1, SPARKLINE(F64,{""charttype"",""bar"";""color1"", ""#e3e3e5"";""max"",F65}), SPARKLINE(F64,{""charttype"",""bar"";""color1"", ""#882285"";""max"",F65}))"),"")</f>
        <v/>
      </c>
      <c r="G67" s="64" t="str">
        <f>IFERROR(__xludf.DUMMYFUNCTION("IF(G64/G65 = 1, SPARKLINE(G64,{""charttype"",""bar"";""color1"", ""#e3e3e5"";""max"",G65}), SPARKLINE(G64,{""charttype"",""bar"";""color1"", ""#882285"";""max"",G65}))"),"")</f>
        <v/>
      </c>
      <c r="H67" s="64" t="str">
        <f>IFERROR(__xludf.DUMMYFUNCTION("IF(H64/H65 = 1, SPARKLINE(H64,{""charttype"",""bar"";""color1"", ""#e3e3e5"";""max"",H65}), SPARKLINE(H64,{""charttype"",""bar"";""color1"", ""#882285"";""max"",H65}))"),"")</f>
        <v/>
      </c>
      <c r="I67" s="64" t="str">
        <f>IFERROR(__xludf.DUMMYFUNCTION("IF(I64/I65 = 1, SPARKLINE(I64,{""charttype"",""bar"";""color1"", ""#e3e3e5"";""max"",I65}), SPARKLINE(I64,{""charttype"",""bar"";""color1"", ""#882285"";""max"",I65}))"),"")</f>
        <v/>
      </c>
      <c r="J67" s="55"/>
      <c r="K67" s="55"/>
      <c r="L67" s="55"/>
      <c r="M67" s="55"/>
      <c r="N67" s="4"/>
    </row>
    <row r="68">
      <c r="A68" s="1"/>
      <c r="B68" s="58" t="s">
        <v>6</v>
      </c>
      <c r="D68" s="88" t="s">
        <v>147</v>
      </c>
      <c r="E68" s="88" t="s">
        <v>132</v>
      </c>
      <c r="F68" s="88" t="s">
        <v>358</v>
      </c>
      <c r="G68" s="88" t="s">
        <v>1418</v>
      </c>
      <c r="H68" s="88" t="s">
        <v>2185</v>
      </c>
      <c r="I68" s="88" t="s">
        <v>5566</v>
      </c>
      <c r="J68" s="55"/>
      <c r="K68" s="55"/>
      <c r="L68" s="55"/>
      <c r="M68" s="55"/>
      <c r="N68" s="4"/>
    </row>
    <row r="69">
      <c r="A69" s="1"/>
      <c r="B69" s="59" t="s">
        <v>6288</v>
      </c>
      <c r="D69" s="75">
        <f>DCOUNTA('Solo&gt;Levels&gt;!'!E5:F73, 'Solo&gt;Levels&gt;!'!E5, 'Data&gt;Debug&gt;Formulas'!E40:F41)</f>
        <v>33</v>
      </c>
      <c r="E69" s="75">
        <f>DCOUNTA('Solo&gt;Levels&gt;!'!E5:F73, 'Solo&gt;Levels&gt;!'!E5, 'Data&gt;Debug&gt;Formulas'!E42:F43)</f>
        <v>22</v>
      </c>
      <c r="F69" s="75">
        <f>DCOUNTA('Solo&gt;Levels&gt;!'!E5:F73, 'Solo&gt;Levels&gt;!'!E5, 'Data&gt;Debug&gt;Formulas'!E44:F45)</f>
        <v>3</v>
      </c>
      <c r="G69" s="75">
        <f>DCOUNTA('Solo&gt;Levels&gt;!'!E5:F73, 'Solo&gt;Levels&gt;!'!E5, 'Data&gt;Debug&gt;Formulas'!E46:F47)</f>
        <v>0</v>
      </c>
      <c r="H69" s="75">
        <f>DCOUNTA('Solo&gt;Levels&gt;!'!E5:F73, 'Solo&gt;Levels&gt;!'!E5, 'Data&gt;Debug&gt;Formulas'!E48:F49)</f>
        <v>0</v>
      </c>
      <c r="I69" s="83">
        <f t="shared" ref="I69:I70" si="39">SUM(D69:H69)</f>
        <v>58</v>
      </c>
      <c r="J69" s="55"/>
      <c r="K69" s="55"/>
      <c r="L69" s="55"/>
      <c r="M69" s="55"/>
      <c r="N69" s="4"/>
    </row>
    <row r="70">
      <c r="A70" s="1"/>
      <c r="B70" s="59" t="s">
        <v>43</v>
      </c>
      <c r="D70" s="75">
        <f>DCOUNTA('Solo&gt;Levels&gt;!'!E5:F73, 'Solo&gt;Levels&gt;!'!E5, 'Data&gt;Debug&gt;Formulas'!E40:E41)</f>
        <v>69</v>
      </c>
      <c r="E70" s="75">
        <f>DCOUNTA('Solo&gt;Levels&gt;!'!E5:F73, 'Solo&gt;Levels&gt;!'!E5, 'Data&gt;Debug&gt;Formulas'!E42:E43)</f>
        <v>24</v>
      </c>
      <c r="F70" s="75">
        <f>DCOUNTA('Solo&gt;Levels&gt;!'!E5:F73, 'Solo&gt;Levels&gt;!'!E5, 'Data&gt;Debug&gt;Formulas'!E44:E45)</f>
        <v>3</v>
      </c>
      <c r="G70" s="75">
        <f>DCOUNTA('Solo&gt;Levels&gt;!'!E5:F73, 'Solo&gt;Levels&gt;!'!E5, 'Data&gt;Debug&gt;Formulas'!E46:E47)</f>
        <v>0</v>
      </c>
      <c r="H70" s="75">
        <f>DCOUNTA('Solo&gt;Levels&gt;!'!E5:F73, 'Solo&gt;Levels&gt;!'!E5, 'Data&gt;Debug&gt;Formulas'!E48:E49)</f>
        <v>0</v>
      </c>
      <c r="I70" s="83">
        <f t="shared" si="39"/>
        <v>96</v>
      </c>
      <c r="J70" s="55"/>
      <c r="K70" s="55"/>
      <c r="L70" s="55"/>
      <c r="M70" s="55"/>
      <c r="N70" s="4"/>
    </row>
    <row r="71">
      <c r="A71" s="1"/>
      <c r="B71" s="61" t="s">
        <v>6294</v>
      </c>
      <c r="D71" s="62" t="str">
        <f t="shared" ref="D71:F71" si="40">FIXED(D69/D70, 3)</f>
        <v>0.478</v>
      </c>
      <c r="E71" s="62" t="str">
        <f t="shared" si="40"/>
        <v>0.917</v>
      </c>
      <c r="F71" s="62" t="str">
        <f t="shared" si="40"/>
        <v>1.000</v>
      </c>
      <c r="G71" s="62" t="str">
        <f>FIXED(1, 3)</f>
        <v>1.000</v>
      </c>
      <c r="H71" s="47" t="str">
        <f>"1.000"</f>
        <v>1.000</v>
      </c>
      <c r="I71" s="62" t="str">
        <f>FIXED(I69/I70, 3)</f>
        <v>0.604</v>
      </c>
      <c r="J71" s="55"/>
      <c r="K71" s="55"/>
      <c r="L71" s="55"/>
      <c r="M71" s="55"/>
      <c r="N71" s="4"/>
    </row>
    <row r="72">
      <c r="A72" s="1"/>
      <c r="B72" s="61" t="s">
        <v>6299</v>
      </c>
      <c r="D72" s="64" t="str">
        <f>IFERROR(__xludf.DUMMYFUNCTION("IF(D69/D70 = 1, SPARKLINE(D69,{""charttype"",""bar"";""color1"", ""#e3e3e5"";""max"",D70}), SPARKLINE(D69,{""charttype"",""bar"";""color1"", ""#882285"";""max"",D70}))"),"")</f>
        <v/>
      </c>
      <c r="E72" s="64" t="str">
        <f>IFERROR(__xludf.DUMMYFUNCTION("IF(E69/E70 = 1, SPARKLINE(E69,{""charttype"",""bar"";""color1"", ""#e3e3e5"";""max"",E70}), SPARKLINE(E69,{""charttype"",""bar"";""color1"", ""#882285"";""max"",E70}))"),"")</f>
        <v/>
      </c>
      <c r="F72" s="64" t="str">
        <f>IFERROR(__xludf.DUMMYFUNCTION("IF(F69/F70 = 1, SPARKLINE(F69,{""charttype"",""bar"";""color1"", ""#e3e3e5"";""max"",F70}), SPARKLINE(F69,{""charttype"",""bar"";""color1"", ""#882285"";""max"",F70}))"),"")</f>
        <v/>
      </c>
      <c r="G72" s="64" t="str">
        <f>IFERROR(__xludf.DUMMYFUNCTION("IF(1 = 1, SPARKLINE(G69,{""charttype"",""bar"";""color1"", ""#e3e3e5"";""max"",G70}), SPARKLINE(G69,{""charttype"",""bar"";""color1"", ""#882285"";""max"",G70}))"),"")</f>
        <v/>
      </c>
      <c r="H72" s="64" t="str">
        <f>IFERROR(__xludf.DUMMYFUNCTION("IF(1 = 1, SPARKLINE(H69,{""charttype"",""bar"";""color1"", ""#e3e3e5"";""max"",H70}), SPARKLINE(H69,{""charttype"",""bar"";""color1"", ""#882285"";""max"",H70}))"),"")</f>
        <v/>
      </c>
      <c r="I72" s="64" t="str">
        <f>IFERROR(__xludf.DUMMYFUNCTION("IF(I69/I70 = 1, SPARKLINE(I69,{""charttype"",""bar"";""color1"", ""#e3e3e5"";""max"",I70}), SPARKLINE(I69,{""charttype"",""bar"";""color1"", ""#882285"";""max"",I70}))"),"")</f>
        <v/>
      </c>
      <c r="J72" s="55"/>
      <c r="K72" s="55"/>
      <c r="L72" s="55"/>
      <c r="M72" s="55"/>
      <c r="N72" s="4"/>
    </row>
    <row r="73">
      <c r="A73" s="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</sheetData>
  <mergeCells count="81">
    <mergeCell ref="H18:I18"/>
    <mergeCell ref="H17:I17"/>
    <mergeCell ref="B21:C21"/>
    <mergeCell ref="B20:C20"/>
    <mergeCell ref="B17:C17"/>
    <mergeCell ref="B19:C19"/>
    <mergeCell ref="B22:C22"/>
    <mergeCell ref="H19:I19"/>
    <mergeCell ref="H20:I20"/>
    <mergeCell ref="H22:I22"/>
    <mergeCell ref="H21:I21"/>
    <mergeCell ref="B18:C18"/>
    <mergeCell ref="B12:C12"/>
    <mergeCell ref="B11:C11"/>
    <mergeCell ref="B8:C8"/>
    <mergeCell ref="D4:E4"/>
    <mergeCell ref="B4:C4"/>
    <mergeCell ref="B1:M3"/>
    <mergeCell ref="F4:G4"/>
    <mergeCell ref="H4:I4"/>
    <mergeCell ref="H12:I12"/>
    <mergeCell ref="H15:I15"/>
    <mergeCell ref="B16:C16"/>
    <mergeCell ref="B15:C15"/>
    <mergeCell ref="B13:M14"/>
    <mergeCell ref="H11:I11"/>
    <mergeCell ref="H9:I9"/>
    <mergeCell ref="H10:I10"/>
    <mergeCell ref="B6:M7"/>
    <mergeCell ref="H8:I8"/>
    <mergeCell ref="H16:I16"/>
    <mergeCell ref="B58:C58"/>
    <mergeCell ref="B57:C57"/>
    <mergeCell ref="B59:C59"/>
    <mergeCell ref="B60:C60"/>
    <mergeCell ref="B71:C71"/>
    <mergeCell ref="B72:C72"/>
    <mergeCell ref="B67:C67"/>
    <mergeCell ref="B68:C68"/>
    <mergeCell ref="B56:C56"/>
    <mergeCell ref="B66:C66"/>
    <mergeCell ref="B65:C65"/>
    <mergeCell ref="B64:C64"/>
    <mergeCell ref="B63:C63"/>
    <mergeCell ref="B40:C40"/>
    <mergeCell ref="B39:C39"/>
    <mergeCell ref="B33:C33"/>
    <mergeCell ref="B36:C36"/>
    <mergeCell ref="B34:C34"/>
    <mergeCell ref="B35:C35"/>
    <mergeCell ref="B47:C47"/>
    <mergeCell ref="B48:C48"/>
    <mergeCell ref="B41:C41"/>
    <mergeCell ref="B43:C43"/>
    <mergeCell ref="B42:C42"/>
    <mergeCell ref="B44:C44"/>
    <mergeCell ref="B31:C31"/>
    <mergeCell ref="B32:C32"/>
    <mergeCell ref="B70:C70"/>
    <mergeCell ref="B69:C69"/>
    <mergeCell ref="B53:C53"/>
    <mergeCell ref="B51:C51"/>
    <mergeCell ref="B52:C52"/>
    <mergeCell ref="B49:M50"/>
    <mergeCell ref="B37:M38"/>
    <mergeCell ref="B46:C46"/>
    <mergeCell ref="B45:C45"/>
    <mergeCell ref="H23:I23"/>
    <mergeCell ref="H24:I24"/>
    <mergeCell ref="B25:M26"/>
    <mergeCell ref="B23:C23"/>
    <mergeCell ref="B24:C24"/>
    <mergeCell ref="B10:C10"/>
    <mergeCell ref="B9:C9"/>
    <mergeCell ref="B54:C54"/>
    <mergeCell ref="B55:C55"/>
    <mergeCell ref="B61:M62"/>
    <mergeCell ref="B28:C28"/>
    <mergeCell ref="B27:C27"/>
    <mergeCell ref="B30:C30"/>
    <mergeCell ref="B29:C29"/>
  </mergeCells>
  <conditionalFormatting sqref="B1">
    <cfRule type="cellIs" dxfId="1" priority="1" operator="equal">
      <formula>"In Progress"</formula>
    </cfRule>
  </conditionalFormatting>
  <hyperlinks>
    <hyperlink display="N++&gt;Score" location="Main Menu!A1" ref="B1"/>
    <hyperlink display="Total" location="Score&gt;Total!A1" ref="B4"/>
    <hyperlink display="Pre-UE" location="Score&gt;Pre-UE!A1" ref="D4"/>
    <hyperlink display="UE" location="Score&gt;UE!A1" ref="F4"/>
  </hyperlin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70" width="3.14"/>
  </cols>
  <sheetData>
    <row r="1">
      <c r="A1" s="1"/>
      <c r="B1" s="3" t="s">
        <v>6267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>
      <c r="A2" s="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>
      <c r="A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>
      <c r="A4" s="1"/>
      <c r="B4" s="7" t="s">
        <v>43</v>
      </c>
      <c r="D4" s="7" t="s">
        <v>44</v>
      </c>
      <c r="F4" s="7" t="s">
        <v>45</v>
      </c>
      <c r="H4" s="31" t="s">
        <v>47</v>
      </c>
      <c r="J4" s="9"/>
      <c r="K4" s="9"/>
      <c r="L4" s="9"/>
      <c r="M4" s="9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>
      <c r="A6" s="1"/>
      <c r="B6" s="55" t="s">
        <v>5562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>
      <c r="A7" s="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>
      <c r="A8" s="1"/>
      <c r="B8" s="77"/>
      <c r="C8" s="77"/>
      <c r="D8" s="77"/>
      <c r="E8" s="77"/>
      <c r="F8" s="77"/>
      <c r="G8" s="78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4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4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4"/>
    </row>
    <row r="9">
      <c r="A9" s="1"/>
      <c r="B9" s="77"/>
      <c r="C9" s="77"/>
      <c r="D9" s="77"/>
      <c r="E9" s="77"/>
      <c r="F9" s="77"/>
      <c r="G9" s="78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4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4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4"/>
    </row>
    <row r="10">
      <c r="A10" s="1"/>
      <c r="B10" s="77"/>
      <c r="C10" s="77"/>
      <c r="D10" s="77"/>
      <c r="E10" s="77"/>
      <c r="F10" s="77"/>
      <c r="G10" s="78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4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4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4"/>
    </row>
    <row r="11">
      <c r="A11" s="1"/>
      <c r="B11" s="77"/>
      <c r="C11" s="77"/>
      <c r="D11" s="77"/>
      <c r="E11" s="77"/>
      <c r="F11" s="77"/>
      <c r="G11" s="78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4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4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4"/>
    </row>
    <row r="12">
      <c r="A12" s="1"/>
      <c r="B12" s="77"/>
      <c r="C12" s="77"/>
      <c r="D12" s="77"/>
      <c r="E12" s="77"/>
      <c r="F12" s="77"/>
      <c r="G12" s="78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4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4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4"/>
    </row>
    <row r="13">
      <c r="A13" s="1"/>
      <c r="B13" s="78"/>
      <c r="C13" s="78"/>
      <c r="D13" s="78"/>
      <c r="E13" s="78"/>
      <c r="F13" s="78"/>
      <c r="G13" s="78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4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4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4"/>
    </row>
    <row r="14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>
      <c r="A15" s="1"/>
      <c r="B15" s="55" t="s">
        <v>5565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>
      <c r="A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>
      <c r="A17" s="1"/>
      <c r="B17" s="77"/>
      <c r="C17" s="77"/>
      <c r="D17" s="78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4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8"/>
      <c r="AL17" s="78"/>
      <c r="AM17" s="78"/>
      <c r="AN17" s="78"/>
      <c r="AO17" s="78"/>
      <c r="AP17" s="78"/>
      <c r="AQ17" s="78"/>
      <c r="AR17" s="78"/>
      <c r="AS17" s="78"/>
      <c r="AT17" s="4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9"/>
      <c r="BP17" s="79"/>
      <c r="BQ17" s="79"/>
      <c r="BR17" s="4"/>
    </row>
    <row r="18">
      <c r="A18" s="1"/>
      <c r="B18" s="77"/>
      <c r="C18" s="77"/>
      <c r="D18" s="78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4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8"/>
      <c r="AL18" s="78"/>
      <c r="AM18" s="78"/>
      <c r="AN18" s="78"/>
      <c r="AO18" s="78"/>
      <c r="AP18" s="78"/>
      <c r="AQ18" s="78"/>
      <c r="AR18" s="78"/>
      <c r="AS18" s="78"/>
      <c r="AT18" s="4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9"/>
      <c r="BP18" s="79"/>
      <c r="BQ18" s="79"/>
      <c r="BR18" s="4"/>
    </row>
    <row r="19">
      <c r="A19" s="1"/>
      <c r="B19" s="77"/>
      <c r="C19" s="77"/>
      <c r="D19" s="78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4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8"/>
      <c r="AM19" s="78"/>
      <c r="AN19" s="78"/>
      <c r="AO19" s="78"/>
      <c r="AP19" s="78"/>
      <c r="AQ19" s="78"/>
      <c r="AR19" s="78"/>
      <c r="AS19" s="78"/>
      <c r="AT19" s="4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9"/>
      <c r="BP19" s="79"/>
      <c r="BQ19" s="79"/>
      <c r="BR19" s="4"/>
    </row>
    <row r="20">
      <c r="A20" s="1"/>
      <c r="B20" s="77"/>
      <c r="C20" s="77"/>
      <c r="D20" s="78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4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8"/>
      <c r="AM20" s="78"/>
      <c r="AN20" s="78"/>
      <c r="AO20" s="78"/>
      <c r="AP20" s="78"/>
      <c r="AQ20" s="78"/>
      <c r="AR20" s="78"/>
      <c r="AS20" s="78"/>
      <c r="AT20" s="4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9"/>
      <c r="BP20" s="79"/>
      <c r="BQ20" s="79"/>
      <c r="BR20" s="4"/>
    </row>
    <row r="21">
      <c r="A21" s="1"/>
      <c r="B21" s="77"/>
      <c r="C21" s="77"/>
      <c r="D21" s="78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4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8"/>
      <c r="AM21" s="78"/>
      <c r="AN21" s="78"/>
      <c r="AO21" s="78"/>
      <c r="AP21" s="78"/>
      <c r="AQ21" s="78"/>
      <c r="AR21" s="78"/>
      <c r="AS21" s="78"/>
      <c r="AT21" s="4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9"/>
      <c r="BP21" s="79"/>
      <c r="BQ21" s="79"/>
      <c r="BR21" s="4"/>
    </row>
    <row r="22">
      <c r="A22" s="1"/>
      <c r="B22" s="78"/>
      <c r="C22" s="78"/>
      <c r="D22" s="78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4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8"/>
      <c r="AM22" s="78"/>
      <c r="AN22" s="78"/>
      <c r="AO22" s="78"/>
      <c r="AP22" s="78"/>
      <c r="AQ22" s="78"/>
      <c r="AR22" s="78"/>
      <c r="AS22" s="78"/>
      <c r="AT22" s="4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9"/>
      <c r="BP22" s="79"/>
      <c r="BQ22" s="79"/>
      <c r="BR22" s="4"/>
    </row>
    <row r="23">
      <c r="A23" s="1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>
      <c r="A24" s="1"/>
      <c r="B24" s="55" t="s">
        <v>6318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>
      <c r="A25" s="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>
      <c r="A26" s="1"/>
      <c r="B26" s="77"/>
      <c r="C26" s="78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4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>
      <c r="A27" s="1"/>
      <c r="B27" s="77"/>
      <c r="C27" s="78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4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>
      <c r="A28" s="1"/>
      <c r="B28" s="77"/>
      <c r="C28" s="78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4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>
      <c r="A29" s="1"/>
      <c r="B29" s="77"/>
      <c r="C29" s="78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4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>
      <c r="A30" s="1"/>
      <c r="B30" s="77"/>
      <c r="C30" s="78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4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>
      <c r="A31" s="1"/>
      <c r="B31" s="78"/>
      <c r="C31" s="78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4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>
      <c r="A32" s="1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>
      <c r="A33" s="1"/>
      <c r="B33" s="55" t="s">
        <v>26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>
      <c r="A34" s="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>
      <c r="A35" s="1"/>
      <c r="B35" s="80"/>
      <c r="C35" s="80"/>
      <c r="D35" s="80"/>
      <c r="E35" s="80"/>
      <c r="F35" s="80"/>
      <c r="G35" s="78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4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4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4"/>
    </row>
    <row r="36">
      <c r="A36" s="1"/>
      <c r="B36" s="81"/>
      <c r="C36" s="81"/>
      <c r="D36" s="81"/>
      <c r="E36" s="81"/>
      <c r="F36" s="81"/>
      <c r="G36" s="78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4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4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4"/>
    </row>
    <row r="37">
      <c r="A37" s="1"/>
      <c r="B37" s="81"/>
      <c r="C37" s="81"/>
      <c r="D37" s="81"/>
      <c r="E37" s="81"/>
      <c r="F37" s="81"/>
      <c r="G37" s="78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4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4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4"/>
    </row>
    <row r="38">
      <c r="A38" s="1"/>
      <c r="B38" s="81"/>
      <c r="C38" s="81"/>
      <c r="D38" s="81"/>
      <c r="E38" s="81"/>
      <c r="F38" s="81"/>
      <c r="G38" s="78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4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4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4"/>
    </row>
    <row r="39">
      <c r="A39" s="1"/>
      <c r="B39" s="82"/>
      <c r="C39" s="82"/>
      <c r="D39" s="82"/>
      <c r="E39" s="82"/>
      <c r="F39" s="82"/>
      <c r="G39" s="78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4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4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4"/>
    </row>
    <row r="40">
      <c r="A40" s="1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</sheetData>
  <mergeCells count="74">
    <mergeCell ref="W35:W39"/>
    <mergeCell ref="T35:T39"/>
    <mergeCell ref="Y35:Y39"/>
    <mergeCell ref="X35:X39"/>
    <mergeCell ref="Z35:Z39"/>
    <mergeCell ref="AA35:AA39"/>
    <mergeCell ref="AF35:AF39"/>
    <mergeCell ref="AH35:AH39"/>
    <mergeCell ref="AG35:AG39"/>
    <mergeCell ref="I35:I39"/>
    <mergeCell ref="M35:M39"/>
    <mergeCell ref="AP35:AP39"/>
    <mergeCell ref="B33:M34"/>
    <mergeCell ref="B35:B39"/>
    <mergeCell ref="C35:C39"/>
    <mergeCell ref="D35:D39"/>
    <mergeCell ref="F35:F39"/>
    <mergeCell ref="E35:E39"/>
    <mergeCell ref="S35:S39"/>
    <mergeCell ref="R35:R39"/>
    <mergeCell ref="U35:U39"/>
    <mergeCell ref="V35:V39"/>
    <mergeCell ref="B4:C4"/>
    <mergeCell ref="D4:E4"/>
    <mergeCell ref="H4:I4"/>
    <mergeCell ref="B6:M7"/>
    <mergeCell ref="L35:L39"/>
    <mergeCell ref="O35:O39"/>
    <mergeCell ref="N35:N39"/>
    <mergeCell ref="B24:M25"/>
    <mergeCell ref="B15:M16"/>
    <mergeCell ref="F4:G4"/>
    <mergeCell ref="B1:M3"/>
    <mergeCell ref="AE35:AE39"/>
    <mergeCell ref="AC35:AC39"/>
    <mergeCell ref="AD35:AD39"/>
    <mergeCell ref="AI35:AI39"/>
    <mergeCell ref="AK35:AK39"/>
    <mergeCell ref="AY35:AY39"/>
    <mergeCell ref="AX35:AX39"/>
    <mergeCell ref="AZ35:AZ39"/>
    <mergeCell ref="AU35:AU39"/>
    <mergeCell ref="AV35:AV39"/>
    <mergeCell ref="AQ35:AQ39"/>
    <mergeCell ref="AS35:AS39"/>
    <mergeCell ref="AR35:AR39"/>
    <mergeCell ref="AT35:AT39"/>
    <mergeCell ref="BN35:BN39"/>
    <mergeCell ref="BO35:BO39"/>
    <mergeCell ref="BP35:BP39"/>
    <mergeCell ref="BQ35:BQ39"/>
    <mergeCell ref="BB35:BB39"/>
    <mergeCell ref="BE35:BE39"/>
    <mergeCell ref="BD35:BD39"/>
    <mergeCell ref="BC35:BC39"/>
    <mergeCell ref="H35:H39"/>
    <mergeCell ref="K35:K39"/>
    <mergeCell ref="J35:J39"/>
    <mergeCell ref="P35:P39"/>
    <mergeCell ref="Q35:Q39"/>
    <mergeCell ref="AL35:AL39"/>
    <mergeCell ref="AJ35:AJ39"/>
    <mergeCell ref="AM35:AM39"/>
    <mergeCell ref="AO35:AO39"/>
    <mergeCell ref="AN35:AN39"/>
    <mergeCell ref="BG35:BG39"/>
    <mergeCell ref="BF35:BF39"/>
    <mergeCell ref="BH35:BH39"/>
    <mergeCell ref="BI35:BI39"/>
    <mergeCell ref="BL35:BL39"/>
    <mergeCell ref="BM35:BM39"/>
    <mergeCell ref="BK35:BK39"/>
    <mergeCell ref="BJ35:BJ39"/>
    <mergeCell ref="BA35:BA39"/>
  </mergeCells>
  <conditionalFormatting sqref="B1">
    <cfRule type="cellIs" dxfId="1" priority="1" operator="equal">
      <formula>"In Progress"</formula>
    </cfRule>
  </conditionalFormatting>
  <hyperlinks>
    <hyperlink display="N++&gt;Score" location="Main Menu!A1" ref="B1"/>
    <hyperlink display="Total" location="Score&gt;Total!A1" ref="B4"/>
    <hyperlink display="Pre-UE" location="Score&gt;Pre-UE!A1" ref="D4"/>
    <hyperlink display="UE" location="Score&gt;UE!A1" ref="F4"/>
  </hyperlin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3" t="s">
        <v>6579</v>
      </c>
      <c r="N1" s="4"/>
    </row>
    <row r="2">
      <c r="A2" s="1"/>
      <c r="N2" s="4"/>
    </row>
    <row r="3">
      <c r="A3" s="1"/>
      <c r="N3" s="4"/>
    </row>
    <row r="4">
      <c r="A4" s="1"/>
      <c r="B4" s="7" t="s">
        <v>6581</v>
      </c>
      <c r="D4" s="7" t="s">
        <v>6583</v>
      </c>
      <c r="E4" s="6"/>
      <c r="F4" s="7" t="s">
        <v>6277</v>
      </c>
      <c r="G4" s="6"/>
      <c r="H4" s="7" t="s">
        <v>6278</v>
      </c>
      <c r="I4" s="6"/>
      <c r="J4" s="7" t="s">
        <v>6317</v>
      </c>
      <c r="K4" s="6"/>
      <c r="L4" s="31" t="s">
        <v>6586</v>
      </c>
      <c r="M4" s="6"/>
      <c r="N4" s="12"/>
    </row>
    <row r="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1"/>
      <c r="B6" s="84" t="s">
        <v>6587</v>
      </c>
      <c r="D6" s="84"/>
      <c r="E6" s="84"/>
      <c r="F6" s="84"/>
      <c r="G6" s="84"/>
      <c r="H6" s="85"/>
      <c r="I6" s="85"/>
      <c r="J6" s="85"/>
      <c r="K6" s="85"/>
      <c r="L6" s="85"/>
      <c r="M6" s="85"/>
      <c r="N6" s="4"/>
    </row>
    <row r="7">
      <c r="A7" s="1"/>
      <c r="D7" s="84"/>
      <c r="E7" s="84"/>
      <c r="F7" s="84"/>
      <c r="G7" s="84"/>
      <c r="H7" s="85"/>
      <c r="I7" s="85"/>
      <c r="J7" s="85"/>
      <c r="K7" s="85"/>
      <c r="L7" s="85"/>
      <c r="M7" s="85"/>
      <c r="N7" s="4"/>
    </row>
    <row r="8">
      <c r="A8" s="1"/>
      <c r="B8" s="86" t="s">
        <v>6591</v>
      </c>
      <c r="N8" s="4"/>
    </row>
    <row r="9">
      <c r="A9" s="1"/>
      <c r="N9" s="4"/>
    </row>
    <row r="10">
      <c r="A10" s="1"/>
      <c r="B10" s="55" t="s">
        <v>6593</v>
      </c>
      <c r="H10" s="56" t="str">
        <f>FIXED((J19) / (J20), 6)</f>
        <v>#DIV/0!</v>
      </c>
      <c r="N10" s="4"/>
    </row>
    <row r="11">
      <c r="A11" s="1"/>
      <c r="N11" s="4"/>
    </row>
    <row r="12">
      <c r="A12" s="1"/>
      <c r="B12" s="55" t="s">
        <v>6586</v>
      </c>
      <c r="H12" s="56" t="str">
        <f>J19 &amp; "/" &amp; J20</f>
        <v>0/0</v>
      </c>
      <c r="N12" s="4"/>
    </row>
    <row r="13">
      <c r="A13" s="1"/>
      <c r="N13" s="4"/>
    </row>
    <row r="14">
      <c r="A14" s="1"/>
      <c r="B14" s="57" t="str">
        <f t="array" ref="B14">IF((J19) / (J20) = 1, SPARKLINE((J19),{"charttype","bar";"color1", "#e3e3e5";"max",(J20)}), SPARKLINE((J19),{"charttype","bar";"color1", "#882285";"max",(J20)}))</f>
        <v>#DIV/0!</v>
      </c>
      <c r="N14" s="4"/>
    </row>
    <row r="15">
      <c r="A15" s="1"/>
      <c r="N15" s="4"/>
    </row>
    <row r="16">
      <c r="A16" s="1"/>
      <c r="B16" s="55" t="s">
        <v>43</v>
      </c>
      <c r="N16" s="4"/>
    </row>
    <row r="17">
      <c r="A17" s="1"/>
      <c r="N17" s="4"/>
    </row>
    <row r="18">
      <c r="A18" s="1"/>
      <c r="B18" s="58" t="s">
        <v>5562</v>
      </c>
      <c r="D18" s="9" t="s">
        <v>2</v>
      </c>
      <c r="E18" s="9" t="s">
        <v>3</v>
      </c>
      <c r="F18" s="9" t="s">
        <v>5671</v>
      </c>
      <c r="G18" s="9" t="s">
        <v>5</v>
      </c>
      <c r="H18" s="9" t="s">
        <v>6</v>
      </c>
      <c r="I18" s="9" t="s">
        <v>7</v>
      </c>
      <c r="J18" s="9" t="s">
        <v>5566</v>
      </c>
      <c r="K18" s="55"/>
      <c r="L18" s="55"/>
      <c r="M18" s="55"/>
      <c r="N18" s="4"/>
    </row>
    <row r="19">
      <c r="A19" s="1"/>
      <c r="B19" s="59" t="s">
        <v>6288</v>
      </c>
      <c r="D19" s="47">
        <f t="shared" ref="D19:D20" si="1">E26</f>
        <v>0</v>
      </c>
      <c r="E19" s="47">
        <f t="shared" ref="E19:E20" si="2">E29</f>
        <v>0</v>
      </c>
      <c r="F19" s="47">
        <f t="shared" ref="F19:F20" si="3">E32</f>
        <v>0</v>
      </c>
      <c r="G19" s="47">
        <f t="shared" ref="G19:G20" si="4">E35</f>
        <v>0</v>
      </c>
      <c r="H19" s="47">
        <f t="shared" ref="H19:H20" si="5">E38</f>
        <v>0</v>
      </c>
      <c r="I19" s="47">
        <f t="shared" ref="I19:I20" si="6">E41</f>
        <v>0</v>
      </c>
      <c r="J19" s="47">
        <f t="shared" ref="J19:J20" si="7">SUM(E19:H19)</f>
        <v>0</v>
      </c>
      <c r="K19" s="55"/>
      <c r="L19" s="55"/>
      <c r="M19" s="55"/>
      <c r="N19" s="4"/>
    </row>
    <row r="20">
      <c r="A20" s="1"/>
      <c r="B20" s="59" t="s">
        <v>43</v>
      </c>
      <c r="D20" s="47">
        <f t="shared" si="1"/>
        <v>0</v>
      </c>
      <c r="E20" s="47">
        <f t="shared" si="2"/>
        <v>0</v>
      </c>
      <c r="F20" s="47">
        <f t="shared" si="3"/>
        <v>0</v>
      </c>
      <c r="G20" s="47">
        <f t="shared" si="4"/>
        <v>0</v>
      </c>
      <c r="H20" s="47">
        <f t="shared" si="5"/>
        <v>0</v>
      </c>
      <c r="I20" s="47">
        <f t="shared" si="6"/>
        <v>0</v>
      </c>
      <c r="J20" s="47">
        <f t="shared" si="7"/>
        <v>0</v>
      </c>
      <c r="K20" s="55"/>
      <c r="L20" s="55"/>
      <c r="M20" s="55"/>
      <c r="N20" s="4"/>
    </row>
    <row r="21">
      <c r="A21" s="1"/>
      <c r="B21" s="87" t="s">
        <v>6294</v>
      </c>
      <c r="D21" s="62" t="str">
        <f t="shared" ref="D21:I21" si="8">IFERROR(FIXED(D19/D20, 3), FIXED(0, 3))</f>
        <v>0.000</v>
      </c>
      <c r="E21" s="62" t="str">
        <f t="shared" si="8"/>
        <v>0.000</v>
      </c>
      <c r="F21" s="62" t="str">
        <f t="shared" si="8"/>
        <v>0.000</v>
      </c>
      <c r="G21" s="62" t="str">
        <f t="shared" si="8"/>
        <v>0.000</v>
      </c>
      <c r="H21" s="62" t="str">
        <f t="shared" si="8"/>
        <v>0.000</v>
      </c>
      <c r="I21" s="62" t="str">
        <f t="shared" si="8"/>
        <v>0.000</v>
      </c>
      <c r="J21" s="62" t="str">
        <f>FIXED(J19/J20, 3)</f>
        <v>#DIV/0!</v>
      </c>
      <c r="K21" s="55"/>
      <c r="L21" s="55"/>
      <c r="M21" s="55"/>
      <c r="N21" s="4"/>
    </row>
    <row r="22">
      <c r="A22" s="1"/>
      <c r="B22" s="87" t="s">
        <v>6299</v>
      </c>
      <c r="D22" s="64"/>
      <c r="E22" s="64" t="str">
        <f t="array" ref="E22">IF(E19/E20 = 1, SPARKLINE(E19,{"charttype","bar";"color1", "#e3e3e5";"max",E20}), SPARKLINE(E19,{"charttype","bar";"color1", "#882285";"max",E20}))</f>
        <v>#DIV/0!</v>
      </c>
      <c r="F22" s="64"/>
      <c r="G22" s="64"/>
      <c r="H22" s="64"/>
      <c r="I22" s="64"/>
      <c r="J22" s="64"/>
      <c r="K22" s="55"/>
      <c r="L22" s="55"/>
      <c r="M22" s="55"/>
      <c r="N22" s="4"/>
    </row>
    <row r="23">
      <c r="A23" s="1"/>
      <c r="B23" s="55" t="s">
        <v>5562</v>
      </c>
      <c r="N23" s="4"/>
    </row>
    <row r="24">
      <c r="A24" s="1"/>
      <c r="N24" s="4"/>
    </row>
    <row r="25">
      <c r="A25" s="1"/>
      <c r="B25" s="67" t="s">
        <v>2</v>
      </c>
      <c r="D25" s="88" t="s">
        <v>6632</v>
      </c>
      <c r="E25" s="9" t="s">
        <v>5566</v>
      </c>
      <c r="F25" s="55"/>
      <c r="G25" s="9"/>
      <c r="H25" s="9"/>
      <c r="I25" s="55"/>
      <c r="J25" s="62"/>
      <c r="K25" s="62"/>
      <c r="L25" s="62"/>
      <c r="M25" s="62"/>
      <c r="N25" s="62"/>
    </row>
    <row r="26">
      <c r="A26" s="1"/>
      <c r="B26" s="59" t="s">
        <v>6288</v>
      </c>
      <c r="D26" s="47"/>
      <c r="E26" s="47">
        <f t="shared" ref="E26:E27" si="9">SUM(D26)</f>
        <v>0</v>
      </c>
      <c r="F26" s="55"/>
      <c r="G26" s="47"/>
      <c r="H26" s="47"/>
      <c r="I26" s="55"/>
      <c r="J26" s="62"/>
      <c r="K26" s="62"/>
      <c r="L26" s="62"/>
      <c r="M26" s="62"/>
      <c r="N26" s="62"/>
    </row>
    <row r="27">
      <c r="A27" s="1"/>
      <c r="B27" s="59" t="s">
        <v>43</v>
      </c>
      <c r="D27" s="47"/>
      <c r="E27" s="47">
        <f t="shared" si="9"/>
        <v>0</v>
      </c>
      <c r="F27" s="55"/>
      <c r="G27" s="89"/>
      <c r="H27" s="47"/>
      <c r="I27" s="89"/>
      <c r="J27" s="62"/>
      <c r="K27" s="62"/>
      <c r="L27" s="62"/>
      <c r="M27" s="62"/>
      <c r="N27" s="62"/>
    </row>
    <row r="28">
      <c r="A28" s="1"/>
      <c r="B28" s="67" t="s">
        <v>3</v>
      </c>
      <c r="D28" s="9" t="s">
        <v>6632</v>
      </c>
      <c r="E28" s="9" t="s">
        <v>5566</v>
      </c>
      <c r="F28" s="9"/>
      <c r="G28" s="9"/>
      <c r="H28" s="9"/>
      <c r="I28" s="10"/>
      <c r="J28" s="62"/>
      <c r="K28" s="62"/>
      <c r="L28" s="62"/>
      <c r="M28" s="62"/>
      <c r="N28" s="62"/>
    </row>
    <row r="29">
      <c r="A29" s="1"/>
      <c r="B29" s="59" t="s">
        <v>6288</v>
      </c>
      <c r="D29" s="47">
        <f>DCOUNTA('Solo&gt;Levels&gt;N++'!E5:F43, 'Solo&gt;Levels&gt;N++'!E5, 'Data&gt;Debug&gt;Formulas'!E24:E29)</f>
        <v>0</v>
      </c>
      <c r="E29" s="47">
        <f t="shared" ref="E29:E30" si="10">SUM(D29)</f>
        <v>0</v>
      </c>
      <c r="F29" s="47"/>
      <c r="G29" s="47"/>
      <c r="H29" s="47"/>
      <c r="I29" s="10"/>
      <c r="J29" s="62"/>
      <c r="K29" s="62"/>
      <c r="L29" s="62"/>
      <c r="M29" s="62"/>
      <c r="N29" s="62"/>
    </row>
    <row r="30">
      <c r="A30" s="1"/>
      <c r="B30" s="59" t="s">
        <v>43</v>
      </c>
      <c r="D30" s="47">
        <f>DCOUNTA('Solo&gt;Levels&gt;N++'!E5:F43, 'Solo&gt;Levels&gt;N++'!E5, 'Data&gt;Debug&gt;Formulas'!E24:F29)</f>
        <v>0</v>
      </c>
      <c r="E30" s="47">
        <f t="shared" si="10"/>
        <v>0</v>
      </c>
      <c r="F30" s="47"/>
      <c r="G30" s="47"/>
      <c r="H30" s="47"/>
      <c r="I30" s="55"/>
      <c r="K30" s="55"/>
      <c r="M30" s="4"/>
      <c r="N30" s="4"/>
    </row>
    <row r="31">
      <c r="A31" s="1"/>
      <c r="B31" s="69" t="s">
        <v>4</v>
      </c>
      <c r="D31" s="9" t="s">
        <v>6632</v>
      </c>
      <c r="E31" s="9" t="s">
        <v>5566</v>
      </c>
      <c r="F31" s="47"/>
      <c r="G31" s="47"/>
      <c r="H31" s="47"/>
      <c r="I31" s="55"/>
      <c r="J31" s="55"/>
      <c r="K31" s="55"/>
      <c r="L31" s="55"/>
      <c r="M31" s="4"/>
      <c r="N31" s="4"/>
    </row>
    <row r="32">
      <c r="A32" s="1"/>
      <c r="B32" s="59" t="s">
        <v>6288</v>
      </c>
      <c r="D32" s="47"/>
      <c r="E32" s="47">
        <f t="shared" ref="E32:E33" si="11">SUM(D32)</f>
        <v>0</v>
      </c>
      <c r="F32" s="47"/>
      <c r="G32" s="47"/>
      <c r="H32" s="47"/>
      <c r="I32" s="55"/>
      <c r="J32" s="55"/>
      <c r="K32" s="55"/>
      <c r="L32" s="55"/>
      <c r="M32" s="4"/>
      <c r="N32" s="4"/>
    </row>
    <row r="33">
      <c r="A33" s="1"/>
      <c r="B33" s="59" t="s">
        <v>43</v>
      </c>
      <c r="D33" s="47"/>
      <c r="E33" s="47">
        <f t="shared" si="11"/>
        <v>0</v>
      </c>
      <c r="F33" s="47"/>
      <c r="G33" s="47"/>
      <c r="H33" s="47"/>
      <c r="I33" s="55"/>
      <c r="J33" s="55"/>
      <c r="K33" s="55"/>
      <c r="L33" s="55"/>
      <c r="M33" s="4"/>
      <c r="N33" s="4"/>
    </row>
    <row r="34">
      <c r="A34" s="1"/>
      <c r="B34" s="7" t="s">
        <v>5</v>
      </c>
      <c r="D34" s="9" t="s">
        <v>6632</v>
      </c>
      <c r="E34" s="9" t="s">
        <v>5566</v>
      </c>
      <c r="F34" s="55"/>
      <c r="G34" s="9"/>
      <c r="H34" s="9"/>
      <c r="I34" s="55"/>
      <c r="J34" s="55"/>
      <c r="K34" s="55"/>
      <c r="L34" s="55"/>
      <c r="M34" s="4"/>
      <c r="N34" s="4"/>
    </row>
    <row r="35">
      <c r="A35" s="1"/>
      <c r="B35" s="59" t="s">
        <v>6288</v>
      </c>
      <c r="D35" s="47"/>
      <c r="E35" s="47">
        <f t="shared" ref="E35:E36" si="12">SUM(D35)</f>
        <v>0</v>
      </c>
      <c r="F35" s="55"/>
      <c r="G35" s="9"/>
      <c r="H35" s="47"/>
      <c r="I35" s="55"/>
      <c r="J35" s="55"/>
      <c r="K35" s="55"/>
      <c r="L35" s="55"/>
      <c r="M35" s="4"/>
      <c r="N35" s="4"/>
    </row>
    <row r="36">
      <c r="A36" s="1"/>
      <c r="B36" s="59" t="s">
        <v>43</v>
      </c>
      <c r="D36" s="47"/>
      <c r="E36" s="47">
        <f t="shared" si="12"/>
        <v>0</v>
      </c>
      <c r="F36" s="55"/>
      <c r="G36" s="9"/>
      <c r="H36" s="47"/>
      <c r="I36" s="55"/>
      <c r="J36" s="55"/>
      <c r="K36" s="55"/>
      <c r="L36" s="55"/>
      <c r="M36" s="4"/>
      <c r="N36" s="4"/>
    </row>
    <row r="37">
      <c r="A37" s="1"/>
      <c r="B37" s="7" t="s">
        <v>6</v>
      </c>
      <c r="D37" s="9" t="s">
        <v>6632</v>
      </c>
      <c r="E37" s="9" t="s">
        <v>5566</v>
      </c>
      <c r="F37" s="9"/>
      <c r="G37" s="55"/>
      <c r="H37" s="9"/>
      <c r="I37" s="55"/>
      <c r="J37" s="55"/>
      <c r="K37" s="55"/>
      <c r="L37" s="55"/>
      <c r="M37" s="4"/>
      <c r="N37" s="4"/>
    </row>
    <row r="38">
      <c r="A38" s="1"/>
      <c r="B38" s="59" t="s">
        <v>6288</v>
      </c>
      <c r="D38" s="47"/>
      <c r="E38" s="47">
        <f t="shared" ref="E38:E39" si="13">SUM(D38)</f>
        <v>0</v>
      </c>
      <c r="F38" s="47"/>
      <c r="G38" s="55"/>
      <c r="H38" s="47"/>
      <c r="I38" s="55"/>
      <c r="J38" s="55"/>
      <c r="K38" s="55"/>
      <c r="L38" s="55"/>
      <c r="M38" s="4"/>
      <c r="N38" s="4"/>
    </row>
    <row r="39">
      <c r="A39" s="1"/>
      <c r="B39" s="59" t="s">
        <v>43</v>
      </c>
      <c r="D39" s="47"/>
      <c r="E39" s="47">
        <f t="shared" si="13"/>
        <v>0</v>
      </c>
      <c r="F39" s="47"/>
      <c r="G39" s="55"/>
      <c r="H39" s="47"/>
      <c r="I39" s="55"/>
      <c r="J39" s="55"/>
      <c r="K39" s="55"/>
      <c r="L39" s="55"/>
      <c r="M39" s="4"/>
      <c r="N39" s="4"/>
    </row>
    <row r="40">
      <c r="A40" s="1"/>
      <c r="B40" s="7" t="s">
        <v>7</v>
      </c>
      <c r="D40" s="9" t="s">
        <v>6632</v>
      </c>
      <c r="E40" s="9" t="s">
        <v>5566</v>
      </c>
      <c r="F40" s="47"/>
      <c r="G40" s="47"/>
      <c r="H40" s="47"/>
      <c r="I40" s="55"/>
      <c r="J40" s="55"/>
      <c r="K40" s="55"/>
      <c r="L40" s="55"/>
      <c r="M40" s="4"/>
      <c r="N40" s="4"/>
    </row>
    <row r="41">
      <c r="A41" s="1"/>
      <c r="B41" s="59" t="s">
        <v>6288</v>
      </c>
      <c r="D41" s="47"/>
      <c r="E41" s="47">
        <f t="shared" ref="E41:E42" si="14">SUM(D41)</f>
        <v>0</v>
      </c>
      <c r="F41" s="47"/>
      <c r="G41" s="47"/>
      <c r="H41" s="47"/>
      <c r="I41" s="55"/>
      <c r="J41" s="55"/>
      <c r="K41" s="55"/>
      <c r="L41" s="55"/>
      <c r="M41" s="4"/>
      <c r="N41" s="4"/>
    </row>
    <row r="42">
      <c r="A42" s="1"/>
      <c r="B42" s="59" t="s">
        <v>43</v>
      </c>
      <c r="D42" s="47"/>
      <c r="E42" s="47">
        <f t="shared" si="14"/>
        <v>0</v>
      </c>
      <c r="F42" s="47"/>
      <c r="G42" s="47"/>
      <c r="H42" s="47"/>
      <c r="I42" s="55"/>
      <c r="J42" s="55"/>
      <c r="K42" s="55"/>
      <c r="L42" s="55"/>
      <c r="M42" s="4"/>
      <c r="N42" s="4"/>
    </row>
    <row r="43">
      <c r="A43" s="1"/>
      <c r="B43" s="59"/>
      <c r="C43" s="59"/>
      <c r="D43" s="47"/>
      <c r="E43" s="47"/>
      <c r="F43" s="47"/>
      <c r="G43" s="47"/>
      <c r="H43" s="47"/>
      <c r="I43" s="10"/>
      <c r="J43" s="10"/>
      <c r="K43" s="10"/>
      <c r="L43" s="63"/>
      <c r="M43" s="9"/>
      <c r="N43" s="9"/>
    </row>
  </sheetData>
  <mergeCells count="41">
    <mergeCell ref="B28:C28"/>
    <mergeCell ref="B23:M24"/>
    <mergeCell ref="B25:C25"/>
    <mergeCell ref="H10:M11"/>
    <mergeCell ref="B8:M9"/>
    <mergeCell ref="B16:M17"/>
    <mergeCell ref="B14:M15"/>
    <mergeCell ref="L4:M4"/>
    <mergeCell ref="J4:K4"/>
    <mergeCell ref="H4:I4"/>
    <mergeCell ref="F4:G4"/>
    <mergeCell ref="K30:L30"/>
    <mergeCell ref="I30:J30"/>
    <mergeCell ref="B12:G13"/>
    <mergeCell ref="B6:C7"/>
    <mergeCell ref="B29:C29"/>
    <mergeCell ref="B30:C30"/>
    <mergeCell ref="B20:C20"/>
    <mergeCell ref="B18:C18"/>
    <mergeCell ref="B19:C19"/>
    <mergeCell ref="B21:C21"/>
    <mergeCell ref="B22:C22"/>
    <mergeCell ref="B37:C37"/>
    <mergeCell ref="B38:C38"/>
    <mergeCell ref="B40:C40"/>
    <mergeCell ref="B42:C42"/>
    <mergeCell ref="B41:C41"/>
    <mergeCell ref="B39:C39"/>
    <mergeCell ref="B27:C27"/>
    <mergeCell ref="B26:C26"/>
    <mergeCell ref="B35:C35"/>
    <mergeCell ref="B33:C33"/>
    <mergeCell ref="B34:C34"/>
    <mergeCell ref="B32:C32"/>
    <mergeCell ref="B31:C31"/>
    <mergeCell ref="B36:C36"/>
    <mergeCell ref="D4:E4"/>
    <mergeCell ref="B4:C4"/>
    <mergeCell ref="B1:M3"/>
    <mergeCell ref="H12:M13"/>
    <mergeCell ref="B10:G11"/>
  </mergeCells>
  <conditionalFormatting sqref="B1">
    <cfRule type="cellIs" dxfId="1" priority="1" operator="equal">
      <formula>"In Progress"</formula>
    </cfRule>
  </conditionalFormatting>
  <hyperlinks>
    <hyperlink display="N++&gt;Data" location="Main Menu!A1" ref="B1"/>
    <hyperlink display="Player List" location="Players&gt;List!A1" ref="B4"/>
    <hyperlink display="Player Videos" location="Players&gt;Videos!A1" ref="D4"/>
    <hyperlink display="Total Score" location="Score&gt;Total!A1" ref="F4"/>
    <hyperlink display="Pre-UE Score" location="Score&gt;Pre-UE!A1" ref="H4"/>
    <hyperlink display="UE Score" location="Score&gt;UE!A1" ref="J4"/>
    <hyperlink display="Intro" location="Solo&gt;Levels&gt;Intro!A1" ref="B25"/>
    <hyperlink display="N++" location="Solo&gt;Levels&gt;N++!A1" ref="B28"/>
    <hyperlink display="Legacy" location="Solo&gt;Levels&gt;Legacy!A1" ref="B34"/>
    <hyperlink display="?" location="Solo&gt;Levels&gt;!A1" ref="B37"/>
    <hyperlink display="!" location="Solo&gt;Levels&gt;!!A1" ref="B40"/>
  </hyperlin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1"/>
      <c r="B1" s="90" t="s">
        <v>6579</v>
      </c>
      <c r="N1" s="4"/>
    </row>
    <row r="2">
      <c r="A2" s="1"/>
      <c r="N2" s="4"/>
    </row>
    <row r="3">
      <c r="A3" s="1"/>
      <c r="N3" s="4"/>
    </row>
    <row r="4">
      <c r="A4" s="1"/>
      <c r="B4" s="5"/>
      <c r="F4" s="5"/>
      <c r="J4" s="5" t="s">
        <v>6667</v>
      </c>
      <c r="N4" s="12"/>
    </row>
    <row r="5">
      <c r="A5" s="1"/>
      <c r="B5" s="91">
        <f>IFERROR(__xludf.DUMMYFUNCTION("SPLIT(J6, "" "", TRUE, TRUE)"),0.35208333333333336)</f>
        <v>0.3520833333</v>
      </c>
      <c r="C5" s="12" t="str">
        <f>IFERROR(__xludf.DUMMYFUNCTION("""COMPUTED_VALUE"""),"PM")</f>
        <v>PM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12"/>
    </row>
    <row r="6">
      <c r="A6" s="1"/>
      <c r="B6" s="93" t="str">
        <f>TEXT(NOW(), "dddd")</f>
        <v>Monday</v>
      </c>
      <c r="C6" s="6"/>
      <c r="D6" s="93" t="str">
        <f>TEXT(NOW(), "mmmm")</f>
        <v>May</v>
      </c>
      <c r="E6" s="6"/>
      <c r="F6" s="93" t="str">
        <f>TEXT(NOW(), "dd")</f>
        <v>06</v>
      </c>
      <c r="G6" s="6"/>
      <c r="H6" s="93" t="str">
        <f>TEXT(NOW(), "yyyy")</f>
        <v>2019</v>
      </c>
      <c r="I6" s="6"/>
      <c r="J6" s="93" t="str">
        <f>TEXT(NOW(), "h:mm AM/PM")</f>
        <v>8:27 PM</v>
      </c>
      <c r="K6" s="6"/>
      <c r="L6" s="93" t="s">
        <v>2</v>
      </c>
      <c r="M6" s="6"/>
      <c r="N6" s="12"/>
    </row>
    <row r="7">
      <c r="A7" s="1"/>
      <c r="B7" s="4"/>
      <c r="C7" s="4"/>
      <c r="D7" s="4"/>
      <c r="E7" s="94" t="s">
        <v>9</v>
      </c>
      <c r="F7" s="94" t="s">
        <v>10</v>
      </c>
      <c r="G7" s="4"/>
      <c r="H7" s="95" t="str">
        <f>'Players&gt;List'!$B20 &amp; "++" &amp; 'Players&gt;List'!$B19</f>
        <v>[KOS]++[HIT]</v>
      </c>
      <c r="J7" s="4"/>
      <c r="K7" s="4"/>
      <c r="L7" s="4"/>
      <c r="M7" s="4"/>
      <c r="N7" s="4"/>
    </row>
    <row r="8">
      <c r="A8" s="1"/>
      <c r="B8" s="4"/>
      <c r="C8" s="4"/>
      <c r="D8" s="4"/>
      <c r="E8" s="94" t="s">
        <v>14</v>
      </c>
      <c r="F8" s="94" t="s">
        <v>6676</v>
      </c>
      <c r="G8" s="4"/>
      <c r="H8" s="95" t="str">
        <f>'Players&gt;List'!$B11 &amp; "++" &amp; 'Players&gt;List'!$B29</f>
        <v>[CHB]++[SYS]</v>
      </c>
      <c r="J8" s="4"/>
      <c r="K8" s="4"/>
      <c r="L8" s="4"/>
      <c r="M8" s="4"/>
      <c r="N8" s="4"/>
    </row>
    <row r="9">
      <c r="A9" s="1"/>
      <c r="B9" s="4"/>
      <c r="C9" s="4"/>
      <c r="D9" s="4"/>
      <c r="E9" s="94" t="s">
        <v>9</v>
      </c>
      <c r="F9" s="94" t="s">
        <v>10</v>
      </c>
      <c r="G9" s="4"/>
      <c r="H9" s="95" t="str">
        <f>'Players&gt;List'!$B17 &amp; "++" &amp; 'Players&gt;List'!$B8</f>
        <v>[GOL]++[ABA]</v>
      </c>
      <c r="J9" s="4"/>
      <c r="K9" s="4"/>
      <c r="L9" s="4"/>
      <c r="M9" s="4"/>
      <c r="N9" s="4"/>
    </row>
    <row r="10">
      <c r="A10" s="1"/>
      <c r="B10" s="4"/>
      <c r="C10" s="4"/>
      <c r="D10" s="4"/>
      <c r="E10" s="94" t="s">
        <v>4390</v>
      </c>
      <c r="F10" s="94" t="s">
        <v>6676</v>
      </c>
      <c r="G10" s="4"/>
      <c r="H10" s="95" t="str">
        <f>'Players&gt;List'!$B17 &amp; "++" &amp; 'Players&gt;List'!$B23</f>
        <v>[GOL]++[MOL]</v>
      </c>
      <c r="J10" s="4"/>
      <c r="K10" s="4"/>
      <c r="L10" s="4"/>
      <c r="M10" s="4"/>
      <c r="N10" s="4"/>
    </row>
    <row r="11">
      <c r="A11" s="1"/>
      <c r="B11" s="4"/>
      <c r="C11" s="4"/>
      <c r="D11" s="4"/>
      <c r="E11" s="94" t="s">
        <v>9</v>
      </c>
      <c r="F11" s="94" t="s">
        <v>10</v>
      </c>
      <c r="G11" s="4"/>
      <c r="H11" s="95" t="str">
        <f>'Players&gt;List'!$B32 &amp; "++" &amp; 'Players&gt;List'!$B31</f>
        <v>[XEL]++[WHA]</v>
      </c>
      <c r="J11" s="4"/>
      <c r="K11" s="4"/>
      <c r="L11" s="4"/>
      <c r="M11" s="4"/>
      <c r="N11" s="4"/>
    </row>
    <row r="12">
      <c r="A12" s="1"/>
      <c r="B12" s="4"/>
      <c r="C12" s="4"/>
      <c r="D12" s="4"/>
      <c r="E12" s="94" t="s">
        <v>90</v>
      </c>
      <c r="F12" s="94" t="s">
        <v>6676</v>
      </c>
      <c r="G12" s="4"/>
      <c r="H12" s="95" t="str">
        <f>'Players&gt;List'!$B13 &amp; "++" &amp; 'Players&gt;List'!$B14</f>
        <v>[ES2]++[ESP]</v>
      </c>
      <c r="J12" s="4"/>
      <c r="K12" s="4"/>
      <c r="L12" s="4"/>
      <c r="M12" s="4"/>
      <c r="N12" s="4"/>
    </row>
    <row r="13">
      <c r="A13" s="1"/>
      <c r="B13" s="4"/>
      <c r="C13" s="4"/>
      <c r="D13" s="4"/>
      <c r="E13" s="94" t="s">
        <v>110</v>
      </c>
      <c r="F13" s="94" t="s">
        <v>6676</v>
      </c>
      <c r="G13" s="4"/>
      <c r="H13" s="4"/>
      <c r="I13" s="4"/>
      <c r="J13" s="4"/>
      <c r="K13" s="4"/>
      <c r="L13" s="4"/>
      <c r="M13" s="4"/>
      <c r="N13" s="4"/>
    </row>
    <row r="14">
      <c r="A14" s="1"/>
      <c r="B14" s="4"/>
      <c r="C14" s="4"/>
      <c r="D14" s="4"/>
      <c r="E14" s="94" t="s">
        <v>234</v>
      </c>
      <c r="F14" s="94" t="s">
        <v>6676</v>
      </c>
      <c r="G14" s="4"/>
      <c r="H14" s="4"/>
      <c r="I14" s="4"/>
      <c r="J14" s="4"/>
      <c r="K14" s="4"/>
      <c r="L14" s="4"/>
      <c r="M14" s="4"/>
      <c r="N14" s="4"/>
    </row>
    <row r="15">
      <c r="A15" s="1"/>
      <c r="B15" s="4"/>
      <c r="C15" s="4"/>
      <c r="D15" s="4"/>
      <c r="E15" s="94" t="s">
        <v>380</v>
      </c>
      <c r="F15" s="94" t="s">
        <v>6676</v>
      </c>
      <c r="G15" s="4"/>
      <c r="H15" s="4"/>
      <c r="I15" s="4"/>
      <c r="J15" s="4"/>
      <c r="K15" s="4"/>
      <c r="L15" s="4"/>
      <c r="M15" s="4"/>
      <c r="N15" s="4"/>
    </row>
    <row r="16">
      <c r="A16" s="1"/>
      <c r="B16" s="4"/>
      <c r="C16" s="4"/>
      <c r="D16" s="4"/>
      <c r="E16" s="94" t="s">
        <v>915</v>
      </c>
      <c r="F16" s="94" t="s">
        <v>6676</v>
      </c>
      <c r="G16" s="4"/>
      <c r="H16" s="4"/>
      <c r="I16" s="4"/>
      <c r="J16" s="4"/>
      <c r="K16" s="4"/>
      <c r="L16" s="4"/>
      <c r="M16" s="4"/>
      <c r="N16" s="4"/>
    </row>
    <row r="17">
      <c r="A17" s="1"/>
      <c r="B17" s="4"/>
      <c r="C17" s="4"/>
      <c r="D17" s="4"/>
      <c r="E17" s="94" t="s">
        <v>6683</v>
      </c>
      <c r="F17" s="94" t="s">
        <v>6676</v>
      </c>
      <c r="G17" s="4"/>
      <c r="H17" s="4"/>
      <c r="I17" s="4"/>
      <c r="J17" s="4"/>
      <c r="K17" s="4"/>
      <c r="L17" s="4"/>
      <c r="M17" s="4"/>
      <c r="N17" s="4"/>
    </row>
    <row r="18">
      <c r="A18" s="1"/>
      <c r="B18" s="4"/>
      <c r="C18" s="4"/>
      <c r="D18" s="4"/>
      <c r="E18" s="94" t="s">
        <v>6684</v>
      </c>
      <c r="F18" s="94" t="s">
        <v>6676</v>
      </c>
      <c r="G18" s="4"/>
      <c r="H18" s="4"/>
      <c r="I18" s="4"/>
      <c r="J18" s="4"/>
      <c r="K18" s="4"/>
      <c r="L18" s="4"/>
      <c r="M18" s="4"/>
      <c r="N18" s="4"/>
    </row>
    <row r="19">
      <c r="A19" s="1"/>
      <c r="B19" s="4"/>
      <c r="C19" s="4"/>
      <c r="D19" s="4"/>
      <c r="E19" s="94" t="s">
        <v>6685</v>
      </c>
      <c r="F19" s="94" t="s">
        <v>6676</v>
      </c>
      <c r="G19" s="4"/>
      <c r="H19" s="4"/>
      <c r="I19" s="4"/>
      <c r="J19" s="4"/>
      <c r="K19" s="4"/>
      <c r="L19" s="4"/>
      <c r="M19" s="4"/>
      <c r="N19" s="4"/>
    </row>
    <row r="20">
      <c r="A20" s="1"/>
      <c r="B20" s="4"/>
      <c r="C20" s="4"/>
      <c r="D20" s="4"/>
      <c r="E20" s="94" t="s">
        <v>6686</v>
      </c>
      <c r="F20" s="94" t="s">
        <v>6676</v>
      </c>
      <c r="G20" s="4"/>
      <c r="H20" s="4"/>
      <c r="I20" s="4"/>
      <c r="J20" s="4"/>
      <c r="K20" s="4"/>
      <c r="L20" s="4"/>
      <c r="M20" s="4"/>
      <c r="N20" s="4"/>
    </row>
    <row r="21">
      <c r="A21" s="1"/>
      <c r="B21" s="4"/>
      <c r="C21" s="4"/>
      <c r="D21" s="4"/>
      <c r="E21" s="94" t="s">
        <v>6688</v>
      </c>
      <c r="F21" s="94" t="s">
        <v>6676</v>
      </c>
      <c r="G21" s="4"/>
      <c r="H21" s="4"/>
      <c r="I21" s="4"/>
      <c r="J21" s="4"/>
      <c r="K21" s="4"/>
      <c r="L21" s="4"/>
      <c r="M21" s="4"/>
      <c r="N21" s="4"/>
    </row>
    <row r="22">
      <c r="A22" s="1"/>
      <c r="B22" s="4"/>
      <c r="C22" s="4"/>
      <c r="D22" s="4"/>
      <c r="E22" s="94" t="s">
        <v>9</v>
      </c>
      <c r="F22" s="94" t="s">
        <v>10</v>
      </c>
      <c r="G22" s="4"/>
      <c r="H22" s="4"/>
      <c r="I22" s="4"/>
      <c r="J22" s="4"/>
      <c r="K22" s="4"/>
      <c r="L22" s="4"/>
      <c r="M22" s="4"/>
      <c r="N22" s="4"/>
    </row>
    <row r="23">
      <c r="A23" s="1"/>
      <c r="B23" s="4"/>
      <c r="C23" s="4"/>
      <c r="D23" s="4"/>
      <c r="E23" s="94" t="s">
        <v>4390</v>
      </c>
      <c r="F23" s="94" t="s">
        <v>6676</v>
      </c>
      <c r="G23" s="4"/>
      <c r="H23" s="4"/>
      <c r="I23" s="4"/>
      <c r="J23" s="4"/>
      <c r="K23" s="4"/>
      <c r="L23" s="4"/>
      <c r="M23" s="4"/>
      <c r="N23" s="4"/>
    </row>
    <row r="24">
      <c r="A24" s="1"/>
      <c r="B24" s="4"/>
      <c r="C24" s="4"/>
      <c r="D24" s="4"/>
      <c r="E24" s="94" t="s">
        <v>9</v>
      </c>
      <c r="F24" s="94" t="s">
        <v>10</v>
      </c>
      <c r="G24" s="4"/>
      <c r="H24" s="4"/>
      <c r="I24" s="4"/>
      <c r="J24" s="4"/>
      <c r="K24" s="4"/>
      <c r="L24" s="4"/>
      <c r="M24" s="4"/>
      <c r="N24" s="4"/>
    </row>
    <row r="25">
      <c r="A25" s="1"/>
      <c r="B25" s="4"/>
      <c r="C25" s="4"/>
      <c r="D25" s="4"/>
      <c r="E25" s="94" t="s">
        <v>6632</v>
      </c>
      <c r="F25" s="94" t="s">
        <v>6676</v>
      </c>
      <c r="G25" s="4"/>
      <c r="H25" s="4"/>
      <c r="I25" s="4"/>
      <c r="J25" s="4"/>
      <c r="K25" s="4"/>
      <c r="L25" s="4"/>
      <c r="M25" s="4"/>
      <c r="N25" s="4"/>
    </row>
    <row r="26">
      <c r="A26" s="1"/>
      <c r="B26" s="4"/>
      <c r="C26" s="4"/>
      <c r="D26" s="4"/>
      <c r="E26" s="94" t="s">
        <v>6690</v>
      </c>
      <c r="F26" s="94" t="s">
        <v>6676</v>
      </c>
      <c r="G26" s="4"/>
      <c r="H26" s="4"/>
      <c r="I26" s="4"/>
      <c r="J26" s="4"/>
      <c r="K26" s="4"/>
      <c r="L26" s="4"/>
      <c r="M26" s="4"/>
      <c r="N26" s="4"/>
    </row>
    <row r="27">
      <c r="A27" s="1"/>
      <c r="B27" s="4"/>
      <c r="C27" s="4"/>
      <c r="D27" s="4"/>
      <c r="E27" s="94" t="s">
        <v>6691</v>
      </c>
      <c r="F27" s="94" t="s">
        <v>6676</v>
      </c>
      <c r="G27" s="4"/>
      <c r="H27" s="4"/>
      <c r="I27" s="4"/>
      <c r="J27" s="4"/>
      <c r="K27" s="4"/>
      <c r="L27" s="4"/>
      <c r="M27" s="4"/>
      <c r="N27" s="4"/>
    </row>
    <row r="28">
      <c r="A28" s="1"/>
      <c r="B28" s="4"/>
      <c r="C28" s="4"/>
      <c r="D28" s="4"/>
      <c r="E28" s="94" t="s">
        <v>6692</v>
      </c>
      <c r="F28" s="94" t="s">
        <v>6676</v>
      </c>
      <c r="G28" s="4"/>
      <c r="H28" s="4"/>
      <c r="I28" s="4"/>
      <c r="J28" s="4"/>
      <c r="K28" s="4"/>
      <c r="L28" s="4"/>
      <c r="M28" s="4"/>
      <c r="N28" s="4"/>
    </row>
    <row r="29">
      <c r="A29" s="1"/>
      <c r="B29" s="4"/>
      <c r="C29" s="4"/>
      <c r="D29" s="4"/>
      <c r="E29" s="94" t="s">
        <v>6694</v>
      </c>
      <c r="F29" s="94" t="s">
        <v>6676</v>
      </c>
      <c r="G29" s="4"/>
      <c r="H29" s="4"/>
      <c r="I29" s="4"/>
      <c r="J29" s="4"/>
      <c r="K29" s="4"/>
      <c r="L29" s="4"/>
      <c r="M29" s="4"/>
      <c r="N29" s="4"/>
    </row>
    <row r="30">
      <c r="A30" s="1"/>
      <c r="B30" s="4"/>
      <c r="C30" s="4"/>
      <c r="D30" s="4"/>
      <c r="E30" s="94" t="s">
        <v>9</v>
      </c>
      <c r="F30" s="94" t="s">
        <v>10</v>
      </c>
      <c r="G30" s="4"/>
      <c r="H30" s="4"/>
      <c r="I30" s="4"/>
      <c r="J30" s="4"/>
      <c r="K30" s="4"/>
      <c r="L30" s="4"/>
      <c r="M30" s="4"/>
      <c r="N30" s="4"/>
    </row>
    <row r="31">
      <c r="A31" s="1"/>
      <c r="B31" s="4"/>
      <c r="C31" s="4"/>
      <c r="D31" s="4"/>
      <c r="E31" s="94" t="s">
        <v>90</v>
      </c>
      <c r="F31" s="94" t="s">
        <v>6676</v>
      </c>
      <c r="G31" s="4"/>
      <c r="H31" s="4"/>
      <c r="I31" s="4"/>
      <c r="J31" s="4"/>
      <c r="K31" s="4"/>
      <c r="L31" s="4"/>
      <c r="M31" s="4"/>
      <c r="N31" s="4"/>
    </row>
    <row r="32">
      <c r="A32" s="1"/>
      <c r="B32" s="4"/>
      <c r="C32" s="4"/>
      <c r="D32" s="4"/>
      <c r="E32" s="94" t="s">
        <v>9</v>
      </c>
      <c r="F32" s="94" t="s">
        <v>10</v>
      </c>
      <c r="G32" s="4"/>
      <c r="H32" s="4"/>
      <c r="I32" s="4"/>
      <c r="J32" s="4"/>
      <c r="K32" s="4"/>
      <c r="L32" s="4"/>
      <c r="M32" s="4"/>
      <c r="N32" s="4"/>
    </row>
    <row r="33">
      <c r="A33" s="1"/>
      <c r="B33" s="4"/>
      <c r="C33" s="4"/>
      <c r="D33" s="4"/>
      <c r="E33" s="94" t="s">
        <v>110</v>
      </c>
      <c r="F33" s="94" t="s">
        <v>6676</v>
      </c>
      <c r="G33" s="4"/>
      <c r="H33" s="4"/>
      <c r="I33" s="4"/>
      <c r="J33" s="4"/>
      <c r="K33" s="4"/>
      <c r="L33" s="4"/>
      <c r="M33" s="4"/>
      <c r="N33" s="4"/>
    </row>
    <row r="34">
      <c r="A34" s="1"/>
      <c r="B34" s="4"/>
      <c r="C34" s="4"/>
      <c r="D34" s="4"/>
      <c r="E34" s="94" t="s">
        <v>9</v>
      </c>
      <c r="F34" s="94" t="s">
        <v>10</v>
      </c>
      <c r="G34" s="4"/>
      <c r="H34" s="4"/>
      <c r="I34" s="4"/>
      <c r="J34" s="4"/>
      <c r="K34" s="4"/>
      <c r="L34" s="4"/>
      <c r="M34" s="4"/>
      <c r="N34" s="4"/>
    </row>
    <row r="35">
      <c r="A35" s="1"/>
      <c r="B35" s="4"/>
      <c r="C35" s="4"/>
      <c r="D35" s="4"/>
      <c r="E35" s="94" t="s">
        <v>234</v>
      </c>
      <c r="F35" s="94" t="s">
        <v>6676</v>
      </c>
      <c r="G35" s="4"/>
      <c r="H35" s="4"/>
      <c r="I35" s="4"/>
      <c r="J35" s="4"/>
      <c r="K35" s="4"/>
      <c r="L35" s="4"/>
      <c r="M35" s="4"/>
      <c r="N35" s="4"/>
    </row>
    <row r="36">
      <c r="A36" s="1"/>
      <c r="B36" s="4"/>
      <c r="C36" s="4"/>
      <c r="D36" s="4"/>
      <c r="E36" s="94" t="s">
        <v>9</v>
      </c>
      <c r="F36" s="94" t="s">
        <v>10</v>
      </c>
      <c r="G36" s="4"/>
      <c r="H36" s="4"/>
      <c r="I36" s="4"/>
      <c r="J36" s="4"/>
      <c r="K36" s="4"/>
      <c r="L36" s="4"/>
      <c r="M36" s="4"/>
      <c r="N36" s="4"/>
    </row>
    <row r="37">
      <c r="A37" s="1"/>
      <c r="B37" s="4"/>
      <c r="C37" s="4"/>
      <c r="D37" s="4"/>
      <c r="E37" s="94" t="s">
        <v>380</v>
      </c>
      <c r="F37" s="94" t="s">
        <v>6676</v>
      </c>
      <c r="G37" s="4"/>
      <c r="H37" s="4"/>
      <c r="I37" s="4"/>
      <c r="J37" s="4"/>
      <c r="K37" s="4"/>
      <c r="L37" s="4"/>
      <c r="M37" s="4"/>
      <c r="N37" s="4"/>
    </row>
    <row r="38">
      <c r="A38" s="1"/>
      <c r="B38" s="4"/>
      <c r="C38" s="4"/>
      <c r="D38" s="4"/>
      <c r="E38" s="94" t="s">
        <v>9</v>
      </c>
      <c r="F38" s="94" t="s">
        <v>10</v>
      </c>
      <c r="G38" s="4"/>
      <c r="H38" s="4"/>
      <c r="I38" s="4"/>
      <c r="J38" s="4"/>
      <c r="K38" s="4"/>
      <c r="L38" s="4"/>
      <c r="M38" s="4"/>
      <c r="N38" s="4"/>
    </row>
    <row r="39">
      <c r="A39" s="1"/>
      <c r="B39" s="4"/>
      <c r="C39" s="4"/>
      <c r="D39" s="4"/>
      <c r="E39" s="94" t="s">
        <v>915</v>
      </c>
      <c r="F39" s="94" t="s">
        <v>6676</v>
      </c>
      <c r="G39" s="4"/>
      <c r="H39" s="4"/>
      <c r="I39" s="4"/>
      <c r="J39" s="4"/>
      <c r="K39" s="4"/>
      <c r="L39" s="4"/>
      <c r="M39" s="4"/>
      <c r="N39" s="4"/>
    </row>
    <row r="40">
      <c r="A40" s="1"/>
      <c r="B40" s="4"/>
      <c r="C40" s="4"/>
      <c r="D40" s="4"/>
      <c r="E40" s="94" t="s">
        <v>9</v>
      </c>
      <c r="F40" s="94" t="s">
        <v>10</v>
      </c>
      <c r="G40" s="4"/>
      <c r="H40" s="4"/>
      <c r="I40" s="4"/>
      <c r="J40" s="4"/>
      <c r="K40" s="4"/>
      <c r="L40" s="4"/>
      <c r="M40" s="4"/>
      <c r="N40" s="4"/>
    </row>
    <row r="41">
      <c r="A41" s="1"/>
      <c r="B41" s="4"/>
      <c r="C41" s="4"/>
      <c r="D41" s="4"/>
      <c r="E41" s="94" t="s">
        <v>6683</v>
      </c>
      <c r="F41" s="94" t="s">
        <v>6676</v>
      </c>
      <c r="G41" s="4"/>
      <c r="H41" s="4"/>
      <c r="I41" s="4"/>
      <c r="J41" s="4"/>
      <c r="K41" s="4"/>
      <c r="L41" s="4"/>
      <c r="M41" s="4"/>
      <c r="N41" s="4"/>
    </row>
    <row r="42">
      <c r="A42" s="1"/>
      <c r="B42" s="4"/>
      <c r="C42" s="4"/>
      <c r="D42" s="4"/>
      <c r="E42" s="94" t="s">
        <v>9</v>
      </c>
      <c r="F42" s="94" t="s">
        <v>10</v>
      </c>
      <c r="G42" s="4"/>
      <c r="H42" s="4"/>
      <c r="I42" s="4"/>
      <c r="J42" s="4"/>
      <c r="K42" s="4"/>
      <c r="L42" s="4"/>
      <c r="M42" s="4"/>
      <c r="N42" s="4"/>
    </row>
    <row r="43">
      <c r="A43" s="1"/>
      <c r="B43" s="4"/>
      <c r="C43" s="4"/>
      <c r="D43" s="4"/>
      <c r="E43" s="94" t="s">
        <v>6684</v>
      </c>
      <c r="F43" s="94" t="s">
        <v>6676</v>
      </c>
      <c r="G43" s="4"/>
      <c r="H43" s="4"/>
      <c r="I43" s="4"/>
      <c r="J43" s="4"/>
      <c r="K43" s="4"/>
      <c r="L43" s="4"/>
      <c r="M43" s="4"/>
      <c r="N43" s="4"/>
    </row>
    <row r="44">
      <c r="A44" s="1"/>
      <c r="B44" s="4"/>
      <c r="C44" s="4"/>
      <c r="D44" s="4"/>
      <c r="E44" s="94" t="s">
        <v>9</v>
      </c>
      <c r="F44" s="94" t="s">
        <v>10</v>
      </c>
      <c r="G44" s="4"/>
      <c r="H44" s="4"/>
      <c r="I44" s="4"/>
      <c r="J44" s="4"/>
      <c r="K44" s="4"/>
      <c r="L44" s="4"/>
      <c r="M44" s="4"/>
      <c r="N44" s="4"/>
    </row>
    <row r="45">
      <c r="A45" s="1"/>
      <c r="B45" s="4"/>
      <c r="C45" s="4"/>
      <c r="D45" s="4"/>
      <c r="E45" s="94" t="s">
        <v>6685</v>
      </c>
      <c r="F45" s="94" t="s">
        <v>6676</v>
      </c>
      <c r="G45" s="4"/>
      <c r="H45" s="4"/>
      <c r="I45" s="4"/>
      <c r="J45" s="4"/>
      <c r="K45" s="4"/>
      <c r="L45" s="4"/>
      <c r="M45" s="4"/>
      <c r="N45" s="4"/>
    </row>
    <row r="46">
      <c r="A46" s="1"/>
      <c r="B46" s="4"/>
      <c r="C46" s="4"/>
      <c r="D46" s="4"/>
      <c r="E46" s="94" t="s">
        <v>9</v>
      </c>
      <c r="F46" s="94" t="s">
        <v>10</v>
      </c>
      <c r="G46" s="4"/>
      <c r="H46" s="4"/>
      <c r="I46" s="4"/>
      <c r="J46" s="4"/>
      <c r="K46" s="4"/>
      <c r="L46" s="4"/>
      <c r="M46" s="4"/>
      <c r="N46" s="4"/>
    </row>
    <row r="47">
      <c r="A47" s="1"/>
      <c r="B47" s="4"/>
      <c r="C47" s="4"/>
      <c r="D47" s="4"/>
      <c r="E47" s="94" t="s">
        <v>6686</v>
      </c>
      <c r="F47" s="94" t="s">
        <v>6676</v>
      </c>
      <c r="G47" s="4"/>
      <c r="H47" s="4"/>
      <c r="I47" s="4"/>
      <c r="J47" s="4"/>
      <c r="K47" s="4"/>
      <c r="L47" s="4"/>
      <c r="M47" s="4"/>
      <c r="N47" s="4"/>
    </row>
    <row r="48">
      <c r="A48" s="1"/>
      <c r="B48" s="4"/>
      <c r="C48" s="4"/>
      <c r="D48" s="4"/>
      <c r="E48" s="94" t="s">
        <v>9</v>
      </c>
      <c r="F48" s="94" t="s">
        <v>10</v>
      </c>
      <c r="G48" s="4"/>
      <c r="H48" s="4"/>
      <c r="I48" s="4"/>
      <c r="J48" s="4"/>
      <c r="K48" s="4"/>
      <c r="L48" s="4"/>
      <c r="M48" s="4"/>
      <c r="N48" s="4"/>
    </row>
    <row r="49">
      <c r="A49" s="1"/>
      <c r="B49" s="4"/>
      <c r="C49" s="4"/>
      <c r="D49" s="4"/>
      <c r="E49" s="94" t="s">
        <v>6688</v>
      </c>
      <c r="F49" s="94" t="s">
        <v>6676</v>
      </c>
      <c r="G49" s="4"/>
      <c r="H49" s="4"/>
      <c r="I49" s="4"/>
      <c r="J49" s="4"/>
      <c r="K49" s="4"/>
      <c r="L49" s="4"/>
      <c r="M49" s="4"/>
      <c r="N49" s="4"/>
    </row>
    <row r="50">
      <c r="A50" s="1"/>
      <c r="B50" s="4"/>
      <c r="C50" s="4"/>
      <c r="D50" s="4"/>
      <c r="E50" s="94"/>
      <c r="F50" s="94"/>
      <c r="G50" s="4"/>
      <c r="H50" s="4"/>
      <c r="I50" s="4"/>
      <c r="J50" s="4"/>
      <c r="K50" s="4"/>
      <c r="L50" s="4"/>
      <c r="M50" s="4"/>
      <c r="N50" s="4"/>
    </row>
    <row r="51">
      <c r="A51" s="1"/>
      <c r="B51" s="4"/>
      <c r="C51" s="4"/>
      <c r="D51" s="4"/>
      <c r="E51" s="94"/>
      <c r="F51" s="94"/>
      <c r="G51" s="4"/>
      <c r="H51" s="4"/>
      <c r="I51" s="4"/>
      <c r="J51" s="4"/>
      <c r="K51" s="4"/>
      <c r="L51" s="4"/>
      <c r="M51" s="4"/>
      <c r="N51" s="4"/>
    </row>
    <row r="52">
      <c r="A52" s="1"/>
      <c r="B52" s="4"/>
      <c r="C52" s="4"/>
      <c r="D52" s="4"/>
      <c r="E52" s="94"/>
      <c r="F52" s="94"/>
      <c r="G52" s="4"/>
      <c r="H52" s="4"/>
      <c r="I52" s="4"/>
      <c r="J52" s="4"/>
      <c r="K52" s="4"/>
      <c r="L52" s="4"/>
      <c r="M52" s="4"/>
      <c r="N52" s="4"/>
    </row>
    <row r="53">
      <c r="A53" s="1"/>
      <c r="B53" s="4"/>
      <c r="C53" s="4"/>
      <c r="D53" s="4"/>
      <c r="E53" s="94"/>
      <c r="F53" s="94"/>
      <c r="G53" s="4"/>
      <c r="H53" s="4"/>
      <c r="I53" s="4"/>
      <c r="J53" s="4"/>
      <c r="K53" s="4"/>
      <c r="L53" s="4"/>
      <c r="M53" s="4"/>
      <c r="N53" s="4"/>
    </row>
    <row r="54">
      <c r="A54" s="1"/>
      <c r="B54" s="4"/>
      <c r="C54" s="4"/>
      <c r="D54" s="4"/>
      <c r="E54" s="94"/>
      <c r="F54" s="94"/>
      <c r="G54" s="4"/>
      <c r="H54" s="4"/>
      <c r="I54" s="4"/>
      <c r="J54" s="4"/>
      <c r="K54" s="4"/>
      <c r="L54" s="4"/>
      <c r="M54" s="4"/>
      <c r="N54" s="4"/>
    </row>
    <row r="55">
      <c r="A55" s="1"/>
      <c r="B55" s="4"/>
      <c r="C55" s="4"/>
      <c r="D55" s="4"/>
      <c r="E55" s="94"/>
      <c r="F55" s="94"/>
      <c r="G55" s="4"/>
      <c r="H55" s="4"/>
      <c r="I55" s="4"/>
      <c r="J55" s="4"/>
      <c r="K55" s="4"/>
      <c r="L55" s="4"/>
      <c r="M55" s="4"/>
      <c r="N55" s="4"/>
    </row>
    <row r="56">
      <c r="A56" s="1"/>
      <c r="B56" s="4"/>
      <c r="C56" s="4"/>
      <c r="D56" s="4"/>
      <c r="E56" s="94"/>
      <c r="F56" s="94"/>
      <c r="G56" s="4"/>
      <c r="H56" s="4"/>
      <c r="I56" s="4"/>
      <c r="J56" s="4"/>
      <c r="K56" s="4"/>
      <c r="L56" s="4"/>
      <c r="M56" s="4"/>
      <c r="N56" s="4"/>
    </row>
    <row r="57">
      <c r="A57" s="1"/>
      <c r="B57" s="4"/>
      <c r="C57" s="4"/>
      <c r="D57" s="4"/>
      <c r="E57" s="94"/>
      <c r="F57" s="94"/>
      <c r="G57" s="4"/>
      <c r="H57" s="4"/>
      <c r="I57" s="4"/>
      <c r="J57" s="4"/>
      <c r="K57" s="4"/>
      <c r="L57" s="4"/>
      <c r="M57" s="4"/>
      <c r="N57" s="4"/>
    </row>
    <row r="58">
      <c r="A58" s="1"/>
      <c r="B58" s="4"/>
      <c r="C58" s="4"/>
      <c r="D58" s="4"/>
      <c r="E58" s="94"/>
      <c r="F58" s="94"/>
      <c r="G58" s="4"/>
      <c r="H58" s="4"/>
      <c r="I58" s="4"/>
      <c r="J58" s="4"/>
      <c r="K58" s="4"/>
      <c r="L58" s="4"/>
      <c r="M58" s="4"/>
      <c r="N58" s="4"/>
    </row>
    <row r="59">
      <c r="A59" s="1"/>
      <c r="B59" s="4"/>
      <c r="C59" s="4"/>
      <c r="D59" s="4"/>
      <c r="E59" s="94"/>
      <c r="F59" s="94"/>
      <c r="G59" s="4"/>
      <c r="H59" s="4"/>
      <c r="I59" s="4"/>
      <c r="J59" s="4"/>
      <c r="K59" s="4"/>
      <c r="L59" s="4"/>
      <c r="M59" s="4"/>
      <c r="N59" s="4"/>
    </row>
    <row r="60">
      <c r="A60" s="1"/>
      <c r="B60" s="4"/>
      <c r="C60" s="4"/>
      <c r="D60" s="4"/>
      <c r="E60" s="94"/>
      <c r="F60" s="94"/>
      <c r="G60" s="4"/>
      <c r="H60" s="4"/>
      <c r="I60" s="4"/>
      <c r="J60" s="4"/>
      <c r="K60" s="4"/>
      <c r="L60" s="4"/>
      <c r="M60" s="4"/>
      <c r="N60" s="4"/>
    </row>
    <row r="61">
      <c r="A61" s="1"/>
      <c r="B61" s="4"/>
      <c r="C61" s="4"/>
      <c r="D61" s="4"/>
      <c r="E61" s="94"/>
      <c r="F61" s="94"/>
      <c r="G61" s="4"/>
      <c r="H61" s="4"/>
      <c r="I61" s="4"/>
      <c r="J61" s="4"/>
      <c r="K61" s="4"/>
      <c r="L61" s="4"/>
      <c r="M61" s="4"/>
      <c r="N61" s="4"/>
    </row>
    <row r="62">
      <c r="A62" s="1"/>
      <c r="B62" s="4"/>
      <c r="C62" s="4"/>
      <c r="D62" s="4"/>
      <c r="E62" s="94"/>
      <c r="F62" s="94"/>
      <c r="G62" s="4"/>
      <c r="H62" s="4"/>
      <c r="I62" s="4"/>
      <c r="J62" s="4"/>
      <c r="K62" s="4"/>
      <c r="L62" s="4"/>
      <c r="M62" s="4"/>
      <c r="N62" s="4"/>
    </row>
    <row r="63">
      <c r="A63" s="1"/>
      <c r="B63" s="4"/>
      <c r="C63" s="4"/>
      <c r="D63" s="4"/>
      <c r="E63" s="94"/>
      <c r="F63" s="94"/>
      <c r="G63" s="4"/>
      <c r="H63" s="4"/>
      <c r="I63" s="4"/>
      <c r="J63" s="4"/>
      <c r="K63" s="4"/>
      <c r="L63" s="4"/>
      <c r="M63" s="4"/>
      <c r="N63" s="4"/>
    </row>
    <row r="64">
      <c r="A64" s="1"/>
      <c r="B64" s="4"/>
      <c r="C64" s="4"/>
      <c r="D64" s="4"/>
      <c r="E64" s="94"/>
      <c r="F64" s="94"/>
      <c r="G64" s="4"/>
      <c r="H64" s="4"/>
      <c r="I64" s="4"/>
      <c r="J64" s="4"/>
      <c r="K64" s="4"/>
      <c r="L64" s="4"/>
      <c r="M64" s="4"/>
      <c r="N64" s="4"/>
    </row>
    <row r="65">
      <c r="A65" s="1"/>
      <c r="B65" s="4"/>
      <c r="C65" s="4"/>
      <c r="D65" s="4"/>
      <c r="E65" s="94"/>
      <c r="F65" s="94"/>
      <c r="G65" s="4"/>
      <c r="H65" s="4"/>
      <c r="I65" s="4"/>
      <c r="J65" s="4"/>
      <c r="K65" s="4"/>
      <c r="L65" s="4"/>
      <c r="M65" s="4"/>
      <c r="N65" s="4"/>
    </row>
    <row r="66">
      <c r="A66" s="1"/>
      <c r="B66" s="4"/>
      <c r="C66" s="4"/>
      <c r="D66" s="4"/>
      <c r="E66" s="94"/>
      <c r="F66" s="94"/>
      <c r="G66" s="4"/>
      <c r="H66" s="4"/>
      <c r="I66" s="4"/>
      <c r="J66" s="4"/>
      <c r="K66" s="4"/>
      <c r="L66" s="4"/>
      <c r="M66" s="4"/>
      <c r="N66" s="4"/>
    </row>
    <row r="67">
      <c r="A67" s="1"/>
      <c r="B67" s="4"/>
      <c r="C67" s="4"/>
      <c r="D67" s="4"/>
      <c r="E67" s="94"/>
      <c r="F67" s="94"/>
      <c r="G67" s="4"/>
      <c r="H67" s="4"/>
      <c r="I67" s="4"/>
      <c r="J67" s="4"/>
      <c r="K67" s="4"/>
      <c r="L67" s="4"/>
      <c r="M67" s="4"/>
      <c r="N67" s="4"/>
    </row>
    <row r="68">
      <c r="A68" s="1"/>
      <c r="B68" s="4"/>
      <c r="C68" s="4"/>
      <c r="D68" s="4"/>
      <c r="E68" s="94"/>
      <c r="F68" s="94"/>
      <c r="G68" s="4"/>
      <c r="H68" s="4"/>
      <c r="I68" s="4"/>
      <c r="J68" s="4"/>
      <c r="K68" s="4"/>
      <c r="L68" s="4"/>
      <c r="M68" s="4"/>
      <c r="N68" s="4"/>
    </row>
    <row r="69">
      <c r="A69" s="1"/>
      <c r="B69" s="4"/>
      <c r="C69" s="4"/>
      <c r="D69" s="4"/>
      <c r="E69" s="94"/>
      <c r="F69" s="94"/>
      <c r="G69" s="4"/>
      <c r="H69" s="4"/>
      <c r="I69" s="4"/>
      <c r="J69" s="4"/>
      <c r="K69" s="4"/>
      <c r="L69" s="4"/>
      <c r="M69" s="4"/>
      <c r="N69" s="4"/>
    </row>
    <row r="70">
      <c r="A70" s="1"/>
      <c r="B70" s="4"/>
      <c r="C70" s="4"/>
      <c r="D70" s="4"/>
      <c r="E70" s="94"/>
      <c r="F70" s="94"/>
      <c r="G70" s="4"/>
      <c r="H70" s="4"/>
      <c r="I70" s="4"/>
      <c r="J70" s="4"/>
      <c r="K70" s="4"/>
      <c r="L70" s="4"/>
      <c r="M70" s="4"/>
      <c r="N70" s="4"/>
    </row>
    <row r="71">
      <c r="A71" s="1"/>
      <c r="B71" s="4"/>
      <c r="C71" s="4"/>
      <c r="D71" s="4"/>
      <c r="E71" s="94"/>
      <c r="F71" s="94"/>
      <c r="G71" s="4"/>
      <c r="H71" s="4"/>
      <c r="I71" s="4"/>
      <c r="J71" s="4"/>
      <c r="K71" s="4"/>
      <c r="L71" s="4"/>
      <c r="M71" s="4"/>
      <c r="N71" s="4"/>
    </row>
    <row r="72">
      <c r="A72" s="1"/>
      <c r="B72" s="4"/>
      <c r="C72" s="4"/>
      <c r="D72" s="4"/>
      <c r="E72" s="94"/>
      <c r="F72" s="94"/>
      <c r="G72" s="4"/>
      <c r="H72" s="4"/>
      <c r="I72" s="4"/>
      <c r="J72" s="4"/>
      <c r="K72" s="4"/>
      <c r="L72" s="4"/>
      <c r="M72" s="4"/>
      <c r="N72" s="4"/>
    </row>
    <row r="73">
      <c r="A73" s="1"/>
      <c r="B73" s="4"/>
      <c r="C73" s="4"/>
      <c r="D73" s="4"/>
      <c r="E73" s="94"/>
      <c r="F73" s="94"/>
      <c r="G73" s="4"/>
      <c r="H73" s="4"/>
      <c r="I73" s="4"/>
      <c r="J73" s="4"/>
      <c r="K73" s="4"/>
      <c r="L73" s="4"/>
      <c r="M73" s="4"/>
      <c r="N73" s="4"/>
    </row>
    <row r="74">
      <c r="A74" s="1"/>
      <c r="B74" s="4"/>
      <c r="C74" s="4"/>
      <c r="D74" s="4"/>
      <c r="E74" s="94"/>
      <c r="F74" s="94"/>
      <c r="G74" s="4"/>
      <c r="H74" s="4"/>
      <c r="I74" s="4"/>
      <c r="J74" s="4"/>
      <c r="K74" s="4"/>
      <c r="L74" s="4"/>
      <c r="M74" s="4"/>
      <c r="N74" s="4"/>
    </row>
    <row r="75">
      <c r="A75" s="1"/>
      <c r="B75" s="4"/>
      <c r="C75" s="4"/>
      <c r="D75" s="4"/>
      <c r="E75" s="94"/>
      <c r="F75" s="94"/>
      <c r="G75" s="4"/>
      <c r="H75" s="4"/>
      <c r="I75" s="4"/>
      <c r="J75" s="4"/>
      <c r="K75" s="4"/>
      <c r="L75" s="4"/>
      <c r="M75" s="4"/>
      <c r="N75" s="4"/>
    </row>
    <row r="76">
      <c r="A76" s="1"/>
      <c r="B76" s="4"/>
      <c r="C76" s="4"/>
      <c r="D76" s="4"/>
      <c r="E76" s="94"/>
      <c r="F76" s="94"/>
      <c r="G76" s="4"/>
      <c r="H76" s="4"/>
      <c r="I76" s="4"/>
      <c r="J76" s="4"/>
      <c r="K76" s="4"/>
      <c r="L76" s="4"/>
      <c r="M76" s="4"/>
      <c r="N76" s="4"/>
    </row>
    <row r="77">
      <c r="A77" s="1"/>
      <c r="B77" s="4"/>
      <c r="C77" s="4"/>
      <c r="D77" s="4"/>
      <c r="E77" s="94"/>
      <c r="F77" s="94"/>
      <c r="G77" s="4"/>
      <c r="H77" s="4"/>
      <c r="I77" s="4"/>
      <c r="J77" s="4"/>
      <c r="K77" s="4"/>
      <c r="L77" s="4"/>
      <c r="M77" s="4"/>
      <c r="N77" s="4"/>
    </row>
    <row r="78">
      <c r="A78" s="1"/>
      <c r="B78" s="4"/>
      <c r="C78" s="4"/>
      <c r="D78" s="4"/>
      <c r="E78" s="94"/>
      <c r="F78" s="94"/>
      <c r="G78" s="4"/>
      <c r="H78" s="4"/>
      <c r="I78" s="4"/>
      <c r="J78" s="4"/>
      <c r="K78" s="4"/>
      <c r="L78" s="4"/>
      <c r="M78" s="4"/>
      <c r="N78" s="4"/>
    </row>
    <row r="79">
      <c r="A79" s="1"/>
      <c r="B79" s="4"/>
      <c r="C79" s="4"/>
      <c r="D79" s="4"/>
      <c r="E79" s="94"/>
      <c r="F79" s="94"/>
      <c r="G79" s="4"/>
      <c r="H79" s="4"/>
      <c r="I79" s="4"/>
      <c r="J79" s="4"/>
      <c r="K79" s="4"/>
      <c r="L79" s="4"/>
      <c r="M79" s="4"/>
      <c r="N79" s="4"/>
    </row>
    <row r="80">
      <c r="A80" s="1"/>
      <c r="B80" s="4"/>
      <c r="C80" s="4"/>
      <c r="D80" s="4"/>
      <c r="E80" s="94"/>
      <c r="F80" s="94"/>
      <c r="G80" s="4"/>
      <c r="H80" s="4"/>
      <c r="I80" s="4"/>
      <c r="J80" s="4"/>
      <c r="K80" s="4"/>
      <c r="L80" s="4"/>
      <c r="M80" s="4"/>
      <c r="N80" s="4"/>
    </row>
    <row r="81">
      <c r="A81" s="1"/>
      <c r="B81" s="4"/>
      <c r="C81" s="4"/>
      <c r="D81" s="4"/>
      <c r="E81" s="94"/>
      <c r="F81" s="94"/>
      <c r="G81" s="4"/>
      <c r="H81" s="4"/>
      <c r="I81" s="4"/>
      <c r="J81" s="4"/>
      <c r="K81" s="4"/>
      <c r="L81" s="4"/>
      <c r="M81" s="4"/>
      <c r="N81" s="4"/>
    </row>
    <row r="82">
      <c r="A82" s="1"/>
      <c r="B82" s="4"/>
      <c r="C82" s="4"/>
      <c r="D82" s="4"/>
      <c r="E82" s="94"/>
      <c r="F82" s="94"/>
      <c r="G82" s="4"/>
      <c r="H82" s="4"/>
      <c r="I82" s="4"/>
      <c r="J82" s="4"/>
      <c r="K82" s="4"/>
      <c r="L82" s="4"/>
      <c r="M82" s="4"/>
      <c r="N82" s="4"/>
    </row>
    <row r="83">
      <c r="A83" s="1"/>
      <c r="B83" s="4"/>
      <c r="C83" s="4"/>
      <c r="D83" s="4"/>
      <c r="E83" s="94"/>
      <c r="F83" s="94"/>
      <c r="G83" s="4"/>
      <c r="H83" s="4"/>
      <c r="I83" s="4"/>
      <c r="J83" s="4"/>
      <c r="K83" s="4"/>
      <c r="L83" s="4"/>
      <c r="M83" s="4"/>
      <c r="N83" s="4"/>
    </row>
    <row r="84">
      <c r="A84" s="1"/>
      <c r="B84" s="4"/>
      <c r="C84" s="4"/>
      <c r="D84" s="4"/>
      <c r="E84" s="94"/>
      <c r="F84" s="94"/>
      <c r="G84" s="4"/>
      <c r="H84" s="4"/>
      <c r="I84" s="4"/>
      <c r="J84" s="4"/>
      <c r="K84" s="4"/>
      <c r="L84" s="4"/>
      <c r="M84" s="4"/>
      <c r="N84" s="4"/>
    </row>
    <row r="85">
      <c r="A85" s="1"/>
      <c r="B85" s="4"/>
      <c r="C85" s="4"/>
      <c r="D85" s="4"/>
      <c r="E85" s="94"/>
      <c r="F85" s="94"/>
      <c r="G85" s="4"/>
      <c r="H85" s="4"/>
      <c r="I85" s="4"/>
      <c r="J85" s="4"/>
      <c r="K85" s="4"/>
      <c r="L85" s="4"/>
      <c r="M85" s="4"/>
      <c r="N85" s="4"/>
    </row>
    <row r="86">
      <c r="A86" s="1"/>
      <c r="B86" s="4"/>
      <c r="C86" s="4"/>
      <c r="D86" s="4"/>
      <c r="E86" s="94"/>
      <c r="F86" s="94"/>
      <c r="G86" s="4"/>
      <c r="H86" s="4"/>
      <c r="I86" s="4"/>
      <c r="J86" s="4"/>
      <c r="K86" s="4"/>
      <c r="L86" s="4"/>
      <c r="M86" s="4"/>
      <c r="N86" s="4"/>
    </row>
    <row r="87">
      <c r="A87" s="1"/>
      <c r="B87" s="4"/>
      <c r="C87" s="4"/>
      <c r="D87" s="4"/>
      <c r="E87" s="94"/>
      <c r="F87" s="94"/>
      <c r="G87" s="4"/>
      <c r="H87" s="4"/>
      <c r="I87" s="4"/>
      <c r="J87" s="4"/>
      <c r="K87" s="4"/>
      <c r="L87" s="4"/>
      <c r="M87" s="4"/>
      <c r="N87" s="4"/>
    </row>
    <row r="88">
      <c r="A88" s="1"/>
      <c r="B88" s="4"/>
      <c r="C88" s="4"/>
      <c r="D88" s="4"/>
      <c r="E88" s="94"/>
      <c r="F88" s="94"/>
      <c r="G88" s="4"/>
      <c r="H88" s="4"/>
      <c r="I88" s="4"/>
      <c r="J88" s="4"/>
      <c r="K88" s="4"/>
      <c r="L88" s="4"/>
      <c r="M88" s="4"/>
      <c r="N88" s="4"/>
    </row>
    <row r="89">
      <c r="A89" s="1"/>
      <c r="B89" s="4"/>
      <c r="C89" s="4"/>
      <c r="D89" s="4"/>
      <c r="E89" s="94"/>
      <c r="F89" s="94"/>
      <c r="G89" s="4"/>
      <c r="H89" s="4"/>
      <c r="I89" s="4"/>
      <c r="J89" s="4"/>
      <c r="K89" s="4"/>
      <c r="L89" s="4"/>
      <c r="M89" s="4"/>
      <c r="N89" s="4"/>
    </row>
    <row r="90">
      <c r="A90" s="1"/>
      <c r="B90" s="4"/>
      <c r="C90" s="4"/>
      <c r="D90" s="4"/>
      <c r="E90" s="94"/>
      <c r="F90" s="94"/>
      <c r="G90" s="4"/>
      <c r="H90" s="4"/>
      <c r="I90" s="4"/>
      <c r="J90" s="4"/>
      <c r="K90" s="4"/>
      <c r="L90" s="4"/>
      <c r="M90" s="4"/>
      <c r="N90" s="4"/>
    </row>
    <row r="91">
      <c r="A91" s="1"/>
      <c r="B91" s="4"/>
      <c r="C91" s="4"/>
      <c r="D91" s="4"/>
      <c r="E91" s="94"/>
      <c r="F91" s="94"/>
      <c r="G91" s="4"/>
      <c r="H91" s="4"/>
      <c r="I91" s="4"/>
      <c r="J91" s="4"/>
      <c r="K91" s="4"/>
      <c r="L91" s="4"/>
      <c r="M91" s="4"/>
      <c r="N91" s="4"/>
    </row>
    <row r="92">
      <c r="A92" s="1"/>
      <c r="B92" s="4"/>
      <c r="C92" s="4"/>
      <c r="D92" s="4"/>
      <c r="E92" s="94"/>
      <c r="F92" s="94"/>
      <c r="G92" s="4"/>
      <c r="H92" s="4"/>
      <c r="I92" s="4"/>
      <c r="J92" s="4"/>
      <c r="K92" s="4"/>
      <c r="L92" s="4"/>
      <c r="M92" s="4"/>
      <c r="N92" s="4"/>
    </row>
    <row r="93">
      <c r="A93" s="1"/>
      <c r="B93" s="4"/>
      <c r="C93" s="4"/>
      <c r="D93" s="4"/>
      <c r="E93" s="94"/>
      <c r="F93" s="94"/>
      <c r="G93" s="4"/>
      <c r="H93" s="4"/>
      <c r="I93" s="4"/>
      <c r="J93" s="4"/>
      <c r="K93" s="4"/>
      <c r="L93" s="4"/>
      <c r="M93" s="4"/>
      <c r="N93" s="4"/>
    </row>
    <row r="94">
      <c r="A94" s="1"/>
      <c r="B94" s="4"/>
      <c r="C94" s="4"/>
      <c r="D94" s="4"/>
      <c r="E94" s="94"/>
      <c r="F94" s="94"/>
      <c r="G94" s="4"/>
      <c r="H94" s="4"/>
      <c r="I94" s="4"/>
      <c r="J94" s="4"/>
      <c r="K94" s="4"/>
      <c r="L94" s="4"/>
      <c r="M94" s="4"/>
      <c r="N94" s="4"/>
    </row>
    <row r="95">
      <c r="A95" s="1"/>
      <c r="B95" s="4"/>
      <c r="C95" s="4"/>
      <c r="D95" s="4"/>
      <c r="E95" s="94"/>
      <c r="F95" s="94"/>
      <c r="G95" s="4"/>
      <c r="H95" s="4"/>
      <c r="I95" s="4"/>
      <c r="J95" s="4"/>
      <c r="K95" s="4"/>
      <c r="L95" s="4"/>
      <c r="M95" s="4"/>
      <c r="N95" s="4"/>
    </row>
    <row r="96">
      <c r="A96" s="1"/>
      <c r="B96" s="4"/>
      <c r="C96" s="4"/>
      <c r="D96" s="4"/>
      <c r="E96" s="94"/>
      <c r="F96" s="94"/>
      <c r="G96" s="4"/>
      <c r="H96" s="4"/>
      <c r="I96" s="4"/>
      <c r="J96" s="4"/>
      <c r="K96" s="4"/>
      <c r="L96" s="4"/>
      <c r="M96" s="4"/>
      <c r="N96" s="4"/>
    </row>
    <row r="97">
      <c r="A97" s="1"/>
      <c r="B97" s="4"/>
      <c r="C97" s="4"/>
      <c r="D97" s="4"/>
      <c r="E97" s="94"/>
      <c r="F97" s="94"/>
      <c r="G97" s="4"/>
      <c r="H97" s="4"/>
      <c r="I97" s="4"/>
      <c r="J97" s="4"/>
      <c r="K97" s="4"/>
      <c r="L97" s="4"/>
      <c r="M97" s="4"/>
      <c r="N97" s="4"/>
    </row>
    <row r="98">
      <c r="A98" s="1"/>
      <c r="B98" s="4"/>
      <c r="C98" s="4"/>
      <c r="D98" s="4"/>
      <c r="E98" s="94"/>
      <c r="F98" s="94"/>
      <c r="G98" s="4"/>
      <c r="H98" s="4"/>
      <c r="I98" s="4"/>
      <c r="J98" s="4"/>
      <c r="K98" s="4"/>
      <c r="L98" s="4"/>
      <c r="M98" s="4"/>
      <c r="N98" s="4"/>
    </row>
    <row r="99">
      <c r="A99" s="1"/>
      <c r="B99" s="4"/>
      <c r="C99" s="4"/>
      <c r="D99" s="4"/>
      <c r="E99" s="94"/>
      <c r="F99" s="94"/>
      <c r="G99" s="4"/>
      <c r="H99" s="4"/>
      <c r="I99" s="4"/>
      <c r="J99" s="4"/>
      <c r="K99" s="4"/>
      <c r="L99" s="4"/>
      <c r="M99" s="4"/>
      <c r="N99" s="4"/>
    </row>
    <row r="100">
      <c r="A100" s="1"/>
      <c r="B100" s="4"/>
      <c r="C100" s="4"/>
      <c r="D100" s="4"/>
      <c r="E100" s="94"/>
      <c r="F100" s="94"/>
      <c r="G100" s="4"/>
      <c r="H100" s="4"/>
      <c r="I100" s="4"/>
      <c r="J100" s="4"/>
      <c r="K100" s="4"/>
      <c r="L100" s="4"/>
      <c r="M100" s="4"/>
      <c r="N100" s="4"/>
    </row>
    <row r="101">
      <c r="A101" s="1"/>
      <c r="B101" s="4"/>
      <c r="C101" s="4"/>
      <c r="D101" s="4"/>
      <c r="E101" s="94"/>
      <c r="F101" s="94"/>
      <c r="G101" s="4"/>
      <c r="H101" s="4"/>
      <c r="I101" s="4"/>
      <c r="J101" s="4"/>
      <c r="K101" s="4"/>
      <c r="L101" s="4"/>
      <c r="M101" s="4"/>
      <c r="N101" s="4"/>
    </row>
    <row r="102">
      <c r="A102" s="1"/>
      <c r="B102" s="4"/>
      <c r="C102" s="4"/>
      <c r="D102" s="4"/>
      <c r="E102" s="94"/>
      <c r="F102" s="94"/>
      <c r="G102" s="4"/>
      <c r="H102" s="4"/>
      <c r="I102" s="4"/>
      <c r="J102" s="4"/>
      <c r="K102" s="4"/>
      <c r="L102" s="4"/>
      <c r="M102" s="4"/>
      <c r="N102" s="4"/>
    </row>
    <row r="103">
      <c r="A103" s="1"/>
      <c r="B103" s="4"/>
      <c r="C103" s="4"/>
      <c r="D103" s="4"/>
      <c r="E103" s="94"/>
      <c r="F103" s="94"/>
      <c r="G103" s="4"/>
      <c r="H103" s="4"/>
      <c r="I103" s="4"/>
      <c r="J103" s="4"/>
      <c r="K103" s="4"/>
      <c r="L103" s="4"/>
      <c r="M103" s="4"/>
      <c r="N103" s="4"/>
    </row>
    <row r="104">
      <c r="A104" s="1"/>
      <c r="B104" s="4"/>
      <c r="C104" s="4"/>
      <c r="D104" s="4"/>
      <c r="E104" s="94"/>
      <c r="F104" s="94"/>
      <c r="G104" s="4"/>
      <c r="H104" s="4"/>
      <c r="I104" s="4"/>
      <c r="J104" s="4"/>
      <c r="K104" s="4"/>
      <c r="L104" s="4"/>
      <c r="M104" s="4"/>
      <c r="N104" s="4"/>
    </row>
    <row r="105">
      <c r="A105" s="1"/>
      <c r="B105" s="4"/>
      <c r="C105" s="4"/>
      <c r="D105" s="4"/>
      <c r="E105" s="94"/>
      <c r="F105" s="94"/>
      <c r="G105" s="4"/>
      <c r="H105" s="4"/>
      <c r="I105" s="4"/>
      <c r="J105" s="4"/>
      <c r="K105" s="4"/>
      <c r="L105" s="4"/>
      <c r="M105" s="4"/>
      <c r="N105" s="4"/>
    </row>
    <row r="106">
      <c r="A106" s="1"/>
      <c r="B106" s="4"/>
      <c r="C106" s="4"/>
      <c r="D106" s="4"/>
      <c r="E106" s="94"/>
      <c r="F106" s="94"/>
      <c r="G106" s="4"/>
      <c r="H106" s="4"/>
      <c r="I106" s="4"/>
      <c r="J106" s="4"/>
      <c r="K106" s="4"/>
      <c r="L106" s="4"/>
      <c r="M106" s="4"/>
      <c r="N106" s="4"/>
    </row>
    <row r="107">
      <c r="A107" s="1"/>
      <c r="B107" s="4"/>
      <c r="C107" s="4"/>
      <c r="D107" s="4"/>
      <c r="E107" s="94"/>
      <c r="F107" s="94"/>
      <c r="G107" s="4"/>
      <c r="H107" s="4"/>
      <c r="I107" s="4"/>
      <c r="J107" s="4"/>
      <c r="K107" s="4"/>
      <c r="L107" s="4"/>
      <c r="M107" s="4"/>
      <c r="N107" s="4"/>
    </row>
    <row r="108">
      <c r="A108" s="1"/>
      <c r="B108" s="4"/>
      <c r="C108" s="4"/>
      <c r="D108" s="4"/>
      <c r="E108" s="94"/>
      <c r="F108" s="94"/>
      <c r="G108" s="4"/>
      <c r="H108" s="4"/>
      <c r="I108" s="4"/>
      <c r="J108" s="4"/>
      <c r="K108" s="4"/>
      <c r="L108" s="4"/>
      <c r="M108" s="4"/>
      <c r="N108" s="4"/>
    </row>
    <row r="109">
      <c r="A109" s="1"/>
      <c r="B109" s="4"/>
      <c r="C109" s="4"/>
      <c r="D109" s="4"/>
      <c r="E109" s="94"/>
      <c r="F109" s="94"/>
      <c r="G109" s="4"/>
      <c r="H109" s="4"/>
      <c r="I109" s="4"/>
      <c r="J109" s="4"/>
      <c r="K109" s="4"/>
      <c r="L109" s="4"/>
      <c r="M109" s="4"/>
      <c r="N109" s="4"/>
    </row>
    <row r="110">
      <c r="A110" s="1"/>
      <c r="B110" s="4"/>
      <c r="C110" s="4"/>
      <c r="D110" s="4"/>
      <c r="E110" s="94"/>
      <c r="F110" s="94"/>
      <c r="G110" s="4"/>
      <c r="H110" s="4"/>
      <c r="I110" s="4"/>
      <c r="J110" s="4"/>
      <c r="K110" s="4"/>
      <c r="L110" s="4"/>
      <c r="M110" s="4"/>
      <c r="N110" s="4"/>
    </row>
    <row r="111">
      <c r="A111" s="1"/>
      <c r="B111" s="4"/>
      <c r="C111" s="4"/>
      <c r="D111" s="4"/>
      <c r="E111" s="94"/>
      <c r="F111" s="94"/>
      <c r="G111" s="4"/>
      <c r="H111" s="4"/>
      <c r="I111" s="4"/>
      <c r="J111" s="4"/>
      <c r="K111" s="4"/>
      <c r="L111" s="4"/>
      <c r="M111" s="4"/>
      <c r="N111" s="4"/>
    </row>
    <row r="112">
      <c r="A112" s="1"/>
      <c r="B112" s="4"/>
      <c r="C112" s="4"/>
      <c r="D112" s="4"/>
      <c r="E112" s="94"/>
      <c r="F112" s="94"/>
      <c r="G112" s="4"/>
      <c r="H112" s="4"/>
      <c r="I112" s="4"/>
      <c r="J112" s="4"/>
      <c r="K112" s="4"/>
      <c r="L112" s="4"/>
      <c r="M112" s="4"/>
      <c r="N112" s="4"/>
    </row>
    <row r="113">
      <c r="A113" s="1"/>
      <c r="B113" s="4"/>
      <c r="C113" s="4"/>
      <c r="D113" s="4"/>
      <c r="E113" s="94"/>
      <c r="F113" s="94"/>
      <c r="G113" s="4"/>
      <c r="H113" s="4"/>
      <c r="I113" s="4"/>
      <c r="J113" s="4"/>
      <c r="K113" s="4"/>
      <c r="L113" s="4"/>
      <c r="M113" s="4"/>
      <c r="N113" s="4"/>
    </row>
    <row r="114">
      <c r="A114" s="1"/>
      <c r="B114" s="4"/>
      <c r="C114" s="4"/>
      <c r="D114" s="4"/>
      <c r="E114" s="94"/>
      <c r="F114" s="94"/>
      <c r="G114" s="4"/>
      <c r="H114" s="4"/>
      <c r="I114" s="4"/>
      <c r="J114" s="4"/>
      <c r="K114" s="4"/>
      <c r="L114" s="4"/>
      <c r="M114" s="4"/>
      <c r="N114" s="4"/>
    </row>
    <row r="115">
      <c r="A115" s="1"/>
      <c r="B115" s="4"/>
      <c r="C115" s="4"/>
      <c r="D115" s="4"/>
      <c r="E115" s="94"/>
      <c r="F115" s="94"/>
      <c r="G115" s="4"/>
      <c r="H115" s="4"/>
      <c r="I115" s="4"/>
      <c r="J115" s="4"/>
      <c r="K115" s="4"/>
      <c r="L115" s="4"/>
      <c r="M115" s="4"/>
      <c r="N115" s="4"/>
    </row>
    <row r="116">
      <c r="A116" s="1"/>
      <c r="B116" s="4"/>
      <c r="C116" s="4"/>
      <c r="D116" s="4"/>
      <c r="E116" s="94"/>
      <c r="F116" s="94"/>
      <c r="G116" s="4"/>
      <c r="H116" s="4"/>
      <c r="I116" s="4"/>
      <c r="J116" s="4"/>
      <c r="K116" s="4"/>
      <c r="L116" s="4"/>
      <c r="M116" s="4"/>
      <c r="N116" s="4"/>
    </row>
    <row r="117">
      <c r="A117" s="1"/>
      <c r="B117" s="4"/>
      <c r="C117" s="4"/>
      <c r="D117" s="4"/>
      <c r="E117" s="94"/>
      <c r="F117" s="94"/>
      <c r="G117" s="4"/>
      <c r="H117" s="4"/>
      <c r="I117" s="4"/>
      <c r="J117" s="4"/>
      <c r="K117" s="4"/>
      <c r="L117" s="4"/>
      <c r="M117" s="4"/>
      <c r="N117" s="4"/>
    </row>
    <row r="118">
      <c r="A118" s="1"/>
      <c r="B118" s="4"/>
      <c r="C118" s="4"/>
      <c r="D118" s="4"/>
      <c r="E118" s="94"/>
      <c r="F118" s="94"/>
      <c r="G118" s="4"/>
      <c r="H118" s="4"/>
      <c r="I118" s="4"/>
      <c r="J118" s="4"/>
      <c r="K118" s="4"/>
      <c r="L118" s="4"/>
      <c r="M118" s="4"/>
      <c r="N118" s="4"/>
    </row>
    <row r="119">
      <c r="A119" s="1"/>
      <c r="B119" s="4"/>
      <c r="C119" s="4"/>
      <c r="D119" s="4"/>
      <c r="E119" s="94"/>
      <c r="F119" s="94"/>
      <c r="G119" s="4"/>
      <c r="H119" s="4"/>
      <c r="I119" s="4"/>
      <c r="J119" s="4"/>
      <c r="K119" s="4"/>
      <c r="L119" s="4"/>
      <c r="M119" s="4"/>
      <c r="N119" s="4"/>
    </row>
    <row r="120">
      <c r="A120" s="1"/>
      <c r="B120" s="4"/>
      <c r="C120" s="4"/>
      <c r="D120" s="4"/>
      <c r="E120" s="94"/>
      <c r="F120" s="94"/>
      <c r="G120" s="4"/>
      <c r="H120" s="4"/>
      <c r="I120" s="4"/>
      <c r="J120" s="4"/>
      <c r="K120" s="4"/>
      <c r="L120" s="4"/>
      <c r="M120" s="4"/>
      <c r="N120" s="4"/>
    </row>
    <row r="121">
      <c r="A121" s="1"/>
      <c r="B121" s="4"/>
      <c r="C121" s="4"/>
      <c r="D121" s="4"/>
      <c r="E121" s="94"/>
      <c r="F121" s="94"/>
      <c r="G121" s="4"/>
      <c r="H121" s="4"/>
      <c r="I121" s="4"/>
      <c r="J121" s="4"/>
      <c r="K121" s="4"/>
      <c r="L121" s="4"/>
      <c r="M121" s="4"/>
      <c r="N121" s="4"/>
    </row>
    <row r="122">
      <c r="A122" s="1"/>
      <c r="B122" s="4"/>
      <c r="C122" s="4"/>
      <c r="D122" s="4"/>
      <c r="E122" s="94"/>
      <c r="F122" s="94"/>
      <c r="G122" s="4"/>
      <c r="H122" s="4"/>
      <c r="I122" s="4"/>
      <c r="J122" s="4"/>
      <c r="K122" s="4"/>
      <c r="L122" s="4"/>
      <c r="M122" s="4"/>
      <c r="N122" s="4"/>
    </row>
    <row r="123">
      <c r="A123" s="1"/>
      <c r="B123" s="4"/>
      <c r="C123" s="4"/>
      <c r="D123" s="4"/>
      <c r="E123" s="94"/>
      <c r="F123" s="94"/>
      <c r="G123" s="4"/>
      <c r="H123" s="4"/>
      <c r="I123" s="4"/>
      <c r="J123" s="4"/>
      <c r="K123" s="4"/>
      <c r="L123" s="4"/>
      <c r="M123" s="4"/>
      <c r="N123" s="4"/>
    </row>
    <row r="124">
      <c r="A124" s="1"/>
      <c r="B124" s="4"/>
      <c r="C124" s="4"/>
      <c r="D124" s="4"/>
      <c r="E124" s="94"/>
      <c r="F124" s="94"/>
      <c r="G124" s="4"/>
      <c r="H124" s="4"/>
      <c r="I124" s="4"/>
      <c r="J124" s="4"/>
      <c r="K124" s="4"/>
      <c r="L124" s="4"/>
      <c r="M124" s="4"/>
      <c r="N124" s="4"/>
    </row>
    <row r="125">
      <c r="A125" s="1"/>
      <c r="B125" s="4"/>
      <c r="C125" s="4"/>
      <c r="D125" s="4"/>
      <c r="E125" s="94"/>
      <c r="F125" s="94"/>
      <c r="G125" s="4"/>
      <c r="H125" s="4"/>
      <c r="I125" s="4"/>
      <c r="J125" s="4"/>
      <c r="K125" s="4"/>
      <c r="L125" s="4"/>
      <c r="M125" s="4"/>
      <c r="N125" s="4"/>
    </row>
    <row r="126">
      <c r="A126" s="1"/>
      <c r="B126" s="4"/>
      <c r="C126" s="4"/>
      <c r="D126" s="4"/>
      <c r="E126" s="94"/>
      <c r="F126" s="94"/>
      <c r="G126" s="4"/>
      <c r="H126" s="4"/>
      <c r="I126" s="4"/>
      <c r="J126" s="4"/>
      <c r="K126" s="4"/>
      <c r="L126" s="4"/>
      <c r="M126" s="4"/>
      <c r="N126" s="4"/>
    </row>
    <row r="127">
      <c r="A127" s="1"/>
      <c r="B127" s="4"/>
      <c r="C127" s="4"/>
      <c r="D127" s="4"/>
      <c r="E127" s="94"/>
      <c r="F127" s="94"/>
      <c r="G127" s="4"/>
      <c r="H127" s="4"/>
      <c r="I127" s="4"/>
      <c r="J127" s="4"/>
      <c r="K127" s="4"/>
      <c r="L127" s="4"/>
      <c r="M127" s="4"/>
      <c r="N127" s="4"/>
    </row>
    <row r="128">
      <c r="A128" s="1"/>
      <c r="B128" s="4"/>
      <c r="C128" s="4"/>
      <c r="D128" s="4"/>
      <c r="E128" s="94"/>
      <c r="F128" s="94"/>
      <c r="G128" s="4"/>
      <c r="H128" s="4"/>
      <c r="I128" s="4"/>
      <c r="J128" s="4"/>
      <c r="K128" s="4"/>
      <c r="L128" s="4"/>
      <c r="M128" s="4"/>
      <c r="N128" s="4"/>
    </row>
    <row r="129">
      <c r="A129" s="1"/>
      <c r="B129" s="4"/>
      <c r="C129" s="4"/>
      <c r="D129" s="4"/>
      <c r="E129" s="94"/>
      <c r="F129" s="94"/>
      <c r="G129" s="4"/>
      <c r="H129" s="4"/>
      <c r="I129" s="4"/>
      <c r="J129" s="4"/>
      <c r="K129" s="4"/>
      <c r="L129" s="4"/>
      <c r="M129" s="4"/>
      <c r="N129" s="4"/>
    </row>
    <row r="130">
      <c r="A130" s="1"/>
      <c r="B130" s="4"/>
      <c r="C130" s="4"/>
      <c r="D130" s="4"/>
      <c r="E130" s="94"/>
      <c r="F130" s="94"/>
      <c r="G130" s="4"/>
      <c r="H130" s="4"/>
      <c r="I130" s="4"/>
      <c r="J130" s="4"/>
      <c r="K130" s="4"/>
      <c r="L130" s="4"/>
      <c r="M130" s="4"/>
      <c r="N130" s="4"/>
    </row>
    <row r="131">
      <c r="A131" s="1"/>
      <c r="B131" s="4"/>
      <c r="C131" s="4"/>
      <c r="D131" s="4"/>
      <c r="E131" s="94"/>
      <c r="F131" s="94"/>
      <c r="G131" s="4"/>
      <c r="H131" s="4"/>
      <c r="I131" s="4"/>
      <c r="J131" s="4"/>
      <c r="K131" s="4"/>
      <c r="L131" s="4"/>
      <c r="M131" s="4"/>
      <c r="N131" s="4"/>
    </row>
  </sheetData>
  <mergeCells count="16">
    <mergeCell ref="H6:I6"/>
    <mergeCell ref="H8:I8"/>
    <mergeCell ref="H9:I9"/>
    <mergeCell ref="H10:I10"/>
    <mergeCell ref="H11:I11"/>
    <mergeCell ref="H12:I12"/>
    <mergeCell ref="H7:I7"/>
    <mergeCell ref="F4:I4"/>
    <mergeCell ref="B4:E4"/>
    <mergeCell ref="D6:E6"/>
    <mergeCell ref="B6:C6"/>
    <mergeCell ref="F6:G6"/>
    <mergeCell ref="J6:K6"/>
    <mergeCell ref="L6:M6"/>
    <mergeCell ref="J4:M4"/>
    <mergeCell ref="B1:M3"/>
  </mergeCells>
  <conditionalFormatting sqref="B1">
    <cfRule type="cellIs" dxfId="1" priority="1" operator="equal">
      <formula>"In Progress"</formula>
    </cfRule>
  </conditionalFormatting>
  <conditionalFormatting sqref="A1">
    <cfRule type="notContainsBlanks" dxfId="0" priority="2">
      <formula>LEN(TRIM(A1))&gt;0</formula>
    </cfRule>
  </conditionalFormatting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97"/>
      <c r="B1" s="98" t="s">
        <v>6579</v>
      </c>
      <c r="N1" s="99"/>
    </row>
    <row r="2">
      <c r="A2" s="97"/>
      <c r="N2" s="99"/>
    </row>
    <row r="3">
      <c r="A3" s="97"/>
      <c r="N3" s="99"/>
    </row>
    <row r="4">
      <c r="A4" s="97"/>
      <c r="B4" s="100" t="s">
        <v>6581</v>
      </c>
      <c r="E4" s="6"/>
      <c r="F4" s="101" t="s">
        <v>6724</v>
      </c>
      <c r="I4" s="6"/>
      <c r="J4" s="101" t="s">
        <v>6726</v>
      </c>
      <c r="N4" s="102"/>
    </row>
    <row r="5">
      <c r="A5" s="99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</row>
    <row r="6">
      <c r="A6" s="99"/>
      <c r="B6" s="104" t="s">
        <v>5271</v>
      </c>
      <c r="L6" s="107">
        <f>COUNTIF(B8:B17, "[***]")</f>
        <v>1</v>
      </c>
      <c r="N6" s="104"/>
    </row>
    <row r="7">
      <c r="A7" s="99"/>
      <c r="N7" s="104"/>
    </row>
    <row r="8">
      <c r="A8" s="97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</row>
    <row r="9">
      <c r="A9" s="97"/>
      <c r="B9" s="110" t="s">
        <v>5324</v>
      </c>
      <c r="C9" s="106" t="s">
        <v>5325</v>
      </c>
      <c r="D9" s="16"/>
      <c r="E9" s="16"/>
      <c r="F9" s="111" t="str">
        <f>HYPERLINK("https://www.youtube.com/channel/UCz2KxBan1xMsdrm5bGKNEtQ","YouTube")</f>
        <v>YouTube</v>
      </c>
      <c r="G9" s="16"/>
      <c r="H9" s="111" t="str">
        <f>HYPERLINK("https://www.twitch.tv/EleMiner","Twitch")</f>
        <v>Twitch</v>
      </c>
      <c r="I9" s="16"/>
      <c r="J9" s="112" t="s">
        <v>5289</v>
      </c>
      <c r="K9" s="113">
        <v>43461.0</v>
      </c>
      <c r="L9" s="16"/>
      <c r="M9" s="16"/>
      <c r="N9" s="108"/>
    </row>
    <row r="10">
      <c r="A10" s="97"/>
      <c r="B10" s="108"/>
      <c r="C10" s="108"/>
      <c r="D10" s="108"/>
      <c r="E10" s="108"/>
      <c r="F10" s="108" t="str">
        <f>IMAGE("https://i.imgur.com/2GUR16t.png", 1)</f>
        <v/>
      </c>
      <c r="J10" s="108" t="str">
        <f>IMAGE("https://i.imgur.com/NWfBdC5.png", 1)</f>
        <v/>
      </c>
      <c r="K10" s="108"/>
      <c r="L10" s="108"/>
      <c r="M10" s="108"/>
      <c r="N10" s="108"/>
    </row>
    <row r="11">
      <c r="A11" s="97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</row>
    <row r="12">
      <c r="A12" s="97"/>
      <c r="B12" s="108"/>
      <c r="C12" s="108"/>
      <c r="D12" s="106" t="s">
        <v>5325</v>
      </c>
      <c r="E12" s="16"/>
      <c r="F12" s="16"/>
      <c r="G12" s="108"/>
      <c r="H12" s="108"/>
      <c r="I12" s="108"/>
      <c r="J12" s="108"/>
      <c r="K12" s="108"/>
      <c r="N12" s="108"/>
    </row>
    <row r="13">
      <c r="A13" s="97"/>
      <c r="B13" s="108"/>
      <c r="C13" s="108"/>
      <c r="D13" s="108"/>
      <c r="E13" s="108"/>
      <c r="F13" s="108"/>
      <c r="G13" s="108"/>
      <c r="H13" s="108"/>
      <c r="I13" s="108"/>
      <c r="J13" s="108" t="str">
        <f>LOOKUP(DATEDIF(DATE(2019, 2, 10), NOW(), "D"), 'Data&gt;Debug&gt;Levels'!A:A, 'Data&gt;Debug&gt;Levels'!B:B)</f>
        <v/>
      </c>
      <c r="K13" s="108"/>
      <c r="L13" s="108">
        <v>39.0</v>
      </c>
      <c r="M13" s="108" t="s">
        <v>6739</v>
      </c>
      <c r="N13" s="108"/>
    </row>
    <row r="14">
      <c r="A14" s="97"/>
      <c r="B14" s="108"/>
      <c r="C14" s="108"/>
      <c r="D14" s="114" t="str">
        <f>HYPERLINK("https://emojipedia.org/twitter/twemoji-11.3/","List of Twitter Emojis")</f>
        <v>List of Twitter Emojis</v>
      </c>
      <c r="E14" s="16"/>
      <c r="F14" s="16"/>
      <c r="G14" s="108"/>
      <c r="H14" s="108"/>
      <c r="I14" s="108"/>
      <c r="J14" s="108">
        <f>DATEDIF(DATE(2019, 2, 10), NOW(), "D")</f>
        <v>85</v>
      </c>
      <c r="K14" s="108"/>
      <c r="L14" s="108">
        <v>39.0</v>
      </c>
      <c r="M14" s="108" t="s">
        <v>6739</v>
      </c>
      <c r="N14" s="108"/>
    </row>
    <row r="15">
      <c r="A15" s="97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>
        <v>40.0</v>
      </c>
      <c r="M15" s="108" t="s">
        <v>6742</v>
      </c>
      <c r="N15" s="108"/>
    </row>
    <row r="16">
      <c r="A16" s="9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>
        <v>41.0</v>
      </c>
      <c r="M16" s="108" t="s">
        <v>6744</v>
      </c>
      <c r="N16" s="108"/>
    </row>
    <row r="17">
      <c r="A17" s="97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>
        <v>42.0</v>
      </c>
      <c r="M17" s="108" t="s">
        <v>6745</v>
      </c>
      <c r="N17" s="108"/>
    </row>
  </sheetData>
  <mergeCells count="12">
    <mergeCell ref="C9:E9"/>
    <mergeCell ref="D12:F12"/>
    <mergeCell ref="D14:F14"/>
    <mergeCell ref="F4:I4"/>
    <mergeCell ref="B1:M3"/>
    <mergeCell ref="F9:G9"/>
    <mergeCell ref="H9:I9"/>
    <mergeCell ref="B6:K7"/>
    <mergeCell ref="L6:M7"/>
    <mergeCell ref="J4:M4"/>
    <mergeCell ref="B4:E4"/>
    <mergeCell ref="K9:M9"/>
  </mergeCells>
  <hyperlinks>
    <hyperlink display="N++&gt;Data" location="Main Menu!A1" ref="B1"/>
    <hyperlink display="Player Stats" location="Players&gt;Videos!A1" ref="F4"/>
    <hyperlink display="Library Progress" location="null!A1" ref="J4"/>
  </hyperlin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4" width="7.29"/>
  </cols>
  <sheetData>
    <row r="1">
      <c r="A1" s="96"/>
      <c r="B1" s="98" t="s">
        <v>5100</v>
      </c>
      <c r="N1" s="99"/>
    </row>
    <row r="2">
      <c r="A2" s="96"/>
      <c r="N2" s="99"/>
    </row>
    <row r="3">
      <c r="A3" s="96"/>
      <c r="N3" s="99"/>
    </row>
    <row r="4">
      <c r="A4" s="96"/>
      <c r="B4" s="100" t="s">
        <v>2</v>
      </c>
      <c r="E4" s="6"/>
      <c r="F4" s="101" t="s">
        <v>3</v>
      </c>
      <c r="I4" s="6"/>
      <c r="J4" s="101" t="s">
        <v>5</v>
      </c>
      <c r="N4" s="102"/>
    </row>
    <row r="5">
      <c r="A5" s="96"/>
      <c r="B5" s="99"/>
      <c r="C5" s="99"/>
      <c r="D5" s="99"/>
      <c r="E5" s="103" t="s">
        <v>9</v>
      </c>
      <c r="F5" s="103" t="s">
        <v>10</v>
      </c>
      <c r="G5" s="99"/>
      <c r="H5" s="99"/>
      <c r="I5" s="99"/>
      <c r="J5" s="99"/>
      <c r="K5" s="99"/>
      <c r="L5" s="99"/>
      <c r="M5" s="99"/>
      <c r="N5" s="99"/>
    </row>
    <row r="6">
      <c r="A6" s="105">
        <v>1.0</v>
      </c>
      <c r="B6" s="106" t="s">
        <v>6729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99"/>
    </row>
    <row r="7">
      <c r="A7" s="96"/>
      <c r="B7" s="99"/>
      <c r="D7" s="108"/>
      <c r="E7" s="109"/>
      <c r="F7" s="97"/>
      <c r="G7" s="97"/>
      <c r="H7" s="97"/>
      <c r="I7" s="97"/>
      <c r="J7" s="97"/>
      <c r="K7" s="97"/>
      <c r="L7" s="97"/>
      <c r="M7" s="97"/>
      <c r="N7" s="97"/>
    </row>
    <row r="8">
      <c r="A8" s="105">
        <v>2.0</v>
      </c>
      <c r="B8" s="10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99"/>
    </row>
    <row r="9">
      <c r="A9" s="96"/>
      <c r="B9" s="99"/>
      <c r="D9" s="108"/>
      <c r="E9" s="109"/>
      <c r="F9" s="97"/>
      <c r="G9" s="97"/>
      <c r="H9" s="97"/>
      <c r="I9" s="97"/>
      <c r="J9" s="97"/>
      <c r="K9" s="97"/>
      <c r="L9" s="97"/>
      <c r="M9" s="97"/>
      <c r="N9" s="97"/>
    </row>
    <row r="10">
      <c r="A10" s="105">
        <v>3.0</v>
      </c>
      <c r="B10" s="10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99"/>
    </row>
    <row r="11">
      <c r="A11" s="96"/>
      <c r="B11" s="99"/>
      <c r="D11" s="108"/>
      <c r="E11" s="109"/>
      <c r="F11" s="97"/>
      <c r="G11" s="97"/>
      <c r="H11" s="97"/>
      <c r="I11" s="97"/>
      <c r="J11" s="97"/>
      <c r="K11" s="97"/>
      <c r="L11" s="97"/>
      <c r="M11" s="97"/>
      <c r="N11" s="97"/>
    </row>
    <row r="12">
      <c r="A12" s="105">
        <v>4.0</v>
      </c>
      <c r="B12" s="10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99"/>
    </row>
    <row r="13">
      <c r="A13" s="96"/>
      <c r="B13" s="99"/>
      <c r="D13" s="108"/>
      <c r="E13" s="109"/>
      <c r="F13" s="97"/>
      <c r="G13" s="97"/>
      <c r="H13" s="97"/>
      <c r="I13" s="97"/>
      <c r="J13" s="97"/>
      <c r="K13" s="97"/>
      <c r="L13" s="97"/>
      <c r="M13" s="97"/>
      <c r="N13" s="97"/>
    </row>
    <row r="14">
      <c r="A14" s="105">
        <v>5.0</v>
      </c>
      <c r="B14" s="10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99"/>
    </row>
    <row r="15">
      <c r="A15" s="96"/>
      <c r="B15" s="99"/>
      <c r="D15" s="108"/>
      <c r="E15" s="109"/>
      <c r="F15" s="97"/>
      <c r="G15" s="97"/>
      <c r="H15" s="97"/>
      <c r="I15" s="97"/>
      <c r="J15" s="97"/>
      <c r="K15" s="97"/>
      <c r="L15" s="97"/>
      <c r="M15" s="97"/>
      <c r="N15" s="97"/>
    </row>
    <row r="16">
      <c r="A16" s="105">
        <v>6.0</v>
      </c>
      <c r="B16" s="10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99"/>
    </row>
    <row r="17">
      <c r="A17" s="96"/>
      <c r="B17" s="99"/>
      <c r="D17" s="108"/>
      <c r="E17" s="109"/>
      <c r="F17" s="97"/>
      <c r="G17" s="97"/>
      <c r="H17" s="97"/>
      <c r="I17" s="97"/>
      <c r="J17" s="97"/>
      <c r="K17" s="97"/>
      <c r="L17" s="97"/>
      <c r="M17" s="97"/>
      <c r="N17" s="97"/>
    </row>
    <row r="18">
      <c r="A18" s="105">
        <v>7.0</v>
      </c>
      <c r="B18" s="10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99"/>
    </row>
    <row r="19">
      <c r="A19" s="96"/>
      <c r="B19" s="99"/>
      <c r="D19" s="108"/>
      <c r="E19" s="109"/>
      <c r="F19" s="97"/>
      <c r="G19" s="97"/>
      <c r="H19" s="97"/>
      <c r="I19" s="97"/>
      <c r="J19" s="97"/>
      <c r="K19" s="97"/>
      <c r="L19" s="97"/>
      <c r="M19" s="97"/>
      <c r="N19" s="97"/>
    </row>
    <row r="20">
      <c r="A20" s="105">
        <v>8.0</v>
      </c>
      <c r="B20" s="10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99"/>
    </row>
    <row r="21">
      <c r="A21" s="96"/>
      <c r="B21" s="99"/>
      <c r="D21" s="108"/>
      <c r="E21" s="109"/>
      <c r="F21" s="97"/>
      <c r="G21" s="97"/>
      <c r="H21" s="97"/>
      <c r="I21" s="97"/>
      <c r="J21" s="97"/>
      <c r="K21" s="97"/>
      <c r="L21" s="97"/>
      <c r="M21" s="97"/>
      <c r="N21" s="97"/>
    </row>
    <row r="22">
      <c r="A22" s="105">
        <v>9.0</v>
      </c>
      <c r="B22" s="10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99"/>
    </row>
    <row r="23">
      <c r="A23" s="96"/>
      <c r="B23" s="99"/>
      <c r="D23" s="108"/>
      <c r="E23" s="109"/>
      <c r="F23" s="97"/>
      <c r="G23" s="97"/>
      <c r="H23" s="97"/>
      <c r="I23" s="97"/>
      <c r="J23" s="97"/>
      <c r="K23" s="97"/>
      <c r="L23" s="97"/>
      <c r="M23" s="97"/>
      <c r="N23" s="97"/>
    </row>
    <row r="24">
      <c r="A24" s="105">
        <v>10.0</v>
      </c>
      <c r="B24" s="10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99"/>
    </row>
    <row r="25">
      <c r="A25" s="96"/>
      <c r="B25" s="99"/>
      <c r="D25" s="108"/>
      <c r="E25" s="109"/>
      <c r="F25" s="97"/>
      <c r="G25" s="97"/>
      <c r="H25" s="97"/>
      <c r="I25" s="97"/>
      <c r="J25" s="97"/>
      <c r="K25" s="97"/>
      <c r="L25" s="97"/>
      <c r="M25" s="97"/>
      <c r="N25" s="97"/>
    </row>
    <row r="26">
      <c r="A26" s="105">
        <v>11.0</v>
      </c>
      <c r="B26" s="10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99"/>
    </row>
    <row r="27">
      <c r="A27" s="96"/>
      <c r="B27" s="99"/>
      <c r="D27" s="108"/>
      <c r="E27" s="109"/>
      <c r="F27" s="97"/>
      <c r="G27" s="97"/>
      <c r="H27" s="97"/>
      <c r="I27" s="97"/>
      <c r="J27" s="97"/>
      <c r="K27" s="97"/>
      <c r="L27" s="97"/>
      <c r="M27" s="97"/>
      <c r="N27" s="97"/>
    </row>
    <row r="28">
      <c r="A28" s="105">
        <v>12.0</v>
      </c>
      <c r="B28" s="10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99"/>
    </row>
    <row r="29">
      <c r="A29" s="96"/>
      <c r="B29" s="99"/>
      <c r="D29" s="108"/>
      <c r="E29" s="109"/>
      <c r="F29" s="97"/>
      <c r="G29" s="97"/>
      <c r="H29" s="97"/>
      <c r="I29" s="97"/>
      <c r="J29" s="97"/>
      <c r="K29" s="97"/>
      <c r="L29" s="97"/>
      <c r="M29" s="97"/>
      <c r="N29" s="97"/>
    </row>
    <row r="30">
      <c r="A30" s="105">
        <v>13.0</v>
      </c>
      <c r="B30" s="10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99"/>
    </row>
    <row r="31">
      <c r="A31" s="96"/>
      <c r="B31" s="99"/>
      <c r="D31" s="108"/>
      <c r="E31" s="109"/>
      <c r="F31" s="97"/>
      <c r="G31" s="97"/>
      <c r="H31" s="97"/>
      <c r="I31" s="97"/>
      <c r="J31" s="97"/>
      <c r="K31" s="97"/>
      <c r="L31" s="97"/>
      <c r="M31" s="97"/>
      <c r="N31" s="97"/>
    </row>
    <row r="32">
      <c r="A32" s="105">
        <v>14.0</v>
      </c>
      <c r="B32" s="10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99"/>
    </row>
    <row r="33">
      <c r="A33" s="96"/>
      <c r="B33" s="99"/>
      <c r="D33" s="108"/>
      <c r="E33" s="109"/>
      <c r="F33" s="97"/>
      <c r="G33" s="97"/>
      <c r="H33" s="97"/>
      <c r="I33" s="97"/>
      <c r="J33" s="97"/>
      <c r="K33" s="97"/>
      <c r="L33" s="97"/>
      <c r="M33" s="97"/>
      <c r="N33" s="97"/>
    </row>
    <row r="34">
      <c r="A34" s="105">
        <v>15.0</v>
      </c>
      <c r="B34" s="10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99"/>
    </row>
    <row r="35">
      <c r="A35" s="96"/>
      <c r="B35" s="99"/>
      <c r="D35" s="108"/>
      <c r="E35" s="109"/>
      <c r="F35" s="97"/>
      <c r="G35" s="97"/>
      <c r="H35" s="97"/>
      <c r="I35" s="97"/>
      <c r="J35" s="97"/>
      <c r="K35" s="97"/>
      <c r="L35" s="97"/>
      <c r="M35" s="97"/>
      <c r="N35" s="97"/>
    </row>
    <row r="36">
      <c r="A36" s="105">
        <v>16.0</v>
      </c>
      <c r="B36" s="10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99"/>
    </row>
    <row r="37">
      <c r="A37" s="96"/>
      <c r="B37" s="99"/>
      <c r="D37" s="108"/>
      <c r="E37" s="109"/>
      <c r="F37" s="97"/>
      <c r="G37" s="97"/>
      <c r="H37" s="97"/>
      <c r="I37" s="97"/>
      <c r="J37" s="97"/>
      <c r="K37" s="97"/>
      <c r="L37" s="97"/>
      <c r="M37" s="97"/>
      <c r="N37" s="97"/>
    </row>
    <row r="38">
      <c r="A38" s="105">
        <v>17.0</v>
      </c>
      <c r="B38" s="10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99"/>
    </row>
    <row r="39">
      <c r="A39" s="96"/>
      <c r="B39" s="99"/>
      <c r="D39" s="108"/>
      <c r="E39" s="109"/>
      <c r="F39" s="97"/>
      <c r="G39" s="97"/>
      <c r="H39" s="97"/>
      <c r="I39" s="97"/>
      <c r="J39" s="97"/>
      <c r="K39" s="97"/>
      <c r="L39" s="97"/>
      <c r="M39" s="97"/>
      <c r="N39" s="97"/>
    </row>
    <row r="40">
      <c r="A40" s="105">
        <v>18.0</v>
      </c>
      <c r="B40" s="10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99"/>
    </row>
    <row r="41">
      <c r="A41" s="96"/>
      <c r="B41" s="99"/>
      <c r="D41" s="108"/>
      <c r="E41" s="109"/>
      <c r="F41" s="97"/>
      <c r="G41" s="97"/>
      <c r="H41" s="97"/>
      <c r="I41" s="97"/>
      <c r="J41" s="97"/>
      <c r="K41" s="97"/>
      <c r="L41" s="97"/>
      <c r="M41" s="97"/>
      <c r="N41" s="97"/>
    </row>
    <row r="42">
      <c r="A42" s="105">
        <v>19.0</v>
      </c>
      <c r="B42" s="10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99"/>
    </row>
    <row r="43">
      <c r="A43" s="96"/>
      <c r="B43" s="99"/>
      <c r="D43" s="108"/>
      <c r="E43" s="109"/>
      <c r="F43" s="97"/>
      <c r="G43" s="97"/>
      <c r="H43" s="97"/>
      <c r="I43" s="97"/>
      <c r="J43" s="97"/>
      <c r="K43" s="97"/>
      <c r="L43" s="97"/>
      <c r="M43" s="97"/>
      <c r="N43" s="97"/>
    </row>
    <row r="44">
      <c r="A44" s="105">
        <v>20.0</v>
      </c>
      <c r="B44" s="10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99"/>
    </row>
    <row r="45">
      <c r="A45" s="96"/>
      <c r="B45" s="99"/>
      <c r="D45" s="108"/>
      <c r="E45" s="109"/>
      <c r="F45" s="97"/>
      <c r="G45" s="97"/>
      <c r="H45" s="97"/>
      <c r="I45" s="97"/>
      <c r="J45" s="97"/>
      <c r="K45" s="97"/>
      <c r="L45" s="97"/>
      <c r="M45" s="97"/>
      <c r="N45" s="97"/>
    </row>
    <row r="46">
      <c r="A46" s="105">
        <v>21.0</v>
      </c>
      <c r="B46" s="10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99"/>
    </row>
    <row r="47">
      <c r="A47" s="96"/>
      <c r="B47" s="99"/>
      <c r="D47" s="108"/>
      <c r="E47" s="109"/>
      <c r="F47" s="97"/>
      <c r="G47" s="97"/>
      <c r="H47" s="97"/>
      <c r="I47" s="97"/>
      <c r="J47" s="97"/>
      <c r="K47" s="97"/>
      <c r="L47" s="97"/>
      <c r="M47" s="97"/>
      <c r="N47" s="97"/>
    </row>
    <row r="48">
      <c r="A48" s="105">
        <v>22.0</v>
      </c>
      <c r="B48" s="10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99"/>
    </row>
    <row r="49">
      <c r="A49" s="96"/>
      <c r="B49" s="99"/>
      <c r="D49" s="108"/>
      <c r="E49" s="109"/>
      <c r="F49" s="97"/>
      <c r="G49" s="97"/>
      <c r="H49" s="97"/>
      <c r="I49" s="97"/>
      <c r="J49" s="97"/>
      <c r="K49" s="97"/>
      <c r="L49" s="97"/>
      <c r="M49" s="97"/>
      <c r="N49" s="97"/>
    </row>
    <row r="50">
      <c r="A50" s="105">
        <v>23.0</v>
      </c>
      <c r="B50" s="10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99"/>
    </row>
    <row r="51">
      <c r="A51" s="96"/>
      <c r="B51" s="99"/>
      <c r="D51" s="108"/>
      <c r="E51" s="109"/>
      <c r="F51" s="97"/>
      <c r="G51" s="97"/>
      <c r="H51" s="97"/>
      <c r="I51" s="97"/>
      <c r="J51" s="97"/>
      <c r="K51" s="97"/>
      <c r="L51" s="97"/>
      <c r="M51" s="97"/>
      <c r="N51" s="97"/>
    </row>
    <row r="52">
      <c r="A52" s="105">
        <v>24.0</v>
      </c>
      <c r="B52" s="10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99"/>
    </row>
    <row r="53">
      <c r="A53" s="96"/>
      <c r="B53" s="99"/>
      <c r="D53" s="108"/>
      <c r="E53" s="109"/>
      <c r="F53" s="97"/>
      <c r="G53" s="97"/>
      <c r="H53" s="97"/>
      <c r="I53" s="97"/>
      <c r="J53" s="97"/>
      <c r="K53" s="97"/>
      <c r="L53" s="97"/>
      <c r="M53" s="97"/>
      <c r="N53" s="97"/>
    </row>
    <row r="54">
      <c r="A54" s="105">
        <v>25.0</v>
      </c>
      <c r="B54" s="10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99"/>
    </row>
    <row r="55">
      <c r="A55" s="96"/>
      <c r="B55" s="99"/>
      <c r="D55" s="108"/>
      <c r="E55" s="109"/>
      <c r="F55" s="97"/>
      <c r="G55" s="97"/>
      <c r="H55" s="97"/>
      <c r="I55" s="97"/>
      <c r="J55" s="97"/>
      <c r="K55" s="97"/>
      <c r="L55" s="97"/>
      <c r="M55" s="97"/>
      <c r="N55" s="97"/>
    </row>
    <row r="56">
      <c r="A56" s="96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</row>
  </sheetData>
  <mergeCells count="54">
    <mergeCell ref="B33:C33"/>
    <mergeCell ref="B34:M34"/>
    <mergeCell ref="B25:C25"/>
    <mergeCell ref="B26:M26"/>
    <mergeCell ref="B27:C27"/>
    <mergeCell ref="B36:M36"/>
    <mergeCell ref="B38:M38"/>
    <mergeCell ref="B30:M30"/>
    <mergeCell ref="B24:M24"/>
    <mergeCell ref="B50:M50"/>
    <mergeCell ref="B49:C49"/>
    <mergeCell ref="B40:M40"/>
    <mergeCell ref="B42:M42"/>
    <mergeCell ref="B46:M46"/>
    <mergeCell ref="B48:M48"/>
    <mergeCell ref="B52:M52"/>
    <mergeCell ref="B54:M54"/>
    <mergeCell ref="B44:M44"/>
    <mergeCell ref="B53:C53"/>
    <mergeCell ref="B31:C31"/>
    <mergeCell ref="B32:M32"/>
    <mergeCell ref="B29:C29"/>
    <mergeCell ref="B28:M28"/>
    <mergeCell ref="B35:C35"/>
    <mergeCell ref="B37:C37"/>
    <mergeCell ref="B41:C41"/>
    <mergeCell ref="B43:C43"/>
    <mergeCell ref="B47:C47"/>
    <mergeCell ref="B45:C45"/>
    <mergeCell ref="B23:C23"/>
    <mergeCell ref="B39:C39"/>
    <mergeCell ref="F4:I4"/>
    <mergeCell ref="B1:M3"/>
    <mergeCell ref="J4:M4"/>
    <mergeCell ref="B4:E4"/>
    <mergeCell ref="B19:C19"/>
    <mergeCell ref="B21:C21"/>
    <mergeCell ref="B11:C11"/>
    <mergeCell ref="B13:C13"/>
    <mergeCell ref="B51:C51"/>
    <mergeCell ref="B55:C55"/>
    <mergeCell ref="B12:M12"/>
    <mergeCell ref="B8:M8"/>
    <mergeCell ref="B9:C9"/>
    <mergeCell ref="B6:M6"/>
    <mergeCell ref="B10:M10"/>
    <mergeCell ref="B7:C7"/>
    <mergeCell ref="B14:M14"/>
    <mergeCell ref="B18:M18"/>
    <mergeCell ref="B20:M20"/>
    <mergeCell ref="B16:M16"/>
    <mergeCell ref="B15:C15"/>
    <mergeCell ref="B17:C17"/>
    <mergeCell ref="B22:M22"/>
  </mergeCells>
  <conditionalFormatting sqref="A1:A56">
    <cfRule type="cellIs" dxfId="0" priority="1" operator="equal">
      <formula>DATEDIF(DATE(2019, 2, 10), NOW(), "D")</formula>
    </cfRule>
  </conditionalFormatting>
  <hyperlinks>
    <hyperlink display="N++&gt;Co-op&gt;Levels" location="Main Menu!A1" ref="B1"/>
    <hyperlink display="N++" location="Co-op&gt;Levels&gt;N++!A1" ref="F4"/>
    <hyperlink display="Legacy" location="Co-op&gt;Levels&gt;Legacy!A1" ref="J4"/>
  </hyperlinks>
  <drawing r:id="rId1"/>
</worksheet>
</file>