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BE13AE2D-3809-4632-A398-2E12DA6A63E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EMLI" sheetId="1" r:id="rId1"/>
    <sheet name="Data" sheetId="4" r:id="rId2"/>
    <sheet name="GTI Error Rectification" sheetId="5" state="hidden" r:id="rId3"/>
  </sheets>
  <externalReferences>
    <externalReference r:id="rId4"/>
  </externalReferences>
  <definedNames>
    <definedName name="_xlnm._FilterDatabase" localSheetId="1" hidden="1">Data!$E$2:$U$86</definedName>
    <definedName name="_xlnm._FilterDatabase" localSheetId="0" hidden="1">SEMLI!$A$2:$AQ$110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4" l="1"/>
  <c r="N91" i="4" s="1"/>
  <c r="F91" i="4"/>
  <c r="G91" i="4"/>
  <c r="H91" i="4"/>
  <c r="I91" i="4"/>
  <c r="J91" i="4"/>
  <c r="K91" i="4"/>
  <c r="Q91" i="4"/>
  <c r="S91" i="4"/>
  <c r="T91" i="4"/>
  <c r="U91" i="4"/>
  <c r="F92" i="4"/>
  <c r="G92" i="4"/>
  <c r="H92" i="4"/>
  <c r="I92" i="4"/>
  <c r="J92" i="4"/>
  <c r="K92" i="4"/>
  <c r="Q92" i="4"/>
  <c r="S92" i="4"/>
  <c r="T92" i="4"/>
  <c r="U92" i="4"/>
  <c r="V119" i="1"/>
  <c r="U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L111" i="1"/>
  <c r="M111" i="1"/>
  <c r="N111" i="1"/>
  <c r="O111" i="1"/>
  <c r="T111" i="1" s="1"/>
  <c r="I111" i="1"/>
  <c r="J111" i="1"/>
  <c r="K111" i="1"/>
  <c r="H111" i="1"/>
  <c r="E111" i="1"/>
  <c r="F111" i="1"/>
  <c r="G111" i="1"/>
  <c r="R111" i="1" s="1"/>
  <c r="D111" i="1"/>
  <c r="C111" i="1"/>
  <c r="B111" i="1"/>
  <c r="Q92" i="1"/>
  <c r="P92" i="1" s="1"/>
  <c r="R92" i="1"/>
  <c r="S92" i="1"/>
  <c r="T92" i="1"/>
  <c r="K92" i="1"/>
  <c r="I92" i="1"/>
  <c r="H92" i="1"/>
  <c r="H93" i="1"/>
  <c r="H94" i="1"/>
  <c r="H95" i="1"/>
  <c r="H96" i="1"/>
  <c r="H97" i="1"/>
  <c r="H98" i="1"/>
  <c r="H99" i="1"/>
  <c r="H100" i="1"/>
  <c r="H101" i="1"/>
  <c r="H102" i="1"/>
  <c r="J92" i="1"/>
  <c r="J93" i="1"/>
  <c r="J94" i="1"/>
  <c r="J95" i="1"/>
  <c r="J96" i="1"/>
  <c r="J97" i="1"/>
  <c r="J98" i="1"/>
  <c r="J99" i="1"/>
  <c r="J100" i="1"/>
  <c r="J101" i="1"/>
  <c r="J102" i="1"/>
  <c r="V111" i="1"/>
  <c r="U111" i="1"/>
  <c r="S111" i="1"/>
  <c r="Q91" i="1"/>
  <c r="P91" i="1" s="1"/>
  <c r="R91" i="1"/>
  <c r="S91" i="1"/>
  <c r="T91" i="1"/>
  <c r="L91" i="4" l="1"/>
  <c r="M91" i="4"/>
  <c r="O91" i="4"/>
  <c r="E92" i="4"/>
  <c r="Q111" i="1"/>
  <c r="P111" i="1" s="1"/>
  <c r="E90" i="4"/>
  <c r="F90" i="4"/>
  <c r="G90" i="4"/>
  <c r="O90" i="4" s="1"/>
  <c r="H90" i="4"/>
  <c r="I90" i="4"/>
  <c r="J90" i="4"/>
  <c r="K90" i="4"/>
  <c r="Q90" i="4"/>
  <c r="S90" i="4"/>
  <c r="T90" i="4"/>
  <c r="U90" i="4"/>
  <c r="V110" i="1"/>
  <c r="U110" i="1"/>
  <c r="O110" i="1"/>
  <c r="N110" i="1"/>
  <c r="M110" i="1"/>
  <c r="L110" i="1"/>
  <c r="G110" i="1"/>
  <c r="F110" i="1"/>
  <c r="E110" i="1"/>
  <c r="D110" i="1"/>
  <c r="C110" i="1"/>
  <c r="B110" i="1"/>
  <c r="T90" i="1"/>
  <c r="S90" i="1"/>
  <c r="R90" i="1"/>
  <c r="Q90" i="1"/>
  <c r="O92" i="4" l="1"/>
  <c r="M92" i="4"/>
  <c r="N92" i="4"/>
  <c r="L92" i="4"/>
  <c r="P90" i="1"/>
  <c r="L90" i="4"/>
  <c r="M90" i="4"/>
  <c r="N90" i="4"/>
  <c r="E89" i="4"/>
  <c r="F89" i="4"/>
  <c r="L89" i="4" s="1"/>
  <c r="G89" i="4"/>
  <c r="H89" i="4"/>
  <c r="I89" i="4"/>
  <c r="J89" i="4"/>
  <c r="K89" i="4"/>
  <c r="Q89" i="4"/>
  <c r="S89" i="4"/>
  <c r="T89" i="4"/>
  <c r="U89" i="4"/>
  <c r="S89" i="1"/>
  <c r="R89" i="1"/>
  <c r="Q89" i="1"/>
  <c r="T89" i="1"/>
  <c r="M89" i="4" l="1"/>
  <c r="P89" i="1"/>
  <c r="O89" i="4"/>
  <c r="N89" i="4"/>
  <c r="E88" i="4"/>
  <c r="F88" i="4"/>
  <c r="G88" i="4"/>
  <c r="H88" i="4"/>
  <c r="I88" i="4"/>
  <c r="J88" i="4"/>
  <c r="K88" i="4"/>
  <c r="Q88" i="4"/>
  <c r="S88" i="4"/>
  <c r="T88" i="4"/>
  <c r="U88" i="4"/>
  <c r="T88" i="1"/>
  <c r="S88" i="1"/>
  <c r="R88" i="1"/>
  <c r="Q88" i="1"/>
  <c r="E87" i="4"/>
  <c r="F87" i="4"/>
  <c r="G87" i="4"/>
  <c r="H87" i="4"/>
  <c r="I87" i="4"/>
  <c r="J87" i="4"/>
  <c r="K87" i="4"/>
  <c r="Q87" i="4"/>
  <c r="S87" i="4"/>
  <c r="T87" i="4"/>
  <c r="U87" i="4"/>
  <c r="Q87" i="1"/>
  <c r="R87" i="1"/>
  <c r="S87" i="1"/>
  <c r="T87" i="1"/>
  <c r="M87" i="4" l="1"/>
  <c r="P88" i="1"/>
  <c r="L87" i="4"/>
  <c r="P87" i="1"/>
  <c r="N87" i="4"/>
  <c r="O87" i="4"/>
  <c r="N88" i="4"/>
  <c r="M88" i="4"/>
  <c r="L88" i="4"/>
  <c r="O88" i="4"/>
  <c r="E86" i="4"/>
  <c r="F86" i="4"/>
  <c r="N86" i="4" s="1"/>
  <c r="G86" i="4"/>
  <c r="H86" i="4"/>
  <c r="I86" i="4"/>
  <c r="J86" i="4"/>
  <c r="K86" i="4"/>
  <c r="Q86" i="4"/>
  <c r="S86" i="4"/>
  <c r="T86" i="4"/>
  <c r="U86" i="4"/>
  <c r="E85" i="4"/>
  <c r="F85" i="4"/>
  <c r="G85" i="4"/>
  <c r="H85" i="4"/>
  <c r="I85" i="4"/>
  <c r="J85" i="4"/>
  <c r="K85" i="4"/>
  <c r="Q85" i="4"/>
  <c r="S85" i="4"/>
  <c r="T85" i="4"/>
  <c r="U85" i="4"/>
  <c r="O86" i="4" l="1"/>
  <c r="L85" i="4"/>
  <c r="O85" i="4"/>
  <c r="L86" i="4"/>
  <c r="M86" i="4"/>
  <c r="N85" i="4"/>
  <c r="M85" i="4"/>
  <c r="Q86" i="1"/>
  <c r="R86" i="1"/>
  <c r="S86" i="1"/>
  <c r="T86" i="1"/>
  <c r="P86" i="1" l="1"/>
  <c r="Q85" i="1"/>
  <c r="R85" i="1"/>
  <c r="S85" i="1"/>
  <c r="T85" i="1"/>
  <c r="P85" i="1" l="1"/>
  <c r="E84" i="4"/>
  <c r="F84" i="4"/>
  <c r="N84" i="4" s="1"/>
  <c r="G84" i="4"/>
  <c r="O84" i="4" s="1"/>
  <c r="H84" i="4"/>
  <c r="I84" i="4"/>
  <c r="J84" i="4"/>
  <c r="K84" i="4"/>
  <c r="Q84" i="4"/>
  <c r="S84" i="4"/>
  <c r="T84" i="4"/>
  <c r="U84" i="4"/>
  <c r="L84" i="4" l="1"/>
  <c r="M84" i="4"/>
  <c r="Q84" i="1"/>
  <c r="R84" i="1"/>
  <c r="S84" i="1"/>
  <c r="T84" i="1"/>
  <c r="P84" i="1"/>
  <c r="E83" i="4"/>
  <c r="N83" i="4" s="1"/>
  <c r="F83" i="4"/>
  <c r="G83" i="4"/>
  <c r="H83" i="4"/>
  <c r="I83" i="4"/>
  <c r="J83" i="4"/>
  <c r="K83" i="4"/>
  <c r="L83" i="4"/>
  <c r="Q83" i="4"/>
  <c r="S83" i="4"/>
  <c r="T83" i="4"/>
  <c r="U83" i="4"/>
  <c r="T119" i="1"/>
  <c r="S119" i="1"/>
  <c r="R119" i="1"/>
  <c r="O118" i="1"/>
  <c r="N118" i="1"/>
  <c r="M118" i="1"/>
  <c r="L118" i="1"/>
  <c r="G118" i="1"/>
  <c r="E118" i="1"/>
  <c r="C118" i="1"/>
  <c r="B118" i="1"/>
  <c r="M83" i="4" l="1"/>
  <c r="O83" i="4"/>
  <c r="Q119" i="1"/>
  <c r="P119" i="1" s="1"/>
  <c r="Q83" i="1" l="1"/>
  <c r="R83" i="1"/>
  <c r="P83" i="1" s="1"/>
  <c r="S83" i="1"/>
  <c r="T83" i="1"/>
  <c r="F82" i="4"/>
  <c r="G82" i="4"/>
  <c r="H82" i="4"/>
  <c r="I82" i="4"/>
  <c r="J82" i="4"/>
  <c r="K82" i="4"/>
  <c r="Q82" i="4"/>
  <c r="S82" i="4"/>
  <c r="T82" i="4"/>
  <c r="U82" i="4"/>
  <c r="T82" i="1"/>
  <c r="S82" i="1"/>
  <c r="R82" i="1"/>
  <c r="Q82" i="1"/>
  <c r="P82" i="1" l="1"/>
  <c r="F80" i="4"/>
  <c r="G80" i="4"/>
  <c r="H80" i="4"/>
  <c r="I80" i="4"/>
  <c r="J80" i="4"/>
  <c r="K80" i="4"/>
  <c r="Q80" i="4"/>
  <c r="S80" i="4"/>
  <c r="T80" i="4"/>
  <c r="U80" i="4"/>
  <c r="F81" i="4"/>
  <c r="G81" i="4"/>
  <c r="H81" i="4"/>
  <c r="I81" i="4"/>
  <c r="J81" i="4"/>
  <c r="K81" i="4"/>
  <c r="Q81" i="4"/>
  <c r="S81" i="4"/>
  <c r="T81" i="4"/>
  <c r="U81" i="4"/>
  <c r="T81" i="1"/>
  <c r="S81" i="1"/>
  <c r="R81" i="1"/>
  <c r="Q81" i="1"/>
  <c r="P81" i="1" l="1"/>
  <c r="V113" i="1"/>
  <c r="O113" i="1"/>
  <c r="N113" i="1"/>
  <c r="M113" i="1"/>
  <c r="L113" i="1"/>
  <c r="H113" i="1"/>
  <c r="B113" i="1"/>
  <c r="S113" i="1" l="1"/>
  <c r="T113" i="1"/>
  <c r="T80" i="1"/>
  <c r="S80" i="1"/>
  <c r="R80" i="1"/>
  <c r="Q80" i="1"/>
  <c r="P80" i="1" l="1"/>
  <c r="K79" i="4" l="1"/>
  <c r="J79" i="4"/>
  <c r="I79" i="4"/>
  <c r="H79" i="4"/>
  <c r="G79" i="4"/>
  <c r="F79" i="4"/>
  <c r="Q79" i="4"/>
  <c r="S79" i="4"/>
  <c r="T79" i="4"/>
  <c r="U79" i="4"/>
  <c r="T79" i="1"/>
  <c r="S79" i="1"/>
  <c r="R79" i="1"/>
  <c r="Q79" i="1"/>
  <c r="P79" i="1" l="1"/>
  <c r="U78" i="4"/>
  <c r="U77" i="4"/>
  <c r="U76" i="4"/>
  <c r="T78" i="4"/>
  <c r="T77" i="4"/>
  <c r="S78" i="4"/>
  <c r="S77" i="4"/>
  <c r="Q78" i="4"/>
  <c r="Q77" i="4"/>
  <c r="K78" i="4"/>
  <c r="K77" i="4"/>
  <c r="I78" i="4"/>
  <c r="I77" i="4"/>
  <c r="G78" i="4"/>
  <c r="G77" i="4"/>
  <c r="V109" i="1"/>
  <c r="U109" i="1"/>
  <c r="O109" i="1"/>
  <c r="N109" i="1"/>
  <c r="M109" i="1"/>
  <c r="L109" i="1"/>
  <c r="G109" i="1"/>
  <c r="E109" i="1"/>
  <c r="C109" i="1"/>
  <c r="B109" i="1"/>
  <c r="T110" i="1" l="1"/>
  <c r="S110" i="1"/>
  <c r="R110" i="1"/>
  <c r="Q110" i="1"/>
  <c r="T76" i="4"/>
  <c r="S76" i="4"/>
  <c r="Q76" i="4"/>
  <c r="K76" i="4"/>
  <c r="I76" i="4"/>
  <c r="G76" i="4"/>
  <c r="P110" i="1" l="1"/>
  <c r="U75" i="4"/>
  <c r="T75" i="4"/>
  <c r="S75" i="4"/>
  <c r="Q75" i="4"/>
  <c r="K75" i="4"/>
  <c r="I75" i="4"/>
  <c r="G75" i="4"/>
  <c r="I63" i="1"/>
  <c r="Q75" i="1"/>
  <c r="O3" i="5" l="1"/>
  <c r="O4" i="5"/>
  <c r="O5" i="5"/>
  <c r="O6" i="5"/>
  <c r="O7" i="5"/>
  <c r="O8" i="5"/>
  <c r="N3" i="5"/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4" i="5"/>
  <c r="L41" i="5"/>
  <c r="M40" i="5"/>
  <c r="L40" i="5"/>
  <c r="S33" i="5"/>
  <c r="R33" i="5"/>
  <c r="P33" i="5"/>
  <c r="Q33" i="5" s="1"/>
  <c r="L33" i="5"/>
  <c r="L34" i="5" s="1"/>
  <c r="K33" i="5"/>
  <c r="K34" i="5" s="1"/>
  <c r="I33" i="5"/>
  <c r="I34" i="5" s="1"/>
  <c r="H33" i="5"/>
  <c r="F33" i="5"/>
  <c r="F34" i="5" s="1"/>
  <c r="E33" i="5"/>
  <c r="E34" i="5" s="1"/>
  <c r="C33" i="5"/>
  <c r="B33" i="5"/>
  <c r="B34" i="5" s="1"/>
  <c r="T32" i="5"/>
  <c r="Q32" i="5"/>
  <c r="M32" i="5"/>
  <c r="J32" i="5"/>
  <c r="G32" i="5"/>
  <c r="D32" i="5"/>
  <c r="T31" i="5"/>
  <c r="Q31" i="5"/>
  <c r="M31" i="5"/>
  <c r="J31" i="5"/>
  <c r="G31" i="5"/>
  <c r="D31" i="5"/>
  <c r="T30" i="5"/>
  <c r="Q30" i="5"/>
  <c r="M30" i="5"/>
  <c r="J30" i="5"/>
  <c r="G30" i="5"/>
  <c r="D30" i="5"/>
  <c r="T29" i="5"/>
  <c r="Q29" i="5"/>
  <c r="M29" i="5"/>
  <c r="J29" i="5"/>
  <c r="G29" i="5"/>
  <c r="D29" i="5"/>
  <c r="T28" i="5"/>
  <c r="Q28" i="5"/>
  <c r="M28" i="5"/>
  <c r="J28" i="5"/>
  <c r="G28" i="5"/>
  <c r="D28" i="5"/>
  <c r="T27" i="5"/>
  <c r="Q27" i="5"/>
  <c r="M27" i="5"/>
  <c r="J27" i="5"/>
  <c r="G27" i="5"/>
  <c r="D27" i="5"/>
  <c r="T26" i="5"/>
  <c r="Q26" i="5"/>
  <c r="M26" i="5"/>
  <c r="J26" i="5"/>
  <c r="G26" i="5"/>
  <c r="D26" i="5"/>
  <c r="T25" i="5"/>
  <c r="Q25" i="5"/>
  <c r="M25" i="5"/>
  <c r="J25" i="5"/>
  <c r="G25" i="5"/>
  <c r="D25" i="5"/>
  <c r="T24" i="5"/>
  <c r="Q24" i="5"/>
  <c r="M24" i="5"/>
  <c r="J24" i="5"/>
  <c r="G24" i="5"/>
  <c r="D24" i="5"/>
  <c r="T23" i="5"/>
  <c r="Q23" i="5"/>
  <c r="M23" i="5"/>
  <c r="J23" i="5"/>
  <c r="G23" i="5"/>
  <c r="D23" i="5"/>
  <c r="T22" i="5"/>
  <c r="Q22" i="5"/>
  <c r="M22" i="5"/>
  <c r="J22" i="5"/>
  <c r="G22" i="5"/>
  <c r="D22" i="5"/>
  <c r="T21" i="5"/>
  <c r="Q21" i="5"/>
  <c r="M21" i="5"/>
  <c r="J21" i="5"/>
  <c r="G21" i="5"/>
  <c r="D21" i="5"/>
  <c r="T20" i="5"/>
  <c r="Q20" i="5"/>
  <c r="M20" i="5"/>
  <c r="J20" i="5"/>
  <c r="G20" i="5"/>
  <c r="D20" i="5"/>
  <c r="T19" i="5"/>
  <c r="Q19" i="5"/>
  <c r="M19" i="5"/>
  <c r="J19" i="5"/>
  <c r="G19" i="5"/>
  <c r="D19" i="5"/>
  <c r="T18" i="5"/>
  <c r="Q18" i="5"/>
  <c r="M18" i="5"/>
  <c r="J18" i="5"/>
  <c r="G18" i="5"/>
  <c r="D18" i="5"/>
  <c r="T17" i="5"/>
  <c r="Q17" i="5"/>
  <c r="M17" i="5"/>
  <c r="J17" i="5"/>
  <c r="G17" i="5"/>
  <c r="D17" i="5"/>
  <c r="T16" i="5"/>
  <c r="Q16" i="5"/>
  <c r="M16" i="5"/>
  <c r="J16" i="5"/>
  <c r="G16" i="5"/>
  <c r="D16" i="5"/>
  <c r="T15" i="5"/>
  <c r="Q15" i="5"/>
  <c r="M15" i="5"/>
  <c r="J15" i="5"/>
  <c r="G15" i="5"/>
  <c r="D15" i="5"/>
  <c r="T14" i="5"/>
  <c r="Q14" i="5"/>
  <c r="M14" i="5"/>
  <c r="J14" i="5"/>
  <c r="G14" i="5"/>
  <c r="D14" i="5"/>
  <c r="T13" i="5"/>
  <c r="Q13" i="5"/>
  <c r="M13" i="5"/>
  <c r="J13" i="5"/>
  <c r="G13" i="5"/>
  <c r="D13" i="5"/>
  <c r="T12" i="5"/>
  <c r="Q12" i="5"/>
  <c r="M12" i="5"/>
  <c r="J12" i="5"/>
  <c r="G12" i="5"/>
  <c r="D12" i="5"/>
  <c r="T11" i="5"/>
  <c r="Q11" i="5"/>
  <c r="M11" i="5"/>
  <c r="J11" i="5"/>
  <c r="G11" i="5"/>
  <c r="D11" i="5"/>
  <c r="T10" i="5"/>
  <c r="Q10" i="5"/>
  <c r="M10" i="5"/>
  <c r="J10" i="5"/>
  <c r="G10" i="5"/>
  <c r="D10" i="5"/>
  <c r="T9" i="5"/>
  <c r="Q9" i="5"/>
  <c r="M9" i="5"/>
  <c r="J9" i="5"/>
  <c r="G9" i="5"/>
  <c r="D9" i="5"/>
  <c r="T8" i="5"/>
  <c r="Q8" i="5"/>
  <c r="M8" i="5"/>
  <c r="J8" i="5"/>
  <c r="G8" i="5"/>
  <c r="N8" i="5" s="1"/>
  <c r="D8" i="5"/>
  <c r="T7" i="5"/>
  <c r="Q7" i="5"/>
  <c r="M7" i="5"/>
  <c r="J7" i="5"/>
  <c r="G7" i="5"/>
  <c r="D7" i="5"/>
  <c r="N7" i="5" s="1"/>
  <c r="T6" i="5"/>
  <c r="Q6" i="5"/>
  <c r="M6" i="5"/>
  <c r="J6" i="5"/>
  <c r="G6" i="5"/>
  <c r="D6" i="5"/>
  <c r="T5" i="5"/>
  <c r="Q5" i="5"/>
  <c r="M5" i="5"/>
  <c r="J5" i="5"/>
  <c r="G5" i="5"/>
  <c r="D5" i="5"/>
  <c r="N5" i="5" s="1"/>
  <c r="T4" i="5"/>
  <c r="Q4" i="5"/>
  <c r="M4" i="5"/>
  <c r="J4" i="5"/>
  <c r="G4" i="5"/>
  <c r="D4" i="5"/>
  <c r="N4" i="5" s="1"/>
  <c r="T3" i="5"/>
  <c r="Q3" i="5"/>
  <c r="M3" i="5"/>
  <c r="J3" i="5"/>
  <c r="G3" i="5"/>
  <c r="D3" i="5"/>
  <c r="N40" i="5" l="1"/>
  <c r="T33" i="5"/>
  <c r="J33" i="5"/>
  <c r="N28" i="5"/>
  <c r="O28" i="5" s="1"/>
  <c r="N20" i="5"/>
  <c r="O20" i="5" s="1"/>
  <c r="N24" i="5"/>
  <c r="O24" i="5" s="1"/>
  <c r="N32" i="5"/>
  <c r="O32" i="5" s="1"/>
  <c r="N6" i="5"/>
  <c r="G33" i="5"/>
  <c r="N31" i="5"/>
  <c r="O31" i="5" s="1"/>
  <c r="N27" i="5"/>
  <c r="O27" i="5" s="1"/>
  <c r="N23" i="5"/>
  <c r="O23" i="5" s="1"/>
  <c r="N19" i="5"/>
  <c r="O19" i="5" s="1"/>
  <c r="N10" i="5"/>
  <c r="O10" i="5" s="1"/>
  <c r="N14" i="5"/>
  <c r="O14" i="5" s="1"/>
  <c r="N22" i="5"/>
  <c r="O22" i="5" s="1"/>
  <c r="N26" i="5"/>
  <c r="O26" i="5" s="1"/>
  <c r="N30" i="5"/>
  <c r="O30" i="5" s="1"/>
  <c r="N18" i="5"/>
  <c r="O18" i="5" s="1"/>
  <c r="N9" i="5"/>
  <c r="O9" i="5" s="1"/>
  <c r="N13" i="5"/>
  <c r="O13" i="5" s="1"/>
  <c r="N17" i="5"/>
  <c r="O17" i="5" s="1"/>
  <c r="D33" i="5"/>
  <c r="N21" i="5"/>
  <c r="O21" i="5" s="1"/>
  <c r="N25" i="5"/>
  <c r="O25" i="5" s="1"/>
  <c r="N29" i="5"/>
  <c r="O29" i="5" s="1"/>
  <c r="N12" i="5"/>
  <c r="O12" i="5" s="1"/>
  <c r="N16" i="5"/>
  <c r="O16" i="5" s="1"/>
  <c r="N11" i="5"/>
  <c r="O11" i="5" s="1"/>
  <c r="N15" i="5"/>
  <c r="O15" i="5" s="1"/>
  <c r="M33" i="5"/>
  <c r="C34" i="5"/>
  <c r="H34" i="5"/>
  <c r="O33" i="5" l="1"/>
  <c r="O34" i="5" s="1"/>
  <c r="O35" i="5" s="1"/>
  <c r="M41" i="5" l="1"/>
  <c r="N41" i="5" s="1"/>
  <c r="N42" i="5" s="1"/>
  <c r="U74" i="4" l="1"/>
  <c r="T74" i="4"/>
  <c r="S74" i="4"/>
  <c r="Q74" i="4"/>
  <c r="K74" i="4"/>
  <c r="I74" i="4"/>
  <c r="G74" i="4"/>
  <c r="U73" i="4" l="1"/>
  <c r="T73" i="4"/>
  <c r="S73" i="4"/>
  <c r="Q73" i="4"/>
  <c r="K73" i="4"/>
  <c r="I73" i="4"/>
  <c r="G73" i="4"/>
  <c r="T72" i="4" l="1"/>
  <c r="U72" i="4"/>
  <c r="S72" i="4"/>
  <c r="Q72" i="4"/>
  <c r="G72" i="4"/>
  <c r="I72" i="4"/>
  <c r="J72" i="4"/>
  <c r="K72" i="4"/>
  <c r="R71" i="1" l="1"/>
  <c r="V118" i="1"/>
  <c r="U118" i="1"/>
  <c r="V117" i="1"/>
  <c r="U117" i="1"/>
  <c r="O117" i="1"/>
  <c r="N117" i="1"/>
  <c r="M117" i="1"/>
  <c r="L117" i="1"/>
  <c r="G117" i="1"/>
  <c r="E117" i="1"/>
  <c r="C117" i="1"/>
  <c r="B117" i="1"/>
  <c r="F3" i="4"/>
  <c r="G3" i="4"/>
  <c r="H3" i="4"/>
  <c r="I3" i="4"/>
  <c r="J3" i="4"/>
  <c r="K3" i="4"/>
  <c r="F4" i="4"/>
  <c r="I4" i="4"/>
  <c r="J4" i="4"/>
  <c r="K4" i="4"/>
  <c r="F5" i="4"/>
  <c r="H5" i="4"/>
  <c r="I5" i="4"/>
  <c r="J5" i="4"/>
  <c r="K5" i="4"/>
  <c r="F6" i="4"/>
  <c r="H6" i="4"/>
  <c r="I6" i="4"/>
  <c r="J6" i="4"/>
  <c r="K6" i="4"/>
  <c r="F7" i="4"/>
  <c r="H7" i="4"/>
  <c r="I7" i="4"/>
  <c r="J7" i="4"/>
  <c r="K7" i="4"/>
  <c r="F8" i="4"/>
  <c r="H8" i="4"/>
  <c r="I8" i="4"/>
  <c r="J8" i="4"/>
  <c r="K8" i="4"/>
  <c r="F9" i="4"/>
  <c r="H9" i="4"/>
  <c r="I9" i="4"/>
  <c r="J9" i="4"/>
  <c r="K9" i="4"/>
  <c r="F10" i="4"/>
  <c r="G10" i="4"/>
  <c r="H10" i="4"/>
  <c r="I10" i="4"/>
  <c r="J10" i="4"/>
  <c r="K10" i="4"/>
  <c r="F11" i="4"/>
  <c r="H11" i="4"/>
  <c r="I11" i="4"/>
  <c r="J11" i="4"/>
  <c r="K11" i="4"/>
  <c r="F12" i="4"/>
  <c r="I12" i="4"/>
  <c r="K12" i="4"/>
  <c r="F13" i="4"/>
  <c r="I13" i="4"/>
  <c r="K13" i="4"/>
  <c r="F14" i="4"/>
  <c r="I14" i="4"/>
  <c r="K14" i="4"/>
  <c r="F15" i="4"/>
  <c r="G15" i="4"/>
  <c r="I15" i="4"/>
  <c r="K15" i="4"/>
  <c r="F16" i="4"/>
  <c r="G16" i="4"/>
  <c r="I16" i="4"/>
  <c r="K16" i="4"/>
  <c r="F17" i="4"/>
  <c r="F18" i="4"/>
  <c r="I18" i="4"/>
  <c r="K18" i="4"/>
  <c r="F19" i="4"/>
  <c r="G19" i="4"/>
  <c r="I19" i="4"/>
  <c r="J19" i="4"/>
  <c r="K19" i="4"/>
  <c r="F20" i="4"/>
  <c r="G20" i="4"/>
  <c r="I20" i="4"/>
  <c r="K20" i="4"/>
  <c r="F21" i="4"/>
  <c r="G21" i="4"/>
  <c r="I21" i="4"/>
  <c r="K21" i="4"/>
  <c r="F22" i="4"/>
  <c r="G22" i="4"/>
  <c r="I22" i="4"/>
  <c r="K22" i="4"/>
  <c r="F23" i="4"/>
  <c r="G23" i="4"/>
  <c r="I23" i="4"/>
  <c r="K23" i="4"/>
  <c r="F24" i="4"/>
  <c r="G24" i="4"/>
  <c r="I24" i="4"/>
  <c r="J24" i="4"/>
  <c r="K24" i="4"/>
  <c r="F25" i="4"/>
  <c r="G25" i="4"/>
  <c r="I25" i="4"/>
  <c r="K25" i="4"/>
  <c r="F26" i="4"/>
  <c r="G26" i="4"/>
  <c r="I26" i="4"/>
  <c r="K26" i="4"/>
  <c r="F27" i="4"/>
  <c r="G27" i="4"/>
  <c r="I27" i="4"/>
  <c r="J27" i="4"/>
  <c r="K27" i="4"/>
  <c r="F28" i="4"/>
  <c r="I28" i="4"/>
  <c r="K28" i="4"/>
  <c r="F29" i="4"/>
  <c r="G29" i="4"/>
  <c r="H29" i="4"/>
  <c r="I29" i="4"/>
  <c r="J29" i="4"/>
  <c r="K29" i="4"/>
  <c r="F30" i="4"/>
  <c r="G30" i="4"/>
  <c r="I30" i="4"/>
  <c r="J30" i="4"/>
  <c r="K30" i="4"/>
  <c r="F31" i="4"/>
  <c r="G31" i="4"/>
  <c r="H31" i="4"/>
  <c r="I31" i="4"/>
  <c r="J31" i="4"/>
  <c r="K31" i="4"/>
  <c r="F32" i="4"/>
  <c r="G32" i="4"/>
  <c r="H32" i="4"/>
  <c r="I32" i="4"/>
  <c r="J32" i="4"/>
  <c r="K32" i="4"/>
  <c r="F33" i="4"/>
  <c r="G33" i="4"/>
  <c r="H33" i="4"/>
  <c r="I33" i="4"/>
  <c r="J33" i="4"/>
  <c r="K33" i="4"/>
  <c r="F34" i="4"/>
  <c r="G34" i="4"/>
  <c r="I34" i="4"/>
  <c r="K34" i="4"/>
  <c r="F35" i="4"/>
  <c r="G35" i="4"/>
  <c r="I35" i="4"/>
  <c r="K35" i="4"/>
  <c r="F36" i="4"/>
  <c r="G36" i="4"/>
  <c r="I36" i="4"/>
  <c r="K36" i="4"/>
  <c r="F37" i="4"/>
  <c r="G37" i="4"/>
  <c r="I37" i="4"/>
  <c r="K37" i="4"/>
  <c r="F38" i="4"/>
  <c r="G38" i="4"/>
  <c r="I38" i="4"/>
  <c r="K38" i="4"/>
  <c r="F39" i="4"/>
  <c r="G39" i="4"/>
  <c r="I39" i="4"/>
  <c r="K39" i="4"/>
  <c r="F40" i="4"/>
  <c r="G40" i="4"/>
  <c r="I40" i="4"/>
  <c r="J40" i="4"/>
  <c r="K40" i="4"/>
  <c r="F41" i="4"/>
  <c r="G41" i="4"/>
  <c r="I41" i="4"/>
  <c r="K41" i="4"/>
  <c r="F42" i="4"/>
  <c r="G42" i="4"/>
  <c r="I42" i="4"/>
  <c r="K42" i="4"/>
  <c r="F43" i="4"/>
  <c r="G43" i="4"/>
  <c r="I43" i="4"/>
  <c r="J43" i="4"/>
  <c r="K43" i="4"/>
  <c r="F44" i="4"/>
  <c r="G44" i="4"/>
  <c r="I44" i="4"/>
  <c r="J44" i="4"/>
  <c r="K44" i="4"/>
  <c r="F45" i="4"/>
  <c r="G45" i="4"/>
  <c r="I45" i="4"/>
  <c r="J45" i="4"/>
  <c r="K45" i="4"/>
  <c r="F46" i="4"/>
  <c r="G46" i="4"/>
  <c r="I46" i="4"/>
  <c r="J46" i="4"/>
  <c r="K46" i="4"/>
  <c r="F47" i="4"/>
  <c r="G47" i="4"/>
  <c r="H47" i="4"/>
  <c r="I47" i="4"/>
  <c r="J47" i="4"/>
  <c r="K47" i="4"/>
  <c r="F48" i="4"/>
  <c r="G48" i="4"/>
  <c r="I48" i="4"/>
  <c r="J48" i="4"/>
  <c r="K48" i="4"/>
  <c r="F49" i="4"/>
  <c r="G49" i="4"/>
  <c r="I49" i="4"/>
  <c r="J49" i="4"/>
  <c r="K49" i="4"/>
  <c r="F50" i="4"/>
  <c r="G50" i="4"/>
  <c r="I50" i="4"/>
  <c r="K50" i="4"/>
  <c r="F51" i="4"/>
  <c r="G51" i="4"/>
  <c r="I51" i="4"/>
  <c r="K51" i="4"/>
  <c r="F52" i="4"/>
  <c r="G52" i="4"/>
  <c r="I52" i="4"/>
  <c r="J52" i="4"/>
  <c r="K52" i="4"/>
  <c r="F53" i="4"/>
  <c r="G53" i="4"/>
  <c r="I53" i="4"/>
  <c r="K53" i="4"/>
  <c r="F54" i="4"/>
  <c r="G54" i="4"/>
  <c r="I54" i="4"/>
  <c r="K54" i="4"/>
  <c r="F55" i="4"/>
  <c r="G55" i="4"/>
  <c r="I55" i="4"/>
  <c r="J55" i="4"/>
  <c r="K55" i="4"/>
  <c r="F56" i="4"/>
  <c r="G56" i="4"/>
  <c r="I56" i="4"/>
  <c r="J56" i="4"/>
  <c r="K56" i="4"/>
  <c r="F57" i="4"/>
  <c r="G57" i="4"/>
  <c r="I57" i="4"/>
  <c r="J57" i="4"/>
  <c r="K57" i="4"/>
  <c r="F58" i="4"/>
  <c r="G58" i="4"/>
  <c r="I58" i="4"/>
  <c r="J58" i="4"/>
  <c r="K58" i="4"/>
  <c r="F59" i="4"/>
  <c r="G59" i="4"/>
  <c r="H59" i="4"/>
  <c r="I59" i="4"/>
  <c r="J59" i="4"/>
  <c r="K59" i="4"/>
  <c r="F60" i="4"/>
  <c r="G60" i="4"/>
  <c r="I60" i="4"/>
  <c r="J60" i="4"/>
  <c r="K60" i="4"/>
  <c r="F61" i="4"/>
  <c r="G61" i="4"/>
  <c r="I61" i="4"/>
  <c r="J61" i="4"/>
  <c r="K61" i="4"/>
  <c r="F62" i="4"/>
  <c r="G62" i="4"/>
  <c r="I62" i="4"/>
  <c r="K62" i="4"/>
  <c r="F63" i="4"/>
  <c r="G63" i="4"/>
  <c r="I63" i="4"/>
  <c r="K63" i="4"/>
  <c r="F64" i="4"/>
  <c r="G64" i="4"/>
  <c r="H64" i="4"/>
  <c r="I64" i="4"/>
  <c r="J64" i="4"/>
  <c r="K64" i="4"/>
  <c r="F65" i="4"/>
  <c r="G65" i="4"/>
  <c r="I65" i="4"/>
  <c r="K65" i="4"/>
  <c r="F66" i="4"/>
  <c r="G66" i="4"/>
  <c r="I66" i="4"/>
  <c r="K66" i="4"/>
  <c r="F67" i="4"/>
  <c r="G67" i="4"/>
  <c r="I67" i="4"/>
  <c r="J67" i="4"/>
  <c r="K67" i="4"/>
  <c r="F68" i="4"/>
  <c r="G68" i="4"/>
  <c r="H68" i="4"/>
  <c r="I68" i="4"/>
  <c r="J68" i="4"/>
  <c r="K68" i="4"/>
  <c r="F69" i="4"/>
  <c r="G69" i="4"/>
  <c r="I69" i="4"/>
  <c r="J69" i="4"/>
  <c r="K69" i="4"/>
  <c r="F70" i="4"/>
  <c r="G70" i="4"/>
  <c r="I70" i="4"/>
  <c r="J70" i="4"/>
  <c r="K70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T3" i="4"/>
  <c r="U3" i="4"/>
  <c r="T4" i="4"/>
  <c r="U4" i="4"/>
  <c r="T5" i="4"/>
  <c r="U5" i="4"/>
  <c r="T6" i="4"/>
  <c r="U6" i="4"/>
  <c r="T7" i="4"/>
  <c r="U7" i="4"/>
  <c r="T8" i="4"/>
  <c r="U8" i="4"/>
  <c r="T9" i="4"/>
  <c r="U9" i="4"/>
  <c r="T10" i="4"/>
  <c r="U10" i="4"/>
  <c r="T11" i="4"/>
  <c r="U11" i="4"/>
  <c r="T12" i="4"/>
  <c r="U12" i="4"/>
  <c r="T13" i="4"/>
  <c r="U13" i="4"/>
  <c r="T14" i="4"/>
  <c r="U14" i="4"/>
  <c r="T15" i="4"/>
  <c r="U15" i="4"/>
  <c r="T16" i="4"/>
  <c r="U16" i="4"/>
  <c r="T17" i="4"/>
  <c r="U17" i="4"/>
  <c r="T18" i="4"/>
  <c r="U18" i="4"/>
  <c r="T19" i="4"/>
  <c r="U19" i="4"/>
  <c r="T20" i="4"/>
  <c r="U20" i="4"/>
  <c r="T21" i="4"/>
  <c r="U21" i="4"/>
  <c r="T22" i="4"/>
  <c r="U22" i="4"/>
  <c r="T23" i="4"/>
  <c r="U23" i="4"/>
  <c r="T24" i="4"/>
  <c r="U24" i="4"/>
  <c r="T25" i="4"/>
  <c r="U25" i="4"/>
  <c r="T26" i="4"/>
  <c r="U26" i="4"/>
  <c r="T27" i="4"/>
  <c r="U27" i="4"/>
  <c r="T28" i="4"/>
  <c r="U28" i="4"/>
  <c r="T29" i="4"/>
  <c r="U29" i="4"/>
  <c r="T30" i="4"/>
  <c r="U30" i="4"/>
  <c r="T31" i="4"/>
  <c r="U31" i="4"/>
  <c r="T32" i="4"/>
  <c r="U32" i="4"/>
  <c r="T33" i="4"/>
  <c r="U33" i="4"/>
  <c r="T34" i="4"/>
  <c r="U34" i="4"/>
  <c r="T35" i="4"/>
  <c r="U35" i="4"/>
  <c r="T36" i="4"/>
  <c r="U36" i="4"/>
  <c r="T37" i="4"/>
  <c r="U37" i="4"/>
  <c r="T38" i="4"/>
  <c r="U38" i="4"/>
  <c r="T39" i="4"/>
  <c r="U39" i="4"/>
  <c r="T40" i="4"/>
  <c r="U40" i="4"/>
  <c r="T41" i="4"/>
  <c r="U41" i="4"/>
  <c r="T42" i="4"/>
  <c r="U42" i="4"/>
  <c r="T43" i="4"/>
  <c r="U43" i="4"/>
  <c r="T44" i="4"/>
  <c r="U44" i="4"/>
  <c r="T45" i="4"/>
  <c r="U45" i="4"/>
  <c r="T46" i="4"/>
  <c r="U46" i="4"/>
  <c r="T47" i="4"/>
  <c r="U47" i="4"/>
  <c r="T48" i="4"/>
  <c r="U48" i="4"/>
  <c r="T49" i="4"/>
  <c r="U49" i="4"/>
  <c r="T50" i="4"/>
  <c r="U50" i="4"/>
  <c r="T51" i="4"/>
  <c r="U51" i="4"/>
  <c r="T52" i="4"/>
  <c r="U52" i="4"/>
  <c r="T53" i="4"/>
  <c r="U53" i="4"/>
  <c r="T54" i="4"/>
  <c r="U54" i="4"/>
  <c r="T55" i="4"/>
  <c r="U55" i="4"/>
  <c r="T56" i="4"/>
  <c r="U56" i="4"/>
  <c r="T57" i="4"/>
  <c r="U57" i="4"/>
  <c r="T58" i="4"/>
  <c r="U58" i="4"/>
  <c r="T59" i="4"/>
  <c r="U59" i="4"/>
  <c r="T60" i="4"/>
  <c r="U60" i="4"/>
  <c r="T61" i="4"/>
  <c r="U61" i="4"/>
  <c r="T62" i="4"/>
  <c r="U62" i="4"/>
  <c r="T63" i="4"/>
  <c r="U63" i="4"/>
  <c r="T64" i="4"/>
  <c r="U64" i="4"/>
  <c r="T65" i="4"/>
  <c r="U65" i="4"/>
  <c r="T66" i="4"/>
  <c r="U66" i="4"/>
  <c r="T67" i="4"/>
  <c r="U67" i="4"/>
  <c r="T68" i="4"/>
  <c r="U68" i="4"/>
  <c r="T69" i="4"/>
  <c r="U69" i="4"/>
  <c r="T70" i="4"/>
  <c r="U70" i="4"/>
  <c r="U71" i="4"/>
  <c r="T71" i="4"/>
  <c r="S71" i="4"/>
  <c r="Q71" i="4"/>
  <c r="G71" i="4"/>
  <c r="H71" i="4"/>
  <c r="I71" i="4"/>
  <c r="J71" i="4"/>
  <c r="K71" i="4"/>
  <c r="F71" i="4"/>
  <c r="O69" i="4" l="1"/>
  <c r="M69" i="4"/>
  <c r="N69" i="4"/>
  <c r="L69" i="4"/>
  <c r="M68" i="4"/>
  <c r="Q118" i="1"/>
  <c r="T118" i="1"/>
  <c r="S118" i="1"/>
  <c r="I69" i="1" l="1"/>
  <c r="H69" i="1"/>
  <c r="O3" i="4" l="1"/>
  <c r="N9" i="4"/>
  <c r="J78" i="4" l="1"/>
  <c r="H78" i="4"/>
  <c r="J77" i="4"/>
  <c r="H77" i="4"/>
  <c r="J75" i="4"/>
  <c r="H75" i="4"/>
  <c r="J74" i="4"/>
  <c r="H74" i="4"/>
  <c r="H73" i="4"/>
  <c r="E70" i="4"/>
  <c r="O68" i="4"/>
  <c r="N68" i="4"/>
  <c r="L68" i="4"/>
  <c r="O67" i="4"/>
  <c r="N67" i="4"/>
  <c r="M67" i="4"/>
  <c r="L67" i="4"/>
  <c r="O66" i="4"/>
  <c r="N66" i="4"/>
  <c r="M66" i="4"/>
  <c r="O65" i="4"/>
  <c r="N65" i="4"/>
  <c r="M65" i="4"/>
  <c r="O64" i="4"/>
  <c r="N64" i="4"/>
  <c r="M64" i="4"/>
  <c r="L64" i="4"/>
  <c r="O63" i="4"/>
  <c r="N63" i="4"/>
  <c r="M63" i="4"/>
  <c r="O62" i="4"/>
  <c r="N62" i="4"/>
  <c r="M62" i="4"/>
  <c r="O61" i="4"/>
  <c r="N61" i="4"/>
  <c r="M61" i="4"/>
  <c r="L61" i="4"/>
  <c r="O60" i="4"/>
  <c r="N60" i="4"/>
  <c r="M60" i="4"/>
  <c r="L60" i="4"/>
  <c r="O59" i="4"/>
  <c r="N59" i="4"/>
  <c r="M59" i="4"/>
  <c r="L59" i="4"/>
  <c r="O58" i="4"/>
  <c r="N58" i="4"/>
  <c r="M58" i="4"/>
  <c r="L58" i="4"/>
  <c r="O57" i="4"/>
  <c r="N57" i="4"/>
  <c r="M57" i="4"/>
  <c r="L57" i="4"/>
  <c r="O56" i="4"/>
  <c r="N56" i="4"/>
  <c r="M56" i="4"/>
  <c r="L56" i="4"/>
  <c r="O55" i="4"/>
  <c r="N55" i="4"/>
  <c r="M55" i="4"/>
  <c r="L55" i="4"/>
  <c r="O54" i="4"/>
  <c r="N54" i="4"/>
  <c r="M54" i="4"/>
  <c r="O53" i="4"/>
  <c r="N53" i="4"/>
  <c r="M53" i="4"/>
  <c r="O52" i="4"/>
  <c r="N52" i="4"/>
  <c r="M52" i="4"/>
  <c r="L52" i="4"/>
  <c r="O51" i="4"/>
  <c r="N51" i="4"/>
  <c r="M51" i="4"/>
  <c r="O50" i="4"/>
  <c r="N50" i="4"/>
  <c r="M50" i="4"/>
  <c r="O49" i="4"/>
  <c r="N49" i="4"/>
  <c r="M49" i="4"/>
  <c r="L49" i="4"/>
  <c r="O48" i="4"/>
  <c r="N48" i="4"/>
  <c r="M48" i="4"/>
  <c r="L48" i="4"/>
  <c r="O47" i="4"/>
  <c r="N47" i="4"/>
  <c r="M47" i="4"/>
  <c r="L47" i="4"/>
  <c r="O46" i="4"/>
  <c r="N46" i="4"/>
  <c r="M46" i="4"/>
  <c r="L46" i="4"/>
  <c r="O45" i="4"/>
  <c r="N45" i="4"/>
  <c r="M45" i="4"/>
  <c r="L45" i="4"/>
  <c r="O44" i="4"/>
  <c r="N44" i="4"/>
  <c r="M44" i="4"/>
  <c r="L44" i="4"/>
  <c r="O43" i="4"/>
  <c r="N43" i="4"/>
  <c r="M43" i="4"/>
  <c r="L43" i="4"/>
  <c r="O42" i="4"/>
  <c r="N42" i="4"/>
  <c r="M42" i="4"/>
  <c r="O41" i="4"/>
  <c r="N41" i="4"/>
  <c r="M41" i="4"/>
  <c r="O40" i="4"/>
  <c r="N40" i="4"/>
  <c r="M40" i="4"/>
  <c r="L40" i="4"/>
  <c r="O39" i="4"/>
  <c r="N39" i="4"/>
  <c r="M39" i="4"/>
  <c r="O38" i="4"/>
  <c r="N38" i="4"/>
  <c r="M38" i="4"/>
  <c r="O37" i="4"/>
  <c r="N37" i="4"/>
  <c r="M37" i="4"/>
  <c r="O36" i="4"/>
  <c r="N36" i="4"/>
  <c r="M36" i="4"/>
  <c r="O35" i="4"/>
  <c r="N35" i="4"/>
  <c r="M35" i="4"/>
  <c r="O34" i="4"/>
  <c r="N34" i="4"/>
  <c r="M34" i="4"/>
  <c r="O33" i="4"/>
  <c r="N33" i="4"/>
  <c r="M33" i="4"/>
  <c r="L33" i="4"/>
  <c r="O32" i="4"/>
  <c r="N32" i="4"/>
  <c r="M32" i="4"/>
  <c r="L32" i="4"/>
  <c r="O31" i="4"/>
  <c r="N31" i="4"/>
  <c r="M31" i="4"/>
  <c r="L31" i="4"/>
  <c r="O30" i="4"/>
  <c r="N30" i="4"/>
  <c r="M30" i="4"/>
  <c r="L30" i="4"/>
  <c r="O29" i="4"/>
  <c r="N29" i="4"/>
  <c r="M29" i="4"/>
  <c r="L29" i="4"/>
  <c r="N28" i="4"/>
  <c r="O27" i="4"/>
  <c r="N27" i="4"/>
  <c r="M27" i="4"/>
  <c r="L27" i="4"/>
  <c r="O26" i="4"/>
  <c r="N26" i="4"/>
  <c r="M26" i="4"/>
  <c r="O25" i="4"/>
  <c r="N25" i="4"/>
  <c r="M25" i="4"/>
  <c r="O24" i="4"/>
  <c r="N24" i="4"/>
  <c r="M24" i="4"/>
  <c r="L24" i="4"/>
  <c r="O23" i="4"/>
  <c r="N23" i="4"/>
  <c r="M23" i="4"/>
  <c r="O22" i="4"/>
  <c r="N22" i="4"/>
  <c r="M22" i="4"/>
  <c r="O21" i="4"/>
  <c r="N21" i="4"/>
  <c r="M21" i="4"/>
  <c r="O20" i="4"/>
  <c r="N20" i="4"/>
  <c r="M20" i="4"/>
  <c r="O19" i="4"/>
  <c r="N19" i="4"/>
  <c r="M19" i="4"/>
  <c r="N18" i="4"/>
  <c r="N17" i="4"/>
  <c r="O16" i="4"/>
  <c r="N16" i="4"/>
  <c r="M16" i="4"/>
  <c r="O15" i="4"/>
  <c r="N15" i="4"/>
  <c r="M15" i="4"/>
  <c r="N14" i="4"/>
  <c r="N13" i="4"/>
  <c r="N12" i="4"/>
  <c r="N11" i="4"/>
  <c r="O10" i="4"/>
  <c r="N10" i="4"/>
  <c r="N8" i="4"/>
  <c r="N7" i="4"/>
  <c r="N6" i="4"/>
  <c r="N5" i="4"/>
  <c r="N4" i="4"/>
  <c r="N3" i="4"/>
  <c r="E71" i="4" l="1"/>
  <c r="L70" i="4"/>
  <c r="O70" i="4"/>
  <c r="M70" i="4"/>
  <c r="N70" i="4"/>
  <c r="E72" i="4" l="1"/>
  <c r="M71" i="4"/>
  <c r="L71" i="4"/>
  <c r="O71" i="4"/>
  <c r="N71" i="4"/>
  <c r="I103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S109" i="1"/>
  <c r="H103" i="1"/>
  <c r="H104" i="1"/>
  <c r="G108" i="1"/>
  <c r="E108" i="1"/>
  <c r="G107" i="1"/>
  <c r="E107" i="1"/>
  <c r="G106" i="1"/>
  <c r="E106" i="1"/>
  <c r="G105" i="1"/>
  <c r="E105" i="1"/>
  <c r="G103" i="1"/>
  <c r="F103" i="1"/>
  <c r="E103" i="1"/>
  <c r="C106" i="1"/>
  <c r="C107" i="1"/>
  <c r="C108" i="1"/>
  <c r="Q109" i="1"/>
  <c r="B108" i="1"/>
  <c r="B107" i="1"/>
  <c r="B106" i="1"/>
  <c r="B105" i="1"/>
  <c r="B104" i="1"/>
  <c r="B103" i="1"/>
  <c r="V108" i="1"/>
  <c r="V107" i="1"/>
  <c r="V106" i="1"/>
  <c r="V105" i="1"/>
  <c r="V104" i="1"/>
  <c r="V103" i="1"/>
  <c r="K68" i="1"/>
  <c r="J68" i="1"/>
  <c r="I68" i="1"/>
  <c r="H68" i="1"/>
  <c r="K69" i="1"/>
  <c r="J69" i="1"/>
  <c r="F78" i="1"/>
  <c r="F77" i="1"/>
  <c r="F75" i="1"/>
  <c r="R75" i="1" s="1"/>
  <c r="P75" i="1" s="1"/>
  <c r="F74" i="1"/>
  <c r="D78" i="1"/>
  <c r="D77" i="1"/>
  <c r="D75" i="1"/>
  <c r="D74" i="1"/>
  <c r="D73" i="1"/>
  <c r="D72" i="1"/>
  <c r="H72" i="4" s="1"/>
  <c r="D70" i="1"/>
  <c r="A70" i="1"/>
  <c r="T78" i="1"/>
  <c r="S78" i="1"/>
  <c r="Q78" i="1"/>
  <c r="T77" i="1"/>
  <c r="S77" i="1"/>
  <c r="Q77" i="1"/>
  <c r="T76" i="1"/>
  <c r="S76" i="1"/>
  <c r="R76" i="1"/>
  <c r="Q76" i="1"/>
  <c r="T75" i="1"/>
  <c r="S75" i="1"/>
  <c r="T74" i="1"/>
  <c r="S74" i="1"/>
  <c r="Q74" i="1"/>
  <c r="T73" i="1"/>
  <c r="S73" i="1"/>
  <c r="R73" i="1"/>
  <c r="Q73" i="1"/>
  <c r="T72" i="1"/>
  <c r="S72" i="1"/>
  <c r="R72" i="1"/>
  <c r="Q72" i="1"/>
  <c r="T71" i="1"/>
  <c r="S71" i="1"/>
  <c r="Q71" i="1"/>
  <c r="T70" i="1"/>
  <c r="S70" i="1"/>
  <c r="R70" i="1"/>
  <c r="Q70" i="1"/>
  <c r="F118" i="1" l="1"/>
  <c r="R118" i="1" s="1"/>
  <c r="P118" i="1" s="1"/>
  <c r="D118" i="1"/>
  <c r="E73" i="4"/>
  <c r="N72" i="4"/>
  <c r="L72" i="4"/>
  <c r="M72" i="4"/>
  <c r="O72" i="4"/>
  <c r="R74" i="1"/>
  <c r="P74" i="1" s="1"/>
  <c r="P76" i="1"/>
  <c r="F109" i="1"/>
  <c r="R109" i="1" s="1"/>
  <c r="P109" i="1" s="1"/>
  <c r="H70" i="4"/>
  <c r="P73" i="1"/>
  <c r="P72" i="1"/>
  <c r="T108" i="1"/>
  <c r="T107" i="1"/>
  <c r="T105" i="1"/>
  <c r="T103" i="1"/>
  <c r="P71" i="1"/>
  <c r="R77" i="1"/>
  <c r="P77" i="1" s="1"/>
  <c r="P70" i="1"/>
  <c r="S107" i="1"/>
  <c r="S105" i="1"/>
  <c r="S103" i="1"/>
  <c r="A71" i="1"/>
  <c r="J70" i="1"/>
  <c r="H70" i="1"/>
  <c r="K70" i="1"/>
  <c r="I70" i="1"/>
  <c r="Q108" i="1"/>
  <c r="S104" i="1"/>
  <c r="S106" i="1"/>
  <c r="Q106" i="1"/>
  <c r="T109" i="1"/>
  <c r="T104" i="1"/>
  <c r="S108" i="1"/>
  <c r="T106" i="1"/>
  <c r="Q107" i="1"/>
  <c r="R78" i="1"/>
  <c r="P78" i="1" s="1"/>
  <c r="E74" i="4" l="1"/>
  <c r="N73" i="4"/>
  <c r="L73" i="4"/>
  <c r="M73" i="4"/>
  <c r="O73" i="4"/>
  <c r="A72" i="1"/>
  <c r="J71" i="1"/>
  <c r="K71" i="1"/>
  <c r="H71" i="1"/>
  <c r="I71" i="1"/>
  <c r="K65" i="1"/>
  <c r="E75" i="4" l="1"/>
  <c r="N74" i="4"/>
  <c r="O74" i="4"/>
  <c r="M74" i="4"/>
  <c r="L74" i="4"/>
  <c r="A73" i="1"/>
  <c r="J72" i="1"/>
  <c r="K72" i="1"/>
  <c r="H72" i="1"/>
  <c r="I72" i="1"/>
  <c r="D62" i="1"/>
  <c r="H62" i="4" s="1"/>
  <c r="F62" i="1"/>
  <c r="H61" i="1"/>
  <c r="E76" i="4" l="1"/>
  <c r="N75" i="4"/>
  <c r="O75" i="4"/>
  <c r="M75" i="4"/>
  <c r="L75" i="4"/>
  <c r="J62" i="4"/>
  <c r="A74" i="1"/>
  <c r="I73" i="1"/>
  <c r="J73" i="1"/>
  <c r="H73" i="1"/>
  <c r="K73" i="1"/>
  <c r="Q117" i="1"/>
  <c r="T59" i="1"/>
  <c r="S59" i="1"/>
  <c r="R59" i="1"/>
  <c r="Q59" i="1"/>
  <c r="I59" i="1"/>
  <c r="H59" i="1"/>
  <c r="K59" i="1"/>
  <c r="J59" i="1"/>
  <c r="E77" i="4" l="1"/>
  <c r="L76" i="4"/>
  <c r="N76" i="4"/>
  <c r="M76" i="4"/>
  <c r="O76" i="4"/>
  <c r="L62" i="4"/>
  <c r="A75" i="1"/>
  <c r="J74" i="1"/>
  <c r="K74" i="1"/>
  <c r="I74" i="1"/>
  <c r="H74" i="1"/>
  <c r="P59" i="1"/>
  <c r="O116" i="1"/>
  <c r="V114" i="1"/>
  <c r="V115" i="1"/>
  <c r="V116" i="1"/>
  <c r="O115" i="1"/>
  <c r="T69" i="1"/>
  <c r="S69" i="1"/>
  <c r="R69" i="1"/>
  <c r="Q69" i="1"/>
  <c r="D69" i="1"/>
  <c r="H69" i="4" s="1"/>
  <c r="T68" i="1"/>
  <c r="S68" i="1"/>
  <c r="R68" i="1"/>
  <c r="Q68" i="1"/>
  <c r="T67" i="1"/>
  <c r="S67" i="1"/>
  <c r="R67" i="1"/>
  <c r="Q67" i="1"/>
  <c r="I67" i="1"/>
  <c r="H67" i="1"/>
  <c r="K67" i="1"/>
  <c r="J67" i="1"/>
  <c r="D67" i="1"/>
  <c r="T66" i="1"/>
  <c r="S66" i="1"/>
  <c r="Q66" i="1"/>
  <c r="I66" i="1"/>
  <c r="K66" i="1"/>
  <c r="J66" i="1"/>
  <c r="F66" i="1"/>
  <c r="D66" i="1"/>
  <c r="H66" i="4" s="1"/>
  <c r="T65" i="1"/>
  <c r="S65" i="1"/>
  <c r="Q65" i="1"/>
  <c r="I65" i="1"/>
  <c r="J65" i="1"/>
  <c r="F65" i="1"/>
  <c r="D65" i="1"/>
  <c r="H65" i="4" s="1"/>
  <c r="T64" i="1"/>
  <c r="S64" i="1"/>
  <c r="R64" i="1"/>
  <c r="Q64" i="1"/>
  <c r="I64" i="1"/>
  <c r="H64" i="1"/>
  <c r="K64" i="1"/>
  <c r="J64" i="1"/>
  <c r="T63" i="1"/>
  <c r="S63" i="1"/>
  <c r="Q63" i="1"/>
  <c r="K63" i="1"/>
  <c r="J63" i="1"/>
  <c r="F63" i="1"/>
  <c r="D63" i="1"/>
  <c r="H63" i="4" s="1"/>
  <c r="T62" i="1"/>
  <c r="S62" i="1"/>
  <c r="Q62" i="1"/>
  <c r="I62" i="1"/>
  <c r="K62" i="1"/>
  <c r="J62" i="1"/>
  <c r="R62" i="1"/>
  <c r="T61" i="1"/>
  <c r="S61" i="1"/>
  <c r="R61" i="1"/>
  <c r="Q61" i="1"/>
  <c r="I61" i="1"/>
  <c r="K61" i="1"/>
  <c r="J61" i="1"/>
  <c r="D61" i="1"/>
  <c r="H61" i="4" s="1"/>
  <c r="T60" i="1"/>
  <c r="S60" i="1"/>
  <c r="R60" i="1"/>
  <c r="Q60" i="1"/>
  <c r="I60" i="1"/>
  <c r="H60" i="1"/>
  <c r="K60" i="1"/>
  <c r="J60" i="1"/>
  <c r="D60" i="1"/>
  <c r="H60" i="4" s="1"/>
  <c r="T58" i="1"/>
  <c r="S58" i="1"/>
  <c r="R58" i="1"/>
  <c r="Q58" i="1"/>
  <c r="I58" i="1"/>
  <c r="H58" i="1"/>
  <c r="K58" i="1"/>
  <c r="J58" i="1"/>
  <c r="D58" i="1"/>
  <c r="Q57" i="1"/>
  <c r="M116" i="1"/>
  <c r="L116" i="1"/>
  <c r="N116" i="1"/>
  <c r="C116" i="1"/>
  <c r="B116" i="1"/>
  <c r="E116" i="1"/>
  <c r="G116" i="1"/>
  <c r="R57" i="1"/>
  <c r="S57" i="1"/>
  <c r="T57" i="1"/>
  <c r="I57" i="1"/>
  <c r="K57" i="1"/>
  <c r="Q56" i="1"/>
  <c r="R56" i="1"/>
  <c r="S56" i="1"/>
  <c r="T56" i="1"/>
  <c r="K56" i="1"/>
  <c r="I56" i="1"/>
  <c r="E78" i="4" l="1"/>
  <c r="N77" i="4"/>
  <c r="M77" i="4"/>
  <c r="O77" i="4"/>
  <c r="L77" i="4"/>
  <c r="P57" i="1"/>
  <c r="D109" i="1"/>
  <c r="H67" i="4"/>
  <c r="D117" i="1"/>
  <c r="H58" i="4"/>
  <c r="R66" i="1"/>
  <c r="P66" i="1" s="1"/>
  <c r="J66" i="4"/>
  <c r="L66" i="4" s="1"/>
  <c r="R65" i="1"/>
  <c r="P65" i="1" s="1"/>
  <c r="J65" i="4"/>
  <c r="L65" i="4" s="1"/>
  <c r="H63" i="1"/>
  <c r="J63" i="4"/>
  <c r="F117" i="1"/>
  <c r="R117" i="1" s="1"/>
  <c r="P117" i="1" s="1"/>
  <c r="P69" i="1"/>
  <c r="J117" i="1"/>
  <c r="K117" i="1"/>
  <c r="I117" i="1"/>
  <c r="F108" i="1"/>
  <c r="A76" i="1"/>
  <c r="K75" i="1"/>
  <c r="I75" i="1"/>
  <c r="J75" i="1"/>
  <c r="H75" i="1"/>
  <c r="P60" i="1"/>
  <c r="P61" i="1"/>
  <c r="P58" i="1"/>
  <c r="P64" i="1"/>
  <c r="P67" i="1"/>
  <c r="P68" i="1"/>
  <c r="P62" i="1"/>
  <c r="T117" i="1"/>
  <c r="S117" i="1"/>
  <c r="R63" i="1"/>
  <c r="P63" i="1" s="1"/>
  <c r="H65" i="1"/>
  <c r="H66" i="1"/>
  <c r="H62" i="1"/>
  <c r="Q55" i="1"/>
  <c r="R55" i="1"/>
  <c r="S55" i="1"/>
  <c r="T55" i="1"/>
  <c r="I55" i="1"/>
  <c r="I108" i="1" s="1"/>
  <c r="K55" i="1"/>
  <c r="K108" i="1" s="1"/>
  <c r="N78" i="4" l="1"/>
  <c r="E79" i="4"/>
  <c r="E80" i="4" s="1"/>
  <c r="M78" i="4"/>
  <c r="O78" i="4"/>
  <c r="L78" i="4"/>
  <c r="L63" i="4"/>
  <c r="H117" i="1"/>
  <c r="A77" i="1"/>
  <c r="J76" i="1"/>
  <c r="I76" i="1"/>
  <c r="K76" i="1"/>
  <c r="H76" i="1"/>
  <c r="S54" i="1"/>
  <c r="T54" i="1"/>
  <c r="I54" i="1"/>
  <c r="K54" i="1"/>
  <c r="Q54" i="1"/>
  <c r="Q53" i="1"/>
  <c r="I53" i="1"/>
  <c r="T53" i="1"/>
  <c r="S53" i="1"/>
  <c r="K53" i="1"/>
  <c r="E81" i="4" l="1"/>
  <c r="M80" i="4"/>
  <c r="L80" i="4"/>
  <c r="O80" i="4"/>
  <c r="N80" i="4"/>
  <c r="M79" i="4"/>
  <c r="N79" i="4"/>
  <c r="L79" i="4"/>
  <c r="O79" i="4"/>
  <c r="A78" i="1"/>
  <c r="A79" i="1" s="1"/>
  <c r="I77" i="1"/>
  <c r="J77" i="1"/>
  <c r="K77" i="1"/>
  <c r="H77" i="1"/>
  <c r="Q116" i="1"/>
  <c r="T52" i="1"/>
  <c r="S52" i="1"/>
  <c r="R52" i="1"/>
  <c r="Q52" i="1"/>
  <c r="I52" i="1"/>
  <c r="K52" i="1"/>
  <c r="S51" i="1"/>
  <c r="T51" i="1"/>
  <c r="K51" i="1"/>
  <c r="I51" i="1"/>
  <c r="Q51" i="1"/>
  <c r="N81" i="4" l="1"/>
  <c r="E82" i="4"/>
  <c r="M81" i="4"/>
  <c r="L81" i="4"/>
  <c r="O81" i="4"/>
  <c r="A80" i="1"/>
  <c r="I79" i="1"/>
  <c r="J79" i="1"/>
  <c r="K79" i="1"/>
  <c r="H79" i="1"/>
  <c r="J78" i="1"/>
  <c r="K78" i="1"/>
  <c r="I78" i="1"/>
  <c r="H78" i="1"/>
  <c r="S116" i="1"/>
  <c r="T116" i="1"/>
  <c r="N82" i="4" l="1"/>
  <c r="M82" i="4"/>
  <c r="O82" i="4"/>
  <c r="L82" i="4"/>
  <c r="A81" i="1"/>
  <c r="K80" i="1"/>
  <c r="I80" i="1"/>
  <c r="H80" i="1"/>
  <c r="J80" i="1"/>
  <c r="H109" i="1"/>
  <c r="I109" i="1"/>
  <c r="K109" i="1"/>
  <c r="J109" i="1"/>
  <c r="S50" i="1"/>
  <c r="T50" i="1"/>
  <c r="I50" i="1"/>
  <c r="K50" i="1"/>
  <c r="Q50" i="1"/>
  <c r="F50" i="1"/>
  <c r="J50" i="4" s="1"/>
  <c r="K81" i="1" l="1"/>
  <c r="I81" i="1"/>
  <c r="I118" i="1" s="1"/>
  <c r="A82" i="1"/>
  <c r="H81" i="1"/>
  <c r="H118" i="1" s="1"/>
  <c r="J81" i="1"/>
  <c r="J118" i="1" s="1"/>
  <c r="L50" i="4"/>
  <c r="R50" i="1"/>
  <c r="Q48" i="1"/>
  <c r="R48" i="1"/>
  <c r="S48" i="1"/>
  <c r="T48" i="1"/>
  <c r="Q49" i="1"/>
  <c r="R49" i="1"/>
  <c r="S49" i="1"/>
  <c r="T49" i="1"/>
  <c r="I48" i="1"/>
  <c r="I49" i="1"/>
  <c r="K48" i="1"/>
  <c r="K49" i="1"/>
  <c r="K118" i="1" l="1"/>
  <c r="K82" i="1"/>
  <c r="I82" i="1"/>
  <c r="A83" i="1"/>
  <c r="J82" i="1"/>
  <c r="H82" i="1"/>
  <c r="P49" i="1"/>
  <c r="P48" i="1"/>
  <c r="Q47" i="1"/>
  <c r="R47" i="1"/>
  <c r="S47" i="1"/>
  <c r="T47" i="1"/>
  <c r="K47" i="1"/>
  <c r="J47" i="1"/>
  <c r="I47" i="1"/>
  <c r="K83" i="1" l="1"/>
  <c r="I83" i="1"/>
  <c r="A84" i="1"/>
  <c r="H83" i="1"/>
  <c r="J83" i="1"/>
  <c r="P47" i="1"/>
  <c r="K46" i="1"/>
  <c r="K116" i="1" s="1"/>
  <c r="H46" i="1"/>
  <c r="I84" i="1" l="1"/>
  <c r="K84" i="1"/>
  <c r="A85" i="1"/>
  <c r="H84" i="1"/>
  <c r="J84" i="1"/>
  <c r="H57" i="1"/>
  <c r="J57" i="1"/>
  <c r="D57" i="1"/>
  <c r="H57" i="4" s="1"/>
  <c r="H56" i="1"/>
  <c r="J56" i="1"/>
  <c r="D56" i="1"/>
  <c r="H56" i="4" s="1"/>
  <c r="H55" i="1"/>
  <c r="J55" i="1"/>
  <c r="D55" i="1"/>
  <c r="H55" i="4" s="1"/>
  <c r="J54" i="1"/>
  <c r="F54" i="1"/>
  <c r="J54" i="4" s="1"/>
  <c r="L54" i="4" s="1"/>
  <c r="D54" i="1"/>
  <c r="H54" i="4" s="1"/>
  <c r="J53" i="1"/>
  <c r="F53" i="1"/>
  <c r="J53" i="4" s="1"/>
  <c r="L53" i="4" s="1"/>
  <c r="D53" i="1"/>
  <c r="H53" i="4" s="1"/>
  <c r="H52" i="1"/>
  <c r="J52" i="1"/>
  <c r="D52" i="1"/>
  <c r="H52" i="4" s="1"/>
  <c r="J51" i="1"/>
  <c r="F51" i="1"/>
  <c r="J51" i="4" s="1"/>
  <c r="D51" i="1"/>
  <c r="H51" i="4" s="1"/>
  <c r="H50" i="1"/>
  <c r="J50" i="1"/>
  <c r="D50" i="1"/>
  <c r="H50" i="4" s="1"/>
  <c r="H49" i="1"/>
  <c r="J49" i="1"/>
  <c r="D49" i="1"/>
  <c r="H49" i="4" s="1"/>
  <c r="H48" i="1"/>
  <c r="J48" i="1"/>
  <c r="D48" i="1"/>
  <c r="H48" i="4" s="1"/>
  <c r="H47" i="1"/>
  <c r="T46" i="1"/>
  <c r="S46" i="1"/>
  <c r="Q46" i="1"/>
  <c r="I46" i="1"/>
  <c r="I116" i="1" s="1"/>
  <c r="J46" i="1"/>
  <c r="R46" i="1"/>
  <c r="D46" i="1"/>
  <c r="H46" i="4" s="1"/>
  <c r="Q45" i="1"/>
  <c r="R45" i="1"/>
  <c r="S45" i="1"/>
  <c r="T45" i="1"/>
  <c r="L115" i="1"/>
  <c r="M115" i="1"/>
  <c r="N115" i="1"/>
  <c r="T115" i="1" s="1"/>
  <c r="C115" i="1"/>
  <c r="B115" i="1"/>
  <c r="E115" i="1"/>
  <c r="G115" i="1"/>
  <c r="I45" i="1"/>
  <c r="H45" i="1"/>
  <c r="K45" i="1"/>
  <c r="J45" i="1"/>
  <c r="I85" i="1" l="1"/>
  <c r="K85" i="1"/>
  <c r="P45" i="1"/>
  <c r="A86" i="1"/>
  <c r="J85" i="1"/>
  <c r="H85" i="1"/>
  <c r="L51" i="4"/>
  <c r="J108" i="1"/>
  <c r="H108" i="1"/>
  <c r="F107" i="1"/>
  <c r="R107" i="1" s="1"/>
  <c r="P107" i="1" s="1"/>
  <c r="D108" i="1"/>
  <c r="R108" i="1"/>
  <c r="P108" i="1" s="1"/>
  <c r="D116" i="1"/>
  <c r="J116" i="1"/>
  <c r="F116" i="1"/>
  <c r="R116" i="1" s="1"/>
  <c r="P116" i="1" s="1"/>
  <c r="H51" i="1"/>
  <c r="S115" i="1"/>
  <c r="Q115" i="1"/>
  <c r="H54" i="1"/>
  <c r="R54" i="1"/>
  <c r="H53" i="1"/>
  <c r="R53" i="1"/>
  <c r="R51" i="1"/>
  <c r="P51" i="1" s="1"/>
  <c r="Q44" i="1"/>
  <c r="R44" i="1"/>
  <c r="S44" i="1"/>
  <c r="T44" i="1"/>
  <c r="I44" i="1"/>
  <c r="H44" i="1"/>
  <c r="J44" i="1"/>
  <c r="K44" i="1"/>
  <c r="I43" i="1"/>
  <c r="H43" i="1"/>
  <c r="K43" i="1"/>
  <c r="J43" i="1"/>
  <c r="I86" i="1" l="1"/>
  <c r="K86" i="1"/>
  <c r="A87" i="1"/>
  <c r="J86" i="1"/>
  <c r="H86" i="1"/>
  <c r="H107" i="1"/>
  <c r="K107" i="1"/>
  <c r="I107" i="1"/>
  <c r="J107" i="1"/>
  <c r="H116" i="1"/>
  <c r="AL44" i="1"/>
  <c r="Q43" i="1"/>
  <c r="R43" i="1"/>
  <c r="S43" i="1"/>
  <c r="T43" i="1"/>
  <c r="I87" i="1" l="1"/>
  <c r="K87" i="1"/>
  <c r="A88" i="1"/>
  <c r="J87" i="1"/>
  <c r="H87" i="1"/>
  <c r="AL43" i="1"/>
  <c r="Q42" i="1"/>
  <c r="S42" i="1"/>
  <c r="T42" i="1"/>
  <c r="I42" i="1"/>
  <c r="K42" i="1"/>
  <c r="J42" i="1"/>
  <c r="I88" i="1" l="1"/>
  <c r="K88" i="1"/>
  <c r="A89" i="1"/>
  <c r="J88" i="1"/>
  <c r="H88" i="1"/>
  <c r="S41" i="1"/>
  <c r="T41" i="1"/>
  <c r="I41" i="1"/>
  <c r="H40" i="1"/>
  <c r="K41" i="1"/>
  <c r="J41" i="1"/>
  <c r="Q41" i="1"/>
  <c r="I89" i="1" l="1"/>
  <c r="K89" i="1"/>
  <c r="A90" i="1"/>
  <c r="A91" i="1" s="1"/>
  <c r="H89" i="1"/>
  <c r="J89" i="1"/>
  <c r="R40" i="1"/>
  <c r="A92" i="1" l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I91" i="1"/>
  <c r="J91" i="1"/>
  <c r="H91" i="1"/>
  <c r="K91" i="1"/>
  <c r="J90" i="1"/>
  <c r="K90" i="1"/>
  <c r="I90" i="1"/>
  <c r="H90" i="1"/>
  <c r="Q40" i="1"/>
  <c r="AL40" i="1" s="1"/>
  <c r="S40" i="1"/>
  <c r="T40" i="1"/>
  <c r="I40" i="1"/>
  <c r="K40" i="1"/>
  <c r="J40" i="1"/>
  <c r="H110" i="1" l="1"/>
  <c r="I110" i="1"/>
  <c r="K110" i="1"/>
  <c r="J110" i="1"/>
  <c r="AN15" i="1"/>
  <c r="AN10" i="1"/>
  <c r="AM10" i="1"/>
  <c r="AM8" i="1"/>
  <c r="AM9" i="1"/>
  <c r="AM11" i="1"/>
  <c r="AN16" i="1"/>
  <c r="AM19" i="1"/>
  <c r="AN19" i="1"/>
  <c r="AN20" i="1"/>
  <c r="AN21" i="1"/>
  <c r="AN22" i="1"/>
  <c r="AM7" i="1"/>
  <c r="I39" i="1" l="1"/>
  <c r="K39" i="1"/>
  <c r="J39" i="1"/>
  <c r="S39" i="1"/>
  <c r="T39" i="1"/>
  <c r="Q39" i="1" l="1"/>
  <c r="I38" i="1" l="1"/>
  <c r="T38" i="1"/>
  <c r="S38" i="1"/>
  <c r="K38" i="1"/>
  <c r="J38" i="1"/>
  <c r="J37" i="1"/>
  <c r="Q38" i="1"/>
  <c r="I37" i="1" l="1"/>
  <c r="K37" i="1"/>
  <c r="T37" i="1"/>
  <c r="S37" i="1"/>
  <c r="Q37" i="1"/>
  <c r="S36" i="1" l="1"/>
  <c r="T36" i="1"/>
  <c r="I36" i="1"/>
  <c r="K36" i="1"/>
  <c r="J36" i="1"/>
  <c r="Q36" i="1"/>
  <c r="D45" i="1" l="1"/>
  <c r="H45" i="4" s="1"/>
  <c r="D44" i="1"/>
  <c r="H44" i="4" s="1"/>
  <c r="D43" i="1"/>
  <c r="F42" i="1"/>
  <c r="J42" i="4" s="1"/>
  <c r="L42" i="4" s="1"/>
  <c r="F41" i="1"/>
  <c r="J41" i="4" s="1"/>
  <c r="L41" i="4" s="1"/>
  <c r="D41" i="1"/>
  <c r="H41" i="4" s="1"/>
  <c r="F39" i="1"/>
  <c r="J39" i="4" s="1"/>
  <c r="L39" i="4" s="1"/>
  <c r="F37" i="1"/>
  <c r="J37" i="4" s="1"/>
  <c r="L37" i="4" s="1"/>
  <c r="D37" i="1"/>
  <c r="H37" i="4" s="1"/>
  <c r="F36" i="1"/>
  <c r="J36" i="4" s="1"/>
  <c r="L36" i="4" s="1"/>
  <c r="F35" i="1"/>
  <c r="J35" i="4" s="1"/>
  <c r="L35" i="4" s="1"/>
  <c r="D35" i="1"/>
  <c r="H35" i="4" s="1"/>
  <c r="F34" i="1"/>
  <c r="J34" i="4" s="1"/>
  <c r="L34" i="4" l="1"/>
  <c r="D107" i="1"/>
  <c r="H43" i="4"/>
  <c r="R42" i="1"/>
  <c r="AL42" i="1" s="1"/>
  <c r="H42" i="1"/>
  <c r="R41" i="1"/>
  <c r="AL41" i="1" s="1"/>
  <c r="H41" i="1"/>
  <c r="H37" i="1"/>
  <c r="R37" i="1"/>
  <c r="H36" i="1"/>
  <c r="R36" i="1"/>
  <c r="H39" i="1"/>
  <c r="R39" i="1"/>
  <c r="Q35" i="1"/>
  <c r="R35" i="1"/>
  <c r="S35" i="1"/>
  <c r="T35" i="1"/>
  <c r="I35" i="1"/>
  <c r="H35" i="1"/>
  <c r="K35" i="1"/>
  <c r="J35" i="1"/>
  <c r="AL39" i="1" l="1"/>
  <c r="P39" i="1"/>
  <c r="AL37" i="1"/>
  <c r="P37" i="1"/>
  <c r="AL36" i="1"/>
  <c r="P36" i="1"/>
  <c r="P35" i="1"/>
  <c r="AL35" i="1"/>
  <c r="Q34" i="1"/>
  <c r="R34" i="1"/>
  <c r="S34" i="1"/>
  <c r="T34" i="1"/>
  <c r="I34" i="1"/>
  <c r="I115" i="1" s="1"/>
  <c r="H34" i="1"/>
  <c r="K34" i="1"/>
  <c r="K115" i="1" s="1"/>
  <c r="J34" i="1"/>
  <c r="J115" i="1" s="1"/>
  <c r="AL34" i="1" l="1"/>
  <c r="F38" i="1" l="1"/>
  <c r="D42" i="1"/>
  <c r="H42" i="4" s="1"/>
  <c r="D40" i="1"/>
  <c r="H40" i="4" s="1"/>
  <c r="D39" i="1"/>
  <c r="H39" i="4" s="1"/>
  <c r="D38" i="1"/>
  <c r="H38" i="4" s="1"/>
  <c r="D36" i="1"/>
  <c r="H36" i="4" s="1"/>
  <c r="D34" i="1"/>
  <c r="D106" i="1" l="1"/>
  <c r="H34" i="4"/>
  <c r="F106" i="1"/>
  <c r="R106" i="1" s="1"/>
  <c r="P106" i="1" s="1"/>
  <c r="J38" i="4"/>
  <c r="F115" i="1"/>
  <c r="R115" i="1" s="1"/>
  <c r="P115" i="1" s="1"/>
  <c r="D115" i="1"/>
  <c r="R38" i="1"/>
  <c r="AL38" i="1" s="1"/>
  <c r="H38" i="1"/>
  <c r="B114" i="1"/>
  <c r="L38" i="4" l="1"/>
  <c r="H115" i="1"/>
  <c r="L114" i="1"/>
  <c r="M114" i="1"/>
  <c r="N114" i="1"/>
  <c r="O114" i="1"/>
  <c r="E114" i="1"/>
  <c r="G114" i="1"/>
  <c r="Q33" i="1"/>
  <c r="R33" i="1"/>
  <c r="S33" i="1"/>
  <c r="T33" i="1"/>
  <c r="I33" i="1"/>
  <c r="H33" i="1"/>
  <c r="K33" i="1"/>
  <c r="P33" i="1" l="1"/>
  <c r="T114" i="1"/>
  <c r="S114" i="1"/>
  <c r="AL33" i="1"/>
  <c r="K32" i="1"/>
  <c r="Q32" i="1"/>
  <c r="R32" i="1"/>
  <c r="T32" i="1"/>
  <c r="S32" i="1"/>
  <c r="I32" i="1"/>
  <c r="H32" i="1"/>
  <c r="AL32" i="1" l="1"/>
  <c r="R19" i="1"/>
  <c r="Q31" i="1" l="1"/>
  <c r="R31" i="1"/>
  <c r="S31" i="1"/>
  <c r="T31" i="1"/>
  <c r="I31" i="1"/>
  <c r="I106" i="1" s="1"/>
  <c r="H31" i="1"/>
  <c r="H106" i="1" s="1"/>
  <c r="K31" i="1"/>
  <c r="K106" i="1" s="1"/>
  <c r="J31" i="1"/>
  <c r="AL31" i="1" l="1"/>
  <c r="R30" i="1"/>
  <c r="Q30" i="1"/>
  <c r="S30" i="1"/>
  <c r="T30" i="1"/>
  <c r="I30" i="1"/>
  <c r="H30" i="1"/>
  <c r="K30" i="1"/>
  <c r="AL30" i="1" l="1"/>
  <c r="Q29" i="1"/>
  <c r="R29" i="1"/>
  <c r="S29" i="1"/>
  <c r="T29" i="1"/>
  <c r="I29" i="1"/>
  <c r="H29" i="1"/>
  <c r="J29" i="1"/>
  <c r="K29" i="1"/>
  <c r="AL29" i="1" l="1"/>
  <c r="S28" i="1" l="1"/>
  <c r="T28" i="1"/>
  <c r="F28" i="1"/>
  <c r="J28" i="4" s="1"/>
  <c r="L28" i="4" s="1"/>
  <c r="R28" i="1" l="1"/>
  <c r="H28" i="1"/>
  <c r="C28" i="1"/>
  <c r="G28" i="4" l="1"/>
  <c r="O28" i="4" s="1"/>
  <c r="C105" i="1"/>
  <c r="Q105" i="1" s="1"/>
  <c r="C114" i="1"/>
  <c r="Q114" i="1" s="1"/>
  <c r="I28" i="1"/>
  <c r="Q28" i="1"/>
  <c r="AL28" i="1" s="1"/>
  <c r="K28" i="1"/>
  <c r="R27" i="1"/>
  <c r="Q27" i="1"/>
  <c r="S27" i="1"/>
  <c r="T27" i="1"/>
  <c r="H27" i="1"/>
  <c r="I27" i="1"/>
  <c r="K27" i="1"/>
  <c r="P27" i="1" l="1"/>
  <c r="M28" i="4"/>
  <c r="AL27" i="1"/>
  <c r="I26" i="1"/>
  <c r="T26" i="1"/>
  <c r="S26" i="1"/>
  <c r="K26" i="1"/>
  <c r="Q26" i="1"/>
  <c r="Q25" i="1" l="1"/>
  <c r="S25" i="1"/>
  <c r="T25" i="1"/>
  <c r="I25" i="1"/>
  <c r="K25" i="1"/>
  <c r="T24" i="1" l="1"/>
  <c r="S24" i="1"/>
  <c r="R24" i="1"/>
  <c r="Q24" i="1"/>
  <c r="P24" i="1" l="1"/>
  <c r="AL24" i="1"/>
  <c r="I24" i="1"/>
  <c r="H24" i="1"/>
  <c r="K24" i="1"/>
  <c r="I23" i="1" l="1"/>
  <c r="K23" i="1"/>
  <c r="F23" i="1" l="1"/>
  <c r="J23" i="4" s="1"/>
  <c r="D23" i="1"/>
  <c r="H23" i="4" s="1"/>
  <c r="J32" i="1"/>
  <c r="J33" i="1"/>
  <c r="J30" i="1"/>
  <c r="J28" i="1"/>
  <c r="J27" i="1"/>
  <c r="J26" i="1"/>
  <c r="J25" i="1"/>
  <c r="J24" i="1"/>
  <c r="J23" i="1"/>
  <c r="F26" i="1"/>
  <c r="J26" i="4" s="1"/>
  <c r="L26" i="4" s="1"/>
  <c r="D30" i="1"/>
  <c r="H30" i="4" s="1"/>
  <c r="D28" i="1"/>
  <c r="H28" i="4" s="1"/>
  <c r="D27" i="1"/>
  <c r="H27" i="4" s="1"/>
  <c r="D26" i="1"/>
  <c r="H26" i="4" s="1"/>
  <c r="D24" i="1"/>
  <c r="H24" i="4" s="1"/>
  <c r="L23" i="4" l="1"/>
  <c r="J106" i="1"/>
  <c r="R26" i="1"/>
  <c r="AL26" i="1" s="1"/>
  <c r="H26" i="1"/>
  <c r="R23" i="1"/>
  <c r="H23" i="1"/>
  <c r="I22" i="1" l="1"/>
  <c r="I114" i="1" s="1"/>
  <c r="J22" i="1"/>
  <c r="J114" i="1" s="1"/>
  <c r="K22" i="1"/>
  <c r="K114" i="1" s="1"/>
  <c r="F22" i="1"/>
  <c r="D22" i="1"/>
  <c r="H22" i="4" s="1"/>
  <c r="AM22" i="1" l="1"/>
  <c r="J22" i="4"/>
  <c r="R22" i="1"/>
  <c r="C6" i="1"/>
  <c r="G6" i="4" s="1"/>
  <c r="O6" i="4" s="1"/>
  <c r="C5" i="1"/>
  <c r="G5" i="4" s="1"/>
  <c r="O5" i="4" s="1"/>
  <c r="C4" i="1"/>
  <c r="C103" i="1" l="1"/>
  <c r="G4" i="4"/>
  <c r="C9" i="1"/>
  <c r="C8" i="1"/>
  <c r="C7" i="1"/>
  <c r="G7" i="4" s="1"/>
  <c r="O7" i="4" l="1"/>
  <c r="AN9" i="1"/>
  <c r="G9" i="4"/>
  <c r="O9" i="4" s="1"/>
  <c r="AN8" i="1"/>
  <c r="G8" i="4"/>
  <c r="O8" i="4" s="1"/>
  <c r="O4" i="4"/>
  <c r="AN7" i="1"/>
  <c r="I21" i="1"/>
  <c r="J21" i="1"/>
  <c r="T22" i="1" l="1"/>
  <c r="T23" i="1"/>
  <c r="S23" i="1"/>
  <c r="S22" i="1"/>
  <c r="Q22" i="1"/>
  <c r="AL22" i="1" s="1"/>
  <c r="Q23" i="1"/>
  <c r="T21" i="1"/>
  <c r="K21" i="1"/>
  <c r="F21" i="1"/>
  <c r="J21" i="4" l="1"/>
  <c r="AL23" i="1"/>
  <c r="P23" i="1"/>
  <c r="R21" i="1"/>
  <c r="AM21" i="1"/>
  <c r="AJ17" i="1"/>
  <c r="S21" i="1"/>
  <c r="Q21" i="1"/>
  <c r="AL21" i="1" l="1"/>
  <c r="AI8" i="1"/>
  <c r="AH8" i="1"/>
  <c r="AG8" i="1"/>
  <c r="AF8" i="1"/>
  <c r="AE8" i="1"/>
  <c r="AI9" i="1"/>
  <c r="AF9" i="1"/>
  <c r="AE9" i="1"/>
  <c r="AI17" i="1"/>
  <c r="AH17" i="1"/>
  <c r="AJ16" i="1"/>
  <c r="AI16" i="1"/>
  <c r="AJ15" i="1"/>
  <c r="AI15" i="1"/>
  <c r="AH15" i="1"/>
  <c r="AF17" i="1"/>
  <c r="AE17" i="1"/>
  <c r="AE16" i="1"/>
  <c r="AE15" i="1"/>
  <c r="AJ14" i="1"/>
  <c r="AJ10" i="1"/>
  <c r="AI10" i="1"/>
  <c r="AI14" i="1"/>
  <c r="AH14" i="1"/>
  <c r="AE14" i="1"/>
  <c r="AH10" i="1"/>
  <c r="AG10" i="1"/>
  <c r="AF10" i="1"/>
  <c r="AE10" i="1"/>
  <c r="I20" i="1" l="1"/>
  <c r="I19" i="1" l="1"/>
  <c r="I105" i="1" s="1"/>
  <c r="I16" i="1"/>
  <c r="T20" i="1" l="1"/>
  <c r="S20" i="1"/>
  <c r="K20" i="1"/>
  <c r="Q20" i="1"/>
  <c r="Q19" i="1" l="1"/>
  <c r="AL19" i="1" s="1"/>
  <c r="S19" i="1"/>
  <c r="T19" i="1"/>
  <c r="K19" i="1"/>
  <c r="K105" i="1" s="1"/>
  <c r="C18" i="1" l="1"/>
  <c r="G18" i="4" s="1"/>
  <c r="O18" i="4" l="1"/>
  <c r="M18" i="4"/>
  <c r="I18" i="1"/>
  <c r="AN18" i="1"/>
  <c r="S18" i="1"/>
  <c r="T18" i="1"/>
  <c r="Q18" i="1" l="1"/>
  <c r="K18" i="1"/>
  <c r="C17" i="1" l="1"/>
  <c r="Q103" i="1" l="1"/>
  <c r="G17" i="4"/>
  <c r="AF16" i="1"/>
  <c r="K17" i="1"/>
  <c r="O17" i="4" l="1"/>
  <c r="Q17" i="1"/>
  <c r="S17" i="1"/>
  <c r="T17" i="1"/>
  <c r="G17" i="1"/>
  <c r="G113" i="1" s="1"/>
  <c r="E17" i="1"/>
  <c r="E113" i="1" s="1"/>
  <c r="E104" i="1" l="1"/>
  <c r="I17" i="4"/>
  <c r="G104" i="1"/>
  <c r="K17" i="4"/>
  <c r="AH16" i="1"/>
  <c r="AN17" i="1"/>
  <c r="I17" i="1"/>
  <c r="Q16" i="1"/>
  <c r="T16" i="1"/>
  <c r="S16" i="1"/>
  <c r="K16" i="1"/>
  <c r="M17" i="4" l="1"/>
  <c r="K15" i="1"/>
  <c r="I15" i="1" l="1"/>
  <c r="T15" i="1" l="1"/>
  <c r="T14" i="1"/>
  <c r="S15" i="1"/>
  <c r="S14" i="1"/>
  <c r="Q15" i="1"/>
  <c r="C14" i="1" l="1"/>
  <c r="AN14" i="1" l="1"/>
  <c r="G14" i="4"/>
  <c r="Q14" i="1"/>
  <c r="K14" i="1"/>
  <c r="I14" i="1"/>
  <c r="O14" i="4" l="1"/>
  <c r="M14" i="4"/>
  <c r="T13" i="1"/>
  <c r="S13" i="1"/>
  <c r="C13" i="1"/>
  <c r="AN13" i="1" l="1"/>
  <c r="G13" i="4"/>
  <c r="Q13" i="1"/>
  <c r="AF15" i="1"/>
  <c r="I13" i="1"/>
  <c r="K13" i="1"/>
  <c r="C11" i="1"/>
  <c r="G11" i="4" l="1"/>
  <c r="I104" i="1"/>
  <c r="I113" i="1"/>
  <c r="O13" i="4"/>
  <c r="M13" i="4"/>
  <c r="O11" i="4"/>
  <c r="AN11" i="1"/>
  <c r="Q11" i="1"/>
  <c r="T12" i="1"/>
  <c r="S12" i="1"/>
  <c r="C12" i="1"/>
  <c r="C113" i="1" s="1"/>
  <c r="Q113" i="1" s="1"/>
  <c r="C104" i="1" l="1"/>
  <c r="Q104" i="1" s="1"/>
  <c r="G12" i="4"/>
  <c r="AF14" i="1"/>
  <c r="AN12" i="1"/>
  <c r="Q12" i="1"/>
  <c r="K12" i="1"/>
  <c r="R11" i="1"/>
  <c r="AL11" i="1" s="1"/>
  <c r="K11" i="1"/>
  <c r="K10" i="1"/>
  <c r="K9" i="1"/>
  <c r="K8" i="1"/>
  <c r="K7" i="1"/>
  <c r="K6" i="1"/>
  <c r="K5" i="1"/>
  <c r="K4" i="1"/>
  <c r="K3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Y10" i="1"/>
  <c r="Y11" i="1" s="1"/>
  <c r="X10" i="1"/>
  <c r="F12" i="1"/>
  <c r="F20" i="1"/>
  <c r="J20" i="4" s="1"/>
  <c r="F18" i="1"/>
  <c r="J18" i="4" s="1"/>
  <c r="F17" i="1"/>
  <c r="J17" i="4" s="1"/>
  <c r="F16" i="1"/>
  <c r="J16" i="4" s="1"/>
  <c r="F15" i="1"/>
  <c r="J15" i="4" s="1"/>
  <c r="F14" i="1"/>
  <c r="J14" i="4" s="1"/>
  <c r="F13" i="1"/>
  <c r="D21" i="1"/>
  <c r="D20" i="1"/>
  <c r="H20" i="4" s="1"/>
  <c r="D19" i="1"/>
  <c r="H19" i="4" s="1"/>
  <c r="D18" i="1"/>
  <c r="H18" i="4" s="1"/>
  <c r="D17" i="1"/>
  <c r="H17" i="4" s="1"/>
  <c r="D4" i="1"/>
  <c r="H4" i="4" s="1"/>
  <c r="D16" i="1"/>
  <c r="H16" i="4" s="1"/>
  <c r="D15" i="1"/>
  <c r="H15" i="4" s="1"/>
  <c r="D14" i="1"/>
  <c r="H14" i="4" s="1"/>
  <c r="D13" i="1"/>
  <c r="H13" i="4" s="1"/>
  <c r="D12" i="1"/>
  <c r="Q10" i="1"/>
  <c r="J12" i="4" l="1"/>
  <c r="F113" i="1"/>
  <c r="H12" i="4"/>
  <c r="D113" i="1"/>
  <c r="J113" i="1"/>
  <c r="K113" i="1"/>
  <c r="H21" i="4"/>
  <c r="AM13" i="1"/>
  <c r="J13" i="4"/>
  <c r="D12" i="4"/>
  <c r="O12" i="4"/>
  <c r="K103" i="1"/>
  <c r="P11" i="1"/>
  <c r="D104" i="1"/>
  <c r="F104" i="1"/>
  <c r="R104" i="1" s="1"/>
  <c r="P104" i="1" s="1"/>
  <c r="AG9" i="1"/>
  <c r="D103" i="1"/>
  <c r="J103" i="1"/>
  <c r="J105" i="1"/>
  <c r="J104" i="1"/>
  <c r="K104" i="1"/>
  <c r="R16" i="1"/>
  <c r="AL16" i="1" s="1"/>
  <c r="AM16" i="1"/>
  <c r="R17" i="1"/>
  <c r="AL17" i="1" s="1"/>
  <c r="AM17" i="1"/>
  <c r="R15" i="1"/>
  <c r="AM15" i="1"/>
  <c r="R18" i="1"/>
  <c r="AL18" i="1" s="1"/>
  <c r="AM18" i="1"/>
  <c r="R14" i="1"/>
  <c r="AL14" i="1" s="1"/>
  <c r="AM14" i="1"/>
  <c r="R20" i="1"/>
  <c r="AL20" i="1" s="1"/>
  <c r="AM20" i="1"/>
  <c r="R12" i="1"/>
  <c r="AL12" i="1" s="1"/>
  <c r="AM12" i="1"/>
  <c r="AG15" i="1"/>
  <c r="D25" i="1"/>
  <c r="H25" i="4" s="1"/>
  <c r="R13" i="1"/>
  <c r="F25" i="1"/>
  <c r="AG14" i="1"/>
  <c r="AG16" i="1"/>
  <c r="AG17" i="1"/>
  <c r="Y12" i="1"/>
  <c r="Y13" i="1" s="1"/>
  <c r="X11" i="1"/>
  <c r="Z11" i="1" s="1"/>
  <c r="Z10" i="1"/>
  <c r="J25" i="4" l="1"/>
  <c r="L25" i="4" s="1"/>
  <c r="R113" i="1"/>
  <c r="P113" i="1" s="1"/>
  <c r="AL15" i="1"/>
  <c r="P15" i="1"/>
  <c r="AL13" i="1"/>
  <c r="P13" i="1"/>
  <c r="P12" i="1"/>
  <c r="R103" i="1"/>
  <c r="P103" i="1" s="1"/>
  <c r="F105" i="1"/>
  <c r="R105" i="1" s="1"/>
  <c r="P105" i="1" s="1"/>
  <c r="D114" i="1"/>
  <c r="D105" i="1"/>
  <c r="F114" i="1"/>
  <c r="R114" i="1" s="1"/>
  <c r="P114" i="1" s="1"/>
  <c r="R25" i="1"/>
  <c r="H25" i="1"/>
  <c r="Y14" i="1"/>
  <c r="X12" i="1"/>
  <c r="Z12" i="1" s="1"/>
  <c r="T8" i="1"/>
  <c r="T9" i="1"/>
  <c r="T10" i="1"/>
  <c r="T11" i="1"/>
  <c r="T7" i="1"/>
  <c r="S8" i="1"/>
  <c r="S9" i="1"/>
  <c r="S10" i="1"/>
  <c r="S11" i="1"/>
  <c r="S7" i="1"/>
  <c r="R8" i="1"/>
  <c r="R9" i="1"/>
  <c r="R10" i="1"/>
  <c r="AL10" i="1" s="1"/>
  <c r="R7" i="1"/>
  <c r="Q4" i="1"/>
  <c r="Q5" i="1"/>
  <c r="Q6" i="1"/>
  <c r="Q7" i="1"/>
  <c r="Q8" i="1"/>
  <c r="Q9" i="1"/>
  <c r="Q3" i="1"/>
  <c r="H105" i="1" l="1"/>
  <c r="AL25" i="1"/>
  <c r="P25" i="1"/>
  <c r="H114" i="1"/>
  <c r="Y15" i="1"/>
  <c r="X13" i="1"/>
  <c r="Y16" i="1" l="1"/>
  <c r="X14" i="1"/>
  <c r="Z14" i="1" s="1"/>
  <c r="Z13" i="1"/>
  <c r="Y17" i="1" l="1"/>
  <c r="X15" i="1"/>
  <c r="Y18" i="1" l="1"/>
  <c r="Y19" i="1" s="1"/>
  <c r="X16" i="1"/>
  <c r="Z15" i="1"/>
  <c r="Y20" i="1" l="1"/>
  <c r="Y21" i="1" s="1"/>
  <c r="X17" i="1"/>
  <c r="Z16" i="1"/>
  <c r="X18" i="1" l="1"/>
  <c r="Z17" i="1"/>
  <c r="X19" i="1" l="1"/>
  <c r="Z18" i="1"/>
  <c r="X20" i="1" l="1"/>
  <c r="X21" i="1" s="1"/>
  <c r="Z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6" authorId="0" shapeId="0" xr:uid="{4E3B0682-33FB-424D-93BB-D6520DEE54D7}">
      <text>
        <r>
          <rPr>
            <sz val="9"/>
            <color indexed="81"/>
            <rFont val="Tahoma"/>
            <family val="2"/>
          </rPr>
          <t xml:space="preserve">GTI Value taken of SMP-10
</t>
        </r>
      </text>
    </comment>
    <comment ref="E23" authorId="0" shapeId="0" xr:uid="{AB394088-2195-407D-8DE3-FD2E40BE1649}">
      <text>
        <r>
          <rPr>
            <sz val="9"/>
            <color indexed="81"/>
            <rFont val="Tahoma"/>
            <family val="2"/>
          </rPr>
          <t xml:space="preserve">GHI assumed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16" authorId="0" shapeId="0" xr:uid="{827DE39A-32CD-414F-9250-FCD0159F16E9}">
      <text>
        <r>
          <rPr>
            <sz val="9"/>
            <color indexed="81"/>
            <rFont val="Tahoma"/>
            <family val="2"/>
          </rPr>
          <t xml:space="preserve">GTI Value taken of SMP-10
</t>
        </r>
      </text>
    </comment>
    <comment ref="I23" authorId="0" shapeId="0" xr:uid="{524483CA-68B1-4EB5-AB40-F81755FC33CF}">
      <text>
        <r>
          <rPr>
            <sz val="9"/>
            <color indexed="81"/>
            <rFont val="Tahoma"/>
            <family val="2"/>
          </rPr>
          <t xml:space="preserve">GHI assumed 
</t>
        </r>
      </text>
    </comment>
  </commentList>
</comments>
</file>

<file path=xl/sharedStrings.xml><?xml version="1.0" encoding="utf-8"?>
<sst xmlns="http://schemas.openxmlformats.org/spreadsheetml/2006/main" count="304" uniqueCount="76">
  <si>
    <t>NA</t>
  </si>
  <si>
    <t>Months</t>
  </si>
  <si>
    <t>Plant avaibility</t>
  </si>
  <si>
    <t>Grid avaibility</t>
  </si>
  <si>
    <t>Contractual plant avaibility</t>
  </si>
  <si>
    <t>Contractual Grid avaibility</t>
  </si>
  <si>
    <t>Achieved CUF</t>
  </si>
  <si>
    <t>Achieved PR</t>
  </si>
  <si>
    <t>Budgeted CUF</t>
  </si>
  <si>
    <t>Budgeted PR</t>
  </si>
  <si>
    <t>SEMLI Performance</t>
  </si>
  <si>
    <t>Shortfall in Gen(%)</t>
  </si>
  <si>
    <t>Shortfall in Rad(%)</t>
  </si>
  <si>
    <t>Shortfall in Plant Av(%)</t>
  </si>
  <si>
    <t>Shortfall in Grid Av(%)</t>
  </si>
  <si>
    <t>Shortfall Analysis</t>
  </si>
  <si>
    <t>Cummulative Generation</t>
  </si>
  <si>
    <t>Budgeted GTI
[kWhr/m²]</t>
  </si>
  <si>
    <t>Actual GHI
[kWhr/m²]</t>
  </si>
  <si>
    <t>Budgeted Generation
(MWHr)</t>
  </si>
  <si>
    <t>Actual Generation
(MWHr)</t>
  </si>
  <si>
    <t>Cumm. Bud Gen
(MWHr)</t>
  </si>
  <si>
    <t>Cumm. Act Gen
(MWHr)</t>
  </si>
  <si>
    <t>Soil loss(%)</t>
  </si>
  <si>
    <t xml:space="preserve">Budg Gen </t>
  </si>
  <si>
    <t>Act Gen</t>
  </si>
  <si>
    <t>Budg GHI</t>
  </si>
  <si>
    <t>Act GHI</t>
  </si>
  <si>
    <t>Budg Av</t>
  </si>
  <si>
    <t>Act Av</t>
  </si>
  <si>
    <t>Q1</t>
  </si>
  <si>
    <t>Q2</t>
  </si>
  <si>
    <t>Q3</t>
  </si>
  <si>
    <t>Q4</t>
  </si>
  <si>
    <t>YTD FY-19-20</t>
  </si>
  <si>
    <t>YTD FY-20-21</t>
  </si>
  <si>
    <t>YTD FY-21-22</t>
  </si>
  <si>
    <t>YTD FY-22-23</t>
  </si>
  <si>
    <t>Budgeted GHI
[kWhr/m²]</t>
  </si>
  <si>
    <t>Actual GTI [kWhr/m²]</t>
  </si>
  <si>
    <t>CY-17</t>
  </si>
  <si>
    <t>CY-18</t>
  </si>
  <si>
    <t>CY-19</t>
  </si>
  <si>
    <t>CY-20</t>
  </si>
  <si>
    <t>CY-21</t>
  </si>
  <si>
    <t>CY-22</t>
  </si>
  <si>
    <t>CY-23</t>
  </si>
  <si>
    <t>Plant</t>
  </si>
  <si>
    <t>SPV</t>
  </si>
  <si>
    <t>AC Capacity (MW)</t>
  </si>
  <si>
    <t>Connected DC Capacity (MWp)</t>
  </si>
  <si>
    <t>SEMLI</t>
  </si>
  <si>
    <t>ASPL</t>
  </si>
  <si>
    <t>TL Loss%</t>
  </si>
  <si>
    <t>YTD FY-23-24</t>
  </si>
  <si>
    <r>
      <t>ICR-1 GHI (kwh/m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) SMP- 10</t>
    </r>
  </si>
  <si>
    <t>ICR-1    GTI 2 (kwh/m2) SMP- 10</t>
  </si>
  <si>
    <t>Tr. P. Factor</t>
  </si>
  <si>
    <r>
      <t>ICR-1    GTI 1 (kwh/m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) SMP- 10</t>
    </r>
  </si>
  <si>
    <t>Factor</t>
  </si>
  <si>
    <t>Drived GTI</t>
  </si>
  <si>
    <t>ICR-3 GHI (kwh/m2) CMP- 11</t>
  </si>
  <si>
    <t>ICR-3 GTI (kwh/m2) CMP- 11</t>
  </si>
  <si>
    <t>Bud</t>
  </si>
  <si>
    <t>Actual</t>
  </si>
  <si>
    <t>Gen</t>
  </si>
  <si>
    <t>GTI</t>
  </si>
  <si>
    <t>Sept'20</t>
  </si>
  <si>
    <t>Sept'21</t>
  </si>
  <si>
    <t>Sept'22</t>
  </si>
  <si>
    <t>Sept'23</t>
  </si>
  <si>
    <t xml:space="preserve">       </t>
  </si>
  <si>
    <t>CY-24</t>
  </si>
  <si>
    <t>YTD FY-18-19</t>
  </si>
  <si>
    <t>YTD FY-24-25</t>
  </si>
  <si>
    <t>CY-25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</si>
</sst>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mmm/yy;@"/>
    <numFmt numFmtId="166" formatCode="_-* #,##0.00\ _€_-;\-* #,##0.00\ _€_-;_-* &quot;-&quot;??\ _€_-;_-@_-"/>
    <numFmt numFmtId="167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indexed="8"/>
      <name val="Verdana"/>
      <family val="2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0"/>
      <name val="Tahoma"/>
      <family val="2"/>
    </font>
    <font>
      <b/>
      <sz val="10"/>
      <name val="Tahoma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b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9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8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8" borderId="10" applyNumberFormat="0" applyAlignment="0" applyProtection="0"/>
    <xf numFmtId="0" fontId="12" fillId="9" borderId="11" applyNumberFormat="0" applyAlignment="0" applyProtection="0"/>
    <xf numFmtId="0" fontId="13" fillId="9" borderId="10" applyNumberFormat="0" applyAlignment="0" applyProtection="0"/>
    <xf numFmtId="0" fontId="14" fillId="0" borderId="12" applyNumberFormat="0" applyFill="0" applyAlignment="0" applyProtection="0"/>
    <xf numFmtId="0" fontId="15" fillId="10" borderId="13" applyNumberFormat="0" applyAlignment="0" applyProtection="0"/>
    <xf numFmtId="0" fontId="16" fillId="0" borderId="0" applyNumberFormat="0" applyFill="0" applyBorder="0" applyAlignment="0" applyProtection="0"/>
    <xf numFmtId="0" fontId="1" fillId="11" borderId="14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15" applyNumberFormat="0" applyFill="0" applyAlignment="0" applyProtection="0"/>
    <xf numFmtId="0" fontId="18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8" fillId="35" borderId="0" applyNumberFormat="0" applyBorder="0" applyAlignment="0" applyProtection="0"/>
    <xf numFmtId="0" fontId="22" fillId="0" borderId="0"/>
    <xf numFmtId="0" fontId="2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3" fillId="9" borderId="10" applyNumberFormat="0" applyAlignment="0" applyProtection="0"/>
    <xf numFmtId="0" fontId="13" fillId="9" borderId="10" applyNumberFormat="0" applyAlignment="0" applyProtection="0"/>
    <xf numFmtId="0" fontId="13" fillId="9" borderId="10" applyNumberFormat="0" applyAlignment="0" applyProtection="0"/>
    <xf numFmtId="0" fontId="13" fillId="9" borderId="10" applyNumberFormat="0" applyAlignment="0" applyProtection="0"/>
    <xf numFmtId="0" fontId="13" fillId="9" borderId="10" applyNumberFormat="0" applyAlignment="0" applyProtection="0"/>
    <xf numFmtId="0" fontId="13" fillId="9" borderId="10" applyNumberFormat="0" applyAlignment="0" applyProtection="0"/>
    <xf numFmtId="0" fontId="13" fillId="9" borderId="10" applyNumberFormat="0" applyAlignment="0" applyProtection="0"/>
    <xf numFmtId="0" fontId="13" fillId="9" borderId="10" applyNumberFormat="0" applyAlignment="0" applyProtection="0"/>
    <xf numFmtId="0" fontId="13" fillId="9" borderId="10" applyNumberFormat="0" applyAlignment="0" applyProtection="0"/>
    <xf numFmtId="0" fontId="13" fillId="9" borderId="10" applyNumberFormat="0" applyAlignment="0" applyProtection="0"/>
    <xf numFmtId="0" fontId="13" fillId="9" borderId="10" applyNumberFormat="0" applyAlignment="0" applyProtection="0"/>
    <xf numFmtId="0" fontId="13" fillId="9" borderId="10" applyNumberFormat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" fillId="11" borderId="14" applyNumberFormat="0" applyFont="0" applyAlignment="0" applyProtection="0"/>
    <xf numFmtId="0" fontId="1" fillId="11" borderId="14" applyNumberFormat="0" applyFont="0" applyAlignment="0" applyProtection="0"/>
    <xf numFmtId="0" fontId="1" fillId="11" borderId="14" applyNumberFormat="0" applyFont="0" applyAlignment="0" applyProtection="0"/>
    <xf numFmtId="0" fontId="1" fillId="11" borderId="14" applyNumberFormat="0" applyFont="0" applyAlignment="0" applyProtection="0"/>
    <xf numFmtId="0" fontId="1" fillId="11" borderId="14" applyNumberFormat="0" applyFont="0" applyAlignment="0" applyProtection="0"/>
    <xf numFmtId="0" fontId="1" fillId="11" borderId="14" applyNumberFormat="0" applyFont="0" applyAlignment="0" applyProtection="0"/>
    <xf numFmtId="0" fontId="1" fillId="11" borderId="14" applyNumberFormat="0" applyFont="0" applyAlignment="0" applyProtection="0"/>
    <xf numFmtId="0" fontId="1" fillId="11" borderId="14" applyNumberFormat="0" applyFont="0" applyAlignment="0" applyProtection="0"/>
    <xf numFmtId="0" fontId="1" fillId="11" borderId="14" applyNumberFormat="0" applyFont="0" applyAlignment="0" applyProtection="0"/>
    <xf numFmtId="0" fontId="1" fillId="11" borderId="14" applyNumberFormat="0" applyFont="0" applyAlignment="0" applyProtection="0"/>
    <xf numFmtId="0" fontId="1" fillId="11" borderId="14" applyNumberFormat="0" applyFont="0" applyAlignment="0" applyProtection="0"/>
    <xf numFmtId="0" fontId="1" fillId="11" borderId="14" applyNumberFormat="0" applyFont="0" applyAlignment="0" applyProtection="0"/>
    <xf numFmtId="0" fontId="11" fillId="8" borderId="10" applyNumberFormat="0" applyAlignment="0" applyProtection="0"/>
    <xf numFmtId="0" fontId="11" fillId="8" borderId="10" applyNumberFormat="0" applyAlignment="0" applyProtection="0"/>
    <xf numFmtId="0" fontId="11" fillId="8" borderId="10" applyNumberFormat="0" applyAlignment="0" applyProtection="0"/>
    <xf numFmtId="0" fontId="11" fillId="8" borderId="10" applyNumberFormat="0" applyAlignment="0" applyProtection="0"/>
    <xf numFmtId="0" fontId="11" fillId="8" borderId="10" applyNumberFormat="0" applyAlignment="0" applyProtection="0"/>
    <xf numFmtId="0" fontId="11" fillId="8" borderId="10" applyNumberFormat="0" applyAlignment="0" applyProtection="0"/>
    <xf numFmtId="0" fontId="11" fillId="8" borderId="10" applyNumberFormat="0" applyAlignment="0" applyProtection="0"/>
    <xf numFmtId="0" fontId="11" fillId="8" borderId="10" applyNumberFormat="0" applyAlignment="0" applyProtection="0"/>
    <xf numFmtId="0" fontId="11" fillId="8" borderId="10" applyNumberFormat="0" applyAlignment="0" applyProtection="0"/>
    <xf numFmtId="0" fontId="11" fillId="8" borderId="10" applyNumberFormat="0" applyAlignment="0" applyProtection="0"/>
    <xf numFmtId="0" fontId="11" fillId="8" borderId="10" applyNumberFormat="0" applyAlignment="0" applyProtection="0"/>
    <xf numFmtId="0" fontId="11" fillId="8" borderId="10" applyNumberFormat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2" fillId="9" borderId="11" applyNumberFormat="0" applyAlignment="0" applyProtection="0"/>
    <xf numFmtId="0" fontId="12" fillId="9" borderId="11" applyNumberFormat="0" applyAlignment="0" applyProtection="0"/>
    <xf numFmtId="0" fontId="12" fillId="9" borderId="11" applyNumberFormat="0" applyAlignment="0" applyProtection="0"/>
    <xf numFmtId="0" fontId="12" fillId="9" borderId="11" applyNumberFormat="0" applyAlignment="0" applyProtection="0"/>
    <xf numFmtId="0" fontId="12" fillId="9" borderId="11" applyNumberFormat="0" applyAlignment="0" applyProtection="0"/>
    <xf numFmtId="0" fontId="12" fillId="9" borderId="11" applyNumberFormat="0" applyAlignment="0" applyProtection="0"/>
    <xf numFmtId="0" fontId="12" fillId="9" borderId="11" applyNumberFormat="0" applyAlignment="0" applyProtection="0"/>
    <xf numFmtId="0" fontId="12" fillId="9" borderId="11" applyNumberFormat="0" applyAlignment="0" applyProtection="0"/>
    <xf numFmtId="0" fontId="12" fillId="9" borderId="11" applyNumberFormat="0" applyAlignment="0" applyProtection="0"/>
    <xf numFmtId="0" fontId="12" fillId="9" borderId="11" applyNumberFormat="0" applyAlignment="0" applyProtection="0"/>
    <xf numFmtId="0" fontId="12" fillId="9" borderId="11" applyNumberFormat="0" applyAlignment="0" applyProtection="0"/>
    <xf numFmtId="0" fontId="12" fillId="9" borderId="11" applyNumberFormat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15" fillId="10" borderId="13" applyNumberFormat="0" applyAlignment="0" applyProtection="0"/>
    <xf numFmtId="0" fontId="15" fillId="10" borderId="13" applyNumberFormat="0" applyAlignment="0" applyProtection="0"/>
    <xf numFmtId="0" fontId="15" fillId="10" borderId="13" applyNumberFormat="0" applyAlignment="0" applyProtection="0"/>
    <xf numFmtId="0" fontId="15" fillId="10" borderId="13" applyNumberFormat="0" applyAlignment="0" applyProtection="0"/>
    <xf numFmtId="0" fontId="15" fillId="10" borderId="13" applyNumberFormat="0" applyAlignment="0" applyProtection="0"/>
    <xf numFmtId="0" fontId="15" fillId="10" borderId="13" applyNumberFormat="0" applyAlignment="0" applyProtection="0"/>
    <xf numFmtId="0" fontId="15" fillId="10" borderId="13" applyNumberFormat="0" applyAlignment="0" applyProtection="0"/>
    <xf numFmtId="0" fontId="15" fillId="10" borderId="13" applyNumberFormat="0" applyAlignment="0" applyProtection="0"/>
    <xf numFmtId="0" fontId="15" fillId="10" borderId="13" applyNumberFormat="0" applyAlignment="0" applyProtection="0"/>
    <xf numFmtId="0" fontId="15" fillId="10" borderId="13" applyNumberFormat="0" applyAlignment="0" applyProtection="0"/>
    <xf numFmtId="0" fontId="15" fillId="10" borderId="13" applyNumberFormat="0" applyAlignment="0" applyProtection="0"/>
    <xf numFmtId="0" fontId="15" fillId="10" borderId="13" applyNumberFormat="0" applyAlignment="0" applyProtection="0"/>
    <xf numFmtId="0" fontId="21" fillId="0" borderId="0"/>
    <xf numFmtId="9" fontId="2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3" fillId="0" borderId="0"/>
    <xf numFmtId="0" fontId="23" fillId="13" borderId="0" applyNumberFormat="0" applyBorder="0" applyAlignment="0" applyProtection="0"/>
    <xf numFmtId="0" fontId="23" fillId="17" borderId="0" applyNumberFormat="0" applyBorder="0" applyAlignment="0" applyProtection="0"/>
    <xf numFmtId="0" fontId="23" fillId="21" borderId="0" applyNumberFormat="0" applyBorder="0" applyAlignment="0" applyProtection="0"/>
    <xf numFmtId="0" fontId="23" fillId="25" borderId="0" applyNumberFormat="0" applyBorder="0" applyAlignment="0" applyProtection="0"/>
    <xf numFmtId="0" fontId="23" fillId="29" borderId="0" applyNumberFormat="0" applyBorder="0" applyAlignment="0" applyProtection="0"/>
    <xf numFmtId="0" fontId="23" fillId="33" borderId="0" applyNumberFormat="0" applyBorder="0" applyAlignment="0" applyProtection="0"/>
    <xf numFmtId="0" fontId="23" fillId="14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26" borderId="0" applyNumberFormat="0" applyBorder="0" applyAlignment="0" applyProtection="0"/>
    <xf numFmtId="0" fontId="23" fillId="30" borderId="0" applyNumberFormat="0" applyBorder="0" applyAlignment="0" applyProtection="0"/>
    <xf numFmtId="0" fontId="23" fillId="34" borderId="0" applyNumberFormat="0" applyBorder="0" applyAlignment="0" applyProtection="0"/>
    <xf numFmtId="0" fontId="24" fillId="15" borderId="0" applyNumberFormat="0" applyBorder="0" applyAlignment="0" applyProtection="0"/>
    <xf numFmtId="0" fontId="24" fillId="19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31" borderId="0" applyNumberFormat="0" applyBorder="0" applyAlignment="0" applyProtection="0"/>
    <xf numFmtId="0" fontId="24" fillId="35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9" borderId="10" applyNumberFormat="0" applyAlignment="0" applyProtection="0"/>
    <xf numFmtId="0" fontId="27" fillId="0" borderId="12" applyNumberFormat="0" applyFill="0" applyAlignment="0" applyProtection="0"/>
    <xf numFmtId="0" fontId="23" fillId="11" borderId="14" applyNumberFormat="0" applyFont="0" applyAlignment="0" applyProtection="0"/>
    <xf numFmtId="0" fontId="28" fillId="8" borderId="10" applyNumberFormat="0" applyAlignment="0" applyProtection="0"/>
    <xf numFmtId="0" fontId="29" fillId="6" borderId="0" applyNumberFormat="0" applyBorder="0" applyAlignment="0" applyProtection="0"/>
    <xf numFmtId="0" fontId="30" fillId="7" borderId="0" applyNumberFormat="0" applyBorder="0" applyAlignment="0" applyProtection="0"/>
    <xf numFmtId="0" fontId="31" fillId="5" borderId="0" applyNumberFormat="0" applyBorder="0" applyAlignment="0" applyProtection="0"/>
    <xf numFmtId="0" fontId="32" fillId="9" borderId="11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7" applyNumberFormat="0" applyFill="0" applyAlignment="0" applyProtection="0"/>
    <xf numFmtId="0" fontId="36" fillId="0" borderId="8" applyNumberFormat="0" applyFill="0" applyAlignment="0" applyProtection="0"/>
    <xf numFmtId="0" fontId="37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5" applyNumberFormat="0" applyFill="0" applyAlignment="0" applyProtection="0"/>
    <xf numFmtId="0" fontId="39" fillId="10" borderId="13" applyNumberFormat="0" applyAlignment="0" applyProtection="0"/>
    <xf numFmtId="167" fontId="1" fillId="0" borderId="0" applyFont="0" applyFill="0" applyBorder="0" applyAlignment="0" applyProtection="0"/>
    <xf numFmtId="0" fontId="40" fillId="0" borderId="0"/>
    <xf numFmtId="0" fontId="41" fillId="36" borderId="0"/>
    <xf numFmtId="0" fontId="40" fillId="0" borderId="0"/>
    <xf numFmtId="0" fontId="41" fillId="36" borderId="0"/>
    <xf numFmtId="0" fontId="41" fillId="36" borderId="0"/>
    <xf numFmtId="0" fontId="5" fillId="0" borderId="0" applyNumberFormat="0" applyFill="0" applyBorder="0" applyAlignment="0" applyProtection="0"/>
    <xf numFmtId="0" fontId="1" fillId="0" borderId="0"/>
    <xf numFmtId="0" fontId="40" fillId="0" borderId="0"/>
    <xf numFmtId="0" fontId="41" fillId="36" borderId="0"/>
    <xf numFmtId="0" fontId="21" fillId="0" borderId="0" applyNumberFormat="0" applyFill="0" applyBorder="0" applyAlignment="0" applyProtection="0"/>
    <xf numFmtId="166" fontId="1" fillId="0" borderId="0" applyFon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1" fillId="0" borderId="1" xfId="2" applyNumberFormat="1" applyBorder="1" applyAlignment="1">
      <alignment horizontal="center"/>
    </xf>
    <xf numFmtId="10" fontId="1" fillId="0" borderId="1" xfId="2" applyNumberFormat="1" applyBorder="1" applyAlignment="1">
      <alignment horizontal="center" vertical="center"/>
    </xf>
    <xf numFmtId="10" fontId="0" fillId="0" borderId="1" xfId="0" applyNumberFormat="1" applyBorder="1"/>
    <xf numFmtId="0" fontId="0" fillId="0" borderId="6" xfId="0" applyBorder="1"/>
    <xf numFmtId="10" fontId="1" fillId="0" borderId="6" xfId="2" applyNumberFormat="1" applyBorder="1" applyAlignment="1">
      <alignment horizontal="center" vertical="center"/>
    </xf>
    <xf numFmtId="164" fontId="0" fillId="0" borderId="5" xfId="0" applyNumberFormat="1" applyBorder="1"/>
    <xf numFmtId="165" fontId="2" fillId="2" borderId="5" xfId="0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wrapText="1" readingOrder="1"/>
    </xf>
    <xf numFmtId="0" fontId="2" fillId="3" borderId="5" xfId="0" applyFont="1" applyFill="1" applyBorder="1" applyAlignment="1">
      <alignment horizontal="center" vertical="center" wrapText="1"/>
    </xf>
    <xf numFmtId="10" fontId="0" fillId="0" borderId="5" xfId="0" applyNumberFormat="1" applyBorder="1"/>
    <xf numFmtId="10" fontId="0" fillId="0" borderId="0" xfId="0" applyNumberFormat="1"/>
    <xf numFmtId="0" fontId="2" fillId="3" borderId="5" xfId="0" applyFont="1" applyFill="1" applyBorder="1" applyAlignment="1">
      <alignment horizontal="center" vertical="center"/>
    </xf>
    <xf numFmtId="10" fontId="0" fillId="3" borderId="16" xfId="2" applyNumberFormat="1" applyFont="1" applyFill="1" applyBorder="1" applyAlignment="1">
      <alignment horizontal="center" vertical="center"/>
    </xf>
    <xf numFmtId="0" fontId="0" fillId="0" borderId="5" xfId="0" applyBorder="1"/>
    <xf numFmtId="0" fontId="2" fillId="3" borderId="6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9" fontId="1" fillId="0" borderId="1" xfId="2" applyBorder="1" applyAlignment="1">
      <alignment horizontal="center"/>
    </xf>
    <xf numFmtId="164" fontId="0" fillId="0" borderId="1" xfId="0" applyNumberFormat="1" applyBorder="1"/>
    <xf numFmtId="0" fontId="2" fillId="3" borderId="6" xfId="0" applyFont="1" applyFill="1" applyBorder="1" applyAlignment="1">
      <alignment vertical="center" wrapText="1"/>
    </xf>
    <xf numFmtId="10" fontId="0" fillId="0" borderId="6" xfId="2" applyNumberFormat="1" applyFont="1" applyBorder="1"/>
    <xf numFmtId="2" fontId="0" fillId="0" borderId="0" xfId="0" applyNumberFormat="1"/>
    <xf numFmtId="10" fontId="0" fillId="0" borderId="0" xfId="2" applyNumberFormat="1" applyFont="1"/>
    <xf numFmtId="165" fontId="2" fillId="3" borderId="5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1" fillId="3" borderId="1" xfId="2" applyNumberFormat="1" applyFill="1" applyBorder="1" applyAlignment="1">
      <alignment horizontal="center"/>
    </xf>
    <xf numFmtId="10" fontId="1" fillId="3" borderId="1" xfId="2" applyNumberFormat="1" applyFill="1" applyBorder="1" applyAlignment="1">
      <alignment horizontal="center" vertical="center"/>
    </xf>
    <xf numFmtId="10" fontId="1" fillId="3" borderId="6" xfId="2" applyNumberFormat="1" applyFill="1" applyBorder="1" applyAlignment="1">
      <alignment horizontal="center" vertical="center"/>
    </xf>
    <xf numFmtId="0" fontId="0" fillId="3" borderId="0" xfId="0" applyFill="1"/>
    <xf numFmtId="10" fontId="0" fillId="3" borderId="6" xfId="2" applyNumberFormat="1" applyFont="1" applyFill="1" applyBorder="1"/>
    <xf numFmtId="10" fontId="1" fillId="37" borderId="1" xfId="2" applyNumberFormat="1" applyFill="1" applyBorder="1" applyAlignment="1">
      <alignment horizontal="center"/>
    </xf>
    <xf numFmtId="10" fontId="0" fillId="0" borderId="17" xfId="0" applyNumberFormat="1" applyBorder="1"/>
    <xf numFmtId="10" fontId="0" fillId="0" borderId="18" xfId="0" applyNumberFormat="1" applyBorder="1"/>
    <xf numFmtId="0" fontId="0" fillId="0" borderId="19" xfId="0" applyBorder="1"/>
    <xf numFmtId="0" fontId="2" fillId="0" borderId="0" xfId="0" applyFont="1"/>
    <xf numFmtId="0" fontId="0" fillId="0" borderId="0" xfId="0" applyAlignment="1">
      <alignment horizontal="center"/>
    </xf>
    <xf numFmtId="10" fontId="1" fillId="37" borderId="6" xfId="2" applyNumberFormat="1" applyFill="1" applyBorder="1" applyAlignment="1">
      <alignment horizontal="center" vertical="center"/>
    </xf>
    <xf numFmtId="10" fontId="0" fillId="0" borderId="5" xfId="2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3" borderId="5" xfId="2" applyNumberFormat="1" applyFont="1" applyFill="1" applyBorder="1" applyAlignment="1">
      <alignment horizontal="center"/>
    </xf>
    <xf numFmtId="10" fontId="0" fillId="3" borderId="1" xfId="2" applyNumberFormat="1" applyFon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10" fontId="0" fillId="3" borderId="6" xfId="0" applyNumberFormat="1" applyFill="1" applyBorder="1" applyAlignment="1">
      <alignment horizontal="center"/>
    </xf>
    <xf numFmtId="2" fontId="0" fillId="37" borderId="1" xfId="0" applyNumberFormat="1" applyFill="1" applyBorder="1" applyAlignment="1">
      <alignment horizontal="center" vertical="center"/>
    </xf>
    <xf numFmtId="10" fontId="1" fillId="37" borderId="1" xfId="2" applyNumberFormat="1" applyFill="1" applyBorder="1" applyAlignment="1">
      <alignment horizontal="center" vertical="center"/>
    </xf>
    <xf numFmtId="10" fontId="0" fillId="3" borderId="0" xfId="0" applyNumberFormat="1" applyFill="1"/>
    <xf numFmtId="0" fontId="0" fillId="0" borderId="0" xfId="0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37" borderId="1" xfId="0" applyNumberFormat="1" applyFill="1" applyBorder="1" applyAlignment="1">
      <alignment horizontal="center" vertical="center" wrapText="1"/>
    </xf>
    <xf numFmtId="10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17" fontId="43" fillId="0" borderId="0" xfId="0" applyNumberFormat="1" applyFont="1" applyAlignment="1">
      <alignment horizontal="center" vertical="center"/>
    </xf>
    <xf numFmtId="10" fontId="0" fillId="38" borderId="0" xfId="0" applyNumberFormat="1" applyFill="1"/>
    <xf numFmtId="10" fontId="0" fillId="37" borderId="5" xfId="2" applyNumberFormat="1" applyFont="1" applyFill="1" applyBorder="1" applyAlignment="1">
      <alignment horizontal="center"/>
    </xf>
    <xf numFmtId="10" fontId="0" fillId="37" borderId="1" xfId="2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10" fontId="0" fillId="37" borderId="5" xfId="2" applyNumberFormat="1" applyFont="1" applyFill="1" applyBorder="1"/>
    <xf numFmtId="10" fontId="0" fillId="37" borderId="1" xfId="2" applyNumberFormat="1" applyFont="1" applyFill="1" applyBorder="1"/>
    <xf numFmtId="10" fontId="0" fillId="37" borderId="1" xfId="0" applyNumberFormat="1" applyFill="1" applyBorder="1"/>
    <xf numFmtId="0" fontId="2" fillId="3" borderId="1" xfId="0" applyFont="1" applyFill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0" fontId="1" fillId="0" borderId="1" xfId="2" applyNumberFormat="1" applyFill="1" applyBorder="1" applyAlignment="1">
      <alignment horizontal="center"/>
    </xf>
    <xf numFmtId="10" fontId="1" fillId="0" borderId="1" xfId="2" applyNumberFormat="1" applyFill="1" applyBorder="1" applyAlignment="1">
      <alignment horizontal="center" vertical="center"/>
    </xf>
    <xf numFmtId="10" fontId="1" fillId="0" borderId="6" xfId="2" applyNumberFormat="1" applyFill="1" applyBorder="1" applyAlignment="1">
      <alignment horizontal="center" vertical="center"/>
    </xf>
    <xf numFmtId="9" fontId="1" fillId="0" borderId="1" xfId="2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0" fontId="3" fillId="3" borderId="1" xfId="0" applyNumberFormat="1" applyFont="1" applyFill="1" applyBorder="1" applyAlignment="1">
      <alignment horizontal="center" wrapText="1" readingOrder="1"/>
    </xf>
    <xf numFmtId="0" fontId="2" fillId="3" borderId="25" xfId="0" applyFont="1" applyFill="1" applyBorder="1" applyAlignment="1">
      <alignment horizontal="center" vertical="center" wrapText="1"/>
    </xf>
    <xf numFmtId="10" fontId="0" fillId="0" borderId="25" xfId="0" applyNumberFormat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37" borderId="6" xfId="0" applyNumberFormat="1" applyFill="1" applyBorder="1" applyAlignment="1">
      <alignment horizontal="center"/>
    </xf>
    <xf numFmtId="10" fontId="0" fillId="0" borderId="25" xfId="2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3" borderId="25" xfId="2" applyNumberFormat="1" applyFont="1" applyFill="1" applyBorder="1" applyAlignment="1">
      <alignment horizontal="center" vertical="center"/>
    </xf>
    <xf numFmtId="10" fontId="0" fillId="37" borderId="25" xfId="2" applyNumberFormat="1" applyFont="1" applyFill="1" applyBorder="1" applyAlignment="1">
      <alignment horizontal="center" vertical="center"/>
    </xf>
    <xf numFmtId="10" fontId="0" fillId="3" borderId="0" xfId="2" applyNumberFormat="1" applyFont="1" applyFill="1"/>
    <xf numFmtId="0" fontId="44" fillId="39" borderId="29" xfId="0" applyFont="1" applyFill="1" applyBorder="1" applyAlignment="1">
      <alignment horizontal="center" vertical="center" wrapText="1"/>
    </xf>
    <xf numFmtId="0" fontId="44" fillId="39" borderId="16" xfId="0" applyFont="1" applyFill="1" applyBorder="1" applyAlignment="1">
      <alignment horizontal="center" vertical="center" wrapText="1"/>
    </xf>
    <xf numFmtId="0" fontId="44" fillId="39" borderId="30" xfId="0" applyFont="1" applyFill="1" applyBorder="1" applyAlignment="1">
      <alignment horizontal="center" vertical="center" wrapText="1"/>
    </xf>
    <xf numFmtId="0" fontId="44" fillId="39" borderId="2" xfId="0" applyFont="1" applyFill="1" applyBorder="1" applyAlignment="1">
      <alignment horizontal="center" vertical="center" wrapText="1"/>
    </xf>
    <xf numFmtId="0" fontId="44" fillId="39" borderId="0" xfId="0" applyFont="1" applyFill="1" applyAlignment="1">
      <alignment horizontal="center" vertical="center" wrapText="1"/>
    </xf>
    <xf numFmtId="0" fontId="44" fillId="40" borderId="19" xfId="0" applyFont="1" applyFill="1" applyBorder="1" applyAlignment="1">
      <alignment horizontal="center" vertical="center" wrapText="1"/>
    </xf>
    <xf numFmtId="0" fontId="44" fillId="39" borderId="31" xfId="0" applyFont="1" applyFill="1" applyBorder="1" applyAlignment="1">
      <alignment horizontal="center" vertical="center" wrapText="1"/>
    </xf>
    <xf numFmtId="16" fontId="0" fillId="0" borderId="0" xfId="0" applyNumberFormat="1"/>
    <xf numFmtId="2" fontId="46" fillId="0" borderId="5" xfId="0" applyNumberFormat="1" applyFont="1" applyBorder="1" applyAlignment="1">
      <alignment horizontal="center" vertical="center"/>
    </xf>
    <xf numFmtId="2" fontId="46" fillId="0" borderId="1" xfId="0" applyNumberFormat="1" applyFont="1" applyBorder="1" applyAlignment="1">
      <alignment horizontal="center" vertical="center"/>
    </xf>
    <xf numFmtId="10" fontId="46" fillId="0" borderId="20" xfId="2" applyNumberFormat="1" applyFont="1" applyBorder="1" applyAlignment="1">
      <alignment horizontal="center" vertical="center"/>
    </xf>
    <xf numFmtId="2" fontId="46" fillId="0" borderId="20" xfId="0" applyNumberFormat="1" applyFont="1" applyBorder="1" applyAlignment="1">
      <alignment horizontal="center" vertical="center"/>
    </xf>
    <xf numFmtId="10" fontId="46" fillId="0" borderId="32" xfId="2" applyNumberFormat="1" applyFont="1" applyBorder="1" applyAlignment="1">
      <alignment horizontal="center" vertical="center"/>
    </xf>
    <xf numFmtId="2" fontId="46" fillId="0" borderId="29" xfId="0" applyNumberFormat="1" applyFont="1" applyBorder="1" applyAlignment="1">
      <alignment horizontal="center" vertical="center"/>
    </xf>
    <xf numFmtId="2" fontId="46" fillId="0" borderId="16" xfId="0" applyNumberFormat="1" applyFont="1" applyBorder="1" applyAlignment="1">
      <alignment horizontal="center" vertical="center"/>
    </xf>
    <xf numFmtId="10" fontId="46" fillId="41" borderId="20" xfId="2" applyNumberFormat="1" applyFont="1" applyFill="1" applyBorder="1" applyAlignment="1">
      <alignment horizontal="center" vertical="center"/>
    </xf>
    <xf numFmtId="2" fontId="0" fillId="38" borderId="1" xfId="0" applyNumberFormat="1" applyFill="1" applyBorder="1" applyAlignment="1">
      <alignment horizontal="center" vertical="center"/>
    </xf>
    <xf numFmtId="10" fontId="46" fillId="38" borderId="1" xfId="2" applyNumberFormat="1" applyFont="1" applyFill="1" applyBorder="1" applyAlignment="1">
      <alignment horizontal="center" vertical="center"/>
    </xf>
    <xf numFmtId="2" fontId="0" fillId="0" borderId="0" xfId="2" applyNumberFormat="1" applyFont="1" applyAlignment="1">
      <alignment horizontal="center"/>
    </xf>
    <xf numFmtId="10" fontId="46" fillId="0" borderId="17" xfId="2" applyNumberFormat="1" applyFont="1" applyFill="1" applyBorder="1" applyAlignment="1">
      <alignment horizontal="center" vertical="center"/>
    </xf>
    <xf numFmtId="10" fontId="0" fillId="0" borderId="18" xfId="2" applyNumberFormat="1" applyFont="1" applyFill="1" applyBorder="1" applyAlignment="1">
      <alignment horizontal="center" vertical="center" wrapText="1"/>
    </xf>
    <xf numFmtId="2" fontId="0" fillId="37" borderId="33" xfId="0" applyNumberFormat="1" applyFill="1" applyBorder="1" applyAlignment="1">
      <alignment horizontal="center" vertical="center"/>
    </xf>
    <xf numFmtId="0" fontId="0" fillId="37" borderId="33" xfId="0" applyFill="1" applyBorder="1" applyAlignment="1">
      <alignment horizontal="center" vertical="center"/>
    </xf>
    <xf numFmtId="10" fontId="1" fillId="37" borderId="33" xfId="2" applyNumberFormat="1" applyFill="1" applyBorder="1" applyAlignment="1">
      <alignment horizontal="center"/>
    </xf>
    <xf numFmtId="10" fontId="1" fillId="37" borderId="34" xfId="2" applyNumberFormat="1" applyFill="1" applyBorder="1" applyAlignment="1">
      <alignment horizontal="center" vertical="center"/>
    </xf>
    <xf numFmtId="10" fontId="0" fillId="3" borderId="16" xfId="2" applyNumberFormat="1" applyFont="1" applyFill="1" applyBorder="1" applyAlignment="1">
      <alignment horizontal="center"/>
    </xf>
    <xf numFmtId="10" fontId="1" fillId="0" borderId="25" xfId="2" applyNumberFormat="1" applyBorder="1" applyAlignment="1">
      <alignment horizontal="center" vertical="center"/>
    </xf>
    <xf numFmtId="10" fontId="0" fillId="0" borderId="31" xfId="2" applyNumberFormat="1" applyFont="1" applyBorder="1" applyAlignment="1">
      <alignment horizontal="center"/>
    </xf>
    <xf numFmtId="10" fontId="0" fillId="0" borderId="35" xfId="0" applyNumberFormat="1" applyBorder="1" applyAlignment="1">
      <alignment horizont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591">
    <cellStyle name="20 % - Accent1 2" xfId="46" xr:uid="{00000000-0005-0000-0000-000000000000}"/>
    <cellStyle name="20 % - Accent1 2 2" xfId="47" xr:uid="{00000000-0005-0000-0000-000001000000}"/>
    <cellStyle name="20 % - Accent1 2 3" xfId="48" xr:uid="{00000000-0005-0000-0000-000002000000}"/>
    <cellStyle name="20 % - Accent1 2 4" xfId="49" xr:uid="{00000000-0005-0000-0000-000003000000}"/>
    <cellStyle name="20 % - Accent1 2 5" xfId="538" xr:uid="{00000000-0005-0000-0000-000004000000}"/>
    <cellStyle name="20 % - Accent1 3" xfId="50" xr:uid="{00000000-0005-0000-0000-000005000000}"/>
    <cellStyle name="20 % - Accent1 3 2" xfId="51" xr:uid="{00000000-0005-0000-0000-000006000000}"/>
    <cellStyle name="20 % - Accent1 3 3" xfId="52" xr:uid="{00000000-0005-0000-0000-000007000000}"/>
    <cellStyle name="20 % - Accent1 3 4" xfId="53" xr:uid="{00000000-0005-0000-0000-000008000000}"/>
    <cellStyle name="20 % - Accent1 4" xfId="54" xr:uid="{00000000-0005-0000-0000-000009000000}"/>
    <cellStyle name="20 % - Accent1 4 2" xfId="55" xr:uid="{00000000-0005-0000-0000-00000A000000}"/>
    <cellStyle name="20 % - Accent1 4 3" xfId="56" xr:uid="{00000000-0005-0000-0000-00000B000000}"/>
    <cellStyle name="20 % - Accent1 4 4" xfId="57" xr:uid="{00000000-0005-0000-0000-00000C000000}"/>
    <cellStyle name="20 % - Accent2 2" xfId="58" xr:uid="{00000000-0005-0000-0000-00000D000000}"/>
    <cellStyle name="20 % - Accent2 2 2" xfId="59" xr:uid="{00000000-0005-0000-0000-00000E000000}"/>
    <cellStyle name="20 % - Accent2 2 3" xfId="60" xr:uid="{00000000-0005-0000-0000-00000F000000}"/>
    <cellStyle name="20 % - Accent2 2 4" xfId="61" xr:uid="{00000000-0005-0000-0000-000010000000}"/>
    <cellStyle name="20 % - Accent2 2 5" xfId="539" xr:uid="{00000000-0005-0000-0000-000011000000}"/>
    <cellStyle name="20 % - Accent2 3" xfId="62" xr:uid="{00000000-0005-0000-0000-000012000000}"/>
    <cellStyle name="20 % - Accent2 3 2" xfId="63" xr:uid="{00000000-0005-0000-0000-000013000000}"/>
    <cellStyle name="20 % - Accent2 3 3" xfId="64" xr:uid="{00000000-0005-0000-0000-000014000000}"/>
    <cellStyle name="20 % - Accent2 3 4" xfId="65" xr:uid="{00000000-0005-0000-0000-000015000000}"/>
    <cellStyle name="20 % - Accent2 4" xfId="66" xr:uid="{00000000-0005-0000-0000-000016000000}"/>
    <cellStyle name="20 % - Accent2 4 2" xfId="67" xr:uid="{00000000-0005-0000-0000-000017000000}"/>
    <cellStyle name="20 % - Accent2 4 3" xfId="68" xr:uid="{00000000-0005-0000-0000-000018000000}"/>
    <cellStyle name="20 % - Accent2 4 4" xfId="69" xr:uid="{00000000-0005-0000-0000-000019000000}"/>
    <cellStyle name="20 % - Accent3 2" xfId="70" xr:uid="{00000000-0005-0000-0000-00001A000000}"/>
    <cellStyle name="20 % - Accent3 2 2" xfId="71" xr:uid="{00000000-0005-0000-0000-00001B000000}"/>
    <cellStyle name="20 % - Accent3 2 3" xfId="72" xr:uid="{00000000-0005-0000-0000-00001C000000}"/>
    <cellStyle name="20 % - Accent3 2 4" xfId="73" xr:uid="{00000000-0005-0000-0000-00001D000000}"/>
    <cellStyle name="20 % - Accent3 2 5" xfId="540" xr:uid="{00000000-0005-0000-0000-00001E000000}"/>
    <cellStyle name="20 % - Accent3 3" xfId="74" xr:uid="{00000000-0005-0000-0000-00001F000000}"/>
    <cellStyle name="20 % - Accent3 3 2" xfId="75" xr:uid="{00000000-0005-0000-0000-000020000000}"/>
    <cellStyle name="20 % - Accent3 3 3" xfId="76" xr:uid="{00000000-0005-0000-0000-000021000000}"/>
    <cellStyle name="20 % - Accent3 3 4" xfId="77" xr:uid="{00000000-0005-0000-0000-000022000000}"/>
    <cellStyle name="20 % - Accent3 4" xfId="78" xr:uid="{00000000-0005-0000-0000-000023000000}"/>
    <cellStyle name="20 % - Accent3 4 2" xfId="79" xr:uid="{00000000-0005-0000-0000-000024000000}"/>
    <cellStyle name="20 % - Accent3 4 3" xfId="80" xr:uid="{00000000-0005-0000-0000-000025000000}"/>
    <cellStyle name="20 % - Accent3 4 4" xfId="81" xr:uid="{00000000-0005-0000-0000-000026000000}"/>
    <cellStyle name="20 % - Accent4 2" xfId="82" xr:uid="{00000000-0005-0000-0000-000027000000}"/>
    <cellStyle name="20 % - Accent4 2 2" xfId="83" xr:uid="{00000000-0005-0000-0000-000028000000}"/>
    <cellStyle name="20 % - Accent4 2 3" xfId="84" xr:uid="{00000000-0005-0000-0000-000029000000}"/>
    <cellStyle name="20 % - Accent4 2 4" xfId="85" xr:uid="{00000000-0005-0000-0000-00002A000000}"/>
    <cellStyle name="20 % - Accent4 2 5" xfId="541" xr:uid="{00000000-0005-0000-0000-00002B000000}"/>
    <cellStyle name="20 % - Accent4 3" xfId="86" xr:uid="{00000000-0005-0000-0000-00002C000000}"/>
    <cellStyle name="20 % - Accent4 3 2" xfId="87" xr:uid="{00000000-0005-0000-0000-00002D000000}"/>
    <cellStyle name="20 % - Accent4 3 3" xfId="88" xr:uid="{00000000-0005-0000-0000-00002E000000}"/>
    <cellStyle name="20 % - Accent4 3 4" xfId="89" xr:uid="{00000000-0005-0000-0000-00002F000000}"/>
    <cellStyle name="20 % - Accent4 4" xfId="90" xr:uid="{00000000-0005-0000-0000-000030000000}"/>
    <cellStyle name="20 % - Accent4 4 2" xfId="91" xr:uid="{00000000-0005-0000-0000-000031000000}"/>
    <cellStyle name="20 % - Accent4 4 3" xfId="92" xr:uid="{00000000-0005-0000-0000-000032000000}"/>
    <cellStyle name="20 % - Accent4 4 4" xfId="93" xr:uid="{00000000-0005-0000-0000-000033000000}"/>
    <cellStyle name="20 % - Accent5 2" xfId="94" xr:uid="{00000000-0005-0000-0000-000034000000}"/>
    <cellStyle name="20 % - Accent5 2 2" xfId="95" xr:uid="{00000000-0005-0000-0000-000035000000}"/>
    <cellStyle name="20 % - Accent5 2 3" xfId="96" xr:uid="{00000000-0005-0000-0000-000036000000}"/>
    <cellStyle name="20 % - Accent5 2 4" xfId="97" xr:uid="{00000000-0005-0000-0000-000037000000}"/>
    <cellStyle name="20 % - Accent5 2 5" xfId="542" xr:uid="{00000000-0005-0000-0000-000038000000}"/>
    <cellStyle name="20 % - Accent5 3" xfId="98" xr:uid="{00000000-0005-0000-0000-000039000000}"/>
    <cellStyle name="20 % - Accent5 3 2" xfId="99" xr:uid="{00000000-0005-0000-0000-00003A000000}"/>
    <cellStyle name="20 % - Accent5 3 3" xfId="100" xr:uid="{00000000-0005-0000-0000-00003B000000}"/>
    <cellStyle name="20 % - Accent5 3 4" xfId="101" xr:uid="{00000000-0005-0000-0000-00003C000000}"/>
    <cellStyle name="20 % - Accent5 4" xfId="102" xr:uid="{00000000-0005-0000-0000-00003D000000}"/>
    <cellStyle name="20 % - Accent5 4 2" xfId="103" xr:uid="{00000000-0005-0000-0000-00003E000000}"/>
    <cellStyle name="20 % - Accent5 4 3" xfId="104" xr:uid="{00000000-0005-0000-0000-00003F000000}"/>
    <cellStyle name="20 % - Accent5 4 4" xfId="105" xr:uid="{00000000-0005-0000-0000-000040000000}"/>
    <cellStyle name="20 % - Accent6 2" xfId="106" xr:uid="{00000000-0005-0000-0000-000041000000}"/>
    <cellStyle name="20 % - Accent6 2 2" xfId="107" xr:uid="{00000000-0005-0000-0000-000042000000}"/>
    <cellStyle name="20 % - Accent6 2 3" xfId="108" xr:uid="{00000000-0005-0000-0000-000043000000}"/>
    <cellStyle name="20 % - Accent6 2 4" xfId="109" xr:uid="{00000000-0005-0000-0000-000044000000}"/>
    <cellStyle name="20 % - Accent6 2 5" xfId="543" xr:uid="{00000000-0005-0000-0000-000045000000}"/>
    <cellStyle name="20 % - Accent6 3" xfId="110" xr:uid="{00000000-0005-0000-0000-000046000000}"/>
    <cellStyle name="20 % - Accent6 3 2" xfId="111" xr:uid="{00000000-0005-0000-0000-000047000000}"/>
    <cellStyle name="20 % - Accent6 3 3" xfId="112" xr:uid="{00000000-0005-0000-0000-000048000000}"/>
    <cellStyle name="20 % - Accent6 3 4" xfId="113" xr:uid="{00000000-0005-0000-0000-000049000000}"/>
    <cellStyle name="20 % - Accent6 4" xfId="114" xr:uid="{00000000-0005-0000-0000-00004A000000}"/>
    <cellStyle name="20 % - Accent6 4 2" xfId="115" xr:uid="{00000000-0005-0000-0000-00004B000000}"/>
    <cellStyle name="20 % - Accent6 4 3" xfId="116" xr:uid="{00000000-0005-0000-0000-00004C000000}"/>
    <cellStyle name="20 % - Accent6 4 4" xfId="117" xr:uid="{00000000-0005-0000-0000-00004D000000}"/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 % - Accent1 2" xfId="118" xr:uid="{00000000-0005-0000-0000-000054000000}"/>
    <cellStyle name="40 % - Accent1 2 2" xfId="119" xr:uid="{00000000-0005-0000-0000-000055000000}"/>
    <cellStyle name="40 % - Accent1 2 3" xfId="120" xr:uid="{00000000-0005-0000-0000-000056000000}"/>
    <cellStyle name="40 % - Accent1 2 4" xfId="121" xr:uid="{00000000-0005-0000-0000-000057000000}"/>
    <cellStyle name="40 % - Accent1 2 5" xfId="544" xr:uid="{00000000-0005-0000-0000-000058000000}"/>
    <cellStyle name="40 % - Accent1 3" xfId="122" xr:uid="{00000000-0005-0000-0000-000059000000}"/>
    <cellStyle name="40 % - Accent1 3 2" xfId="123" xr:uid="{00000000-0005-0000-0000-00005A000000}"/>
    <cellStyle name="40 % - Accent1 3 3" xfId="124" xr:uid="{00000000-0005-0000-0000-00005B000000}"/>
    <cellStyle name="40 % - Accent1 3 4" xfId="125" xr:uid="{00000000-0005-0000-0000-00005C000000}"/>
    <cellStyle name="40 % - Accent1 4" xfId="126" xr:uid="{00000000-0005-0000-0000-00005D000000}"/>
    <cellStyle name="40 % - Accent1 4 2" xfId="127" xr:uid="{00000000-0005-0000-0000-00005E000000}"/>
    <cellStyle name="40 % - Accent1 4 3" xfId="128" xr:uid="{00000000-0005-0000-0000-00005F000000}"/>
    <cellStyle name="40 % - Accent1 4 4" xfId="129" xr:uid="{00000000-0005-0000-0000-000060000000}"/>
    <cellStyle name="40 % - Accent2 2" xfId="130" xr:uid="{00000000-0005-0000-0000-000061000000}"/>
    <cellStyle name="40 % - Accent2 2 2" xfId="131" xr:uid="{00000000-0005-0000-0000-000062000000}"/>
    <cellStyle name="40 % - Accent2 2 3" xfId="132" xr:uid="{00000000-0005-0000-0000-000063000000}"/>
    <cellStyle name="40 % - Accent2 2 4" xfId="133" xr:uid="{00000000-0005-0000-0000-000064000000}"/>
    <cellStyle name="40 % - Accent2 2 5" xfId="545" xr:uid="{00000000-0005-0000-0000-000065000000}"/>
    <cellStyle name="40 % - Accent2 3" xfId="134" xr:uid="{00000000-0005-0000-0000-000066000000}"/>
    <cellStyle name="40 % - Accent2 3 2" xfId="135" xr:uid="{00000000-0005-0000-0000-000067000000}"/>
    <cellStyle name="40 % - Accent2 3 3" xfId="136" xr:uid="{00000000-0005-0000-0000-000068000000}"/>
    <cellStyle name="40 % - Accent2 3 4" xfId="137" xr:uid="{00000000-0005-0000-0000-000069000000}"/>
    <cellStyle name="40 % - Accent2 4" xfId="138" xr:uid="{00000000-0005-0000-0000-00006A000000}"/>
    <cellStyle name="40 % - Accent2 4 2" xfId="139" xr:uid="{00000000-0005-0000-0000-00006B000000}"/>
    <cellStyle name="40 % - Accent2 4 3" xfId="140" xr:uid="{00000000-0005-0000-0000-00006C000000}"/>
    <cellStyle name="40 % - Accent2 4 4" xfId="141" xr:uid="{00000000-0005-0000-0000-00006D000000}"/>
    <cellStyle name="40 % - Accent3 2" xfId="142" xr:uid="{00000000-0005-0000-0000-00006E000000}"/>
    <cellStyle name="40 % - Accent3 2 2" xfId="143" xr:uid="{00000000-0005-0000-0000-00006F000000}"/>
    <cellStyle name="40 % - Accent3 2 3" xfId="144" xr:uid="{00000000-0005-0000-0000-000070000000}"/>
    <cellStyle name="40 % - Accent3 2 4" xfId="145" xr:uid="{00000000-0005-0000-0000-000071000000}"/>
    <cellStyle name="40 % - Accent3 2 5" xfId="546" xr:uid="{00000000-0005-0000-0000-000072000000}"/>
    <cellStyle name="40 % - Accent3 3" xfId="146" xr:uid="{00000000-0005-0000-0000-000073000000}"/>
    <cellStyle name="40 % - Accent3 3 2" xfId="147" xr:uid="{00000000-0005-0000-0000-000074000000}"/>
    <cellStyle name="40 % - Accent3 3 3" xfId="148" xr:uid="{00000000-0005-0000-0000-000075000000}"/>
    <cellStyle name="40 % - Accent3 3 4" xfId="149" xr:uid="{00000000-0005-0000-0000-000076000000}"/>
    <cellStyle name="40 % - Accent3 4" xfId="150" xr:uid="{00000000-0005-0000-0000-000077000000}"/>
    <cellStyle name="40 % - Accent3 4 2" xfId="151" xr:uid="{00000000-0005-0000-0000-000078000000}"/>
    <cellStyle name="40 % - Accent3 4 3" xfId="152" xr:uid="{00000000-0005-0000-0000-000079000000}"/>
    <cellStyle name="40 % - Accent3 4 4" xfId="153" xr:uid="{00000000-0005-0000-0000-00007A000000}"/>
    <cellStyle name="40 % - Accent4 2" xfId="154" xr:uid="{00000000-0005-0000-0000-00007B000000}"/>
    <cellStyle name="40 % - Accent4 2 2" xfId="155" xr:uid="{00000000-0005-0000-0000-00007C000000}"/>
    <cellStyle name="40 % - Accent4 2 3" xfId="156" xr:uid="{00000000-0005-0000-0000-00007D000000}"/>
    <cellStyle name="40 % - Accent4 2 4" xfId="157" xr:uid="{00000000-0005-0000-0000-00007E000000}"/>
    <cellStyle name="40 % - Accent4 2 5" xfId="547" xr:uid="{00000000-0005-0000-0000-00007F000000}"/>
    <cellStyle name="40 % - Accent4 3" xfId="158" xr:uid="{00000000-0005-0000-0000-000080000000}"/>
    <cellStyle name="40 % - Accent4 3 2" xfId="159" xr:uid="{00000000-0005-0000-0000-000081000000}"/>
    <cellStyle name="40 % - Accent4 3 3" xfId="160" xr:uid="{00000000-0005-0000-0000-000082000000}"/>
    <cellStyle name="40 % - Accent4 3 4" xfId="161" xr:uid="{00000000-0005-0000-0000-000083000000}"/>
    <cellStyle name="40 % - Accent4 4" xfId="162" xr:uid="{00000000-0005-0000-0000-000084000000}"/>
    <cellStyle name="40 % - Accent4 4 2" xfId="163" xr:uid="{00000000-0005-0000-0000-000085000000}"/>
    <cellStyle name="40 % - Accent4 4 3" xfId="164" xr:uid="{00000000-0005-0000-0000-000086000000}"/>
    <cellStyle name="40 % - Accent4 4 4" xfId="165" xr:uid="{00000000-0005-0000-0000-000087000000}"/>
    <cellStyle name="40 % - Accent5 2" xfId="166" xr:uid="{00000000-0005-0000-0000-000088000000}"/>
    <cellStyle name="40 % - Accent5 2 2" xfId="167" xr:uid="{00000000-0005-0000-0000-000089000000}"/>
    <cellStyle name="40 % - Accent5 2 3" xfId="168" xr:uid="{00000000-0005-0000-0000-00008A000000}"/>
    <cellStyle name="40 % - Accent5 2 4" xfId="169" xr:uid="{00000000-0005-0000-0000-00008B000000}"/>
    <cellStyle name="40 % - Accent5 2 5" xfId="548" xr:uid="{00000000-0005-0000-0000-00008C000000}"/>
    <cellStyle name="40 % - Accent5 3" xfId="170" xr:uid="{00000000-0005-0000-0000-00008D000000}"/>
    <cellStyle name="40 % - Accent5 3 2" xfId="171" xr:uid="{00000000-0005-0000-0000-00008E000000}"/>
    <cellStyle name="40 % - Accent5 3 3" xfId="172" xr:uid="{00000000-0005-0000-0000-00008F000000}"/>
    <cellStyle name="40 % - Accent5 3 4" xfId="173" xr:uid="{00000000-0005-0000-0000-000090000000}"/>
    <cellStyle name="40 % - Accent5 4" xfId="174" xr:uid="{00000000-0005-0000-0000-000091000000}"/>
    <cellStyle name="40 % - Accent5 4 2" xfId="175" xr:uid="{00000000-0005-0000-0000-000092000000}"/>
    <cellStyle name="40 % - Accent5 4 3" xfId="176" xr:uid="{00000000-0005-0000-0000-000093000000}"/>
    <cellStyle name="40 % - Accent5 4 4" xfId="177" xr:uid="{00000000-0005-0000-0000-000094000000}"/>
    <cellStyle name="40 % - Accent6 2" xfId="178" xr:uid="{00000000-0005-0000-0000-000095000000}"/>
    <cellStyle name="40 % - Accent6 2 2" xfId="179" xr:uid="{00000000-0005-0000-0000-000096000000}"/>
    <cellStyle name="40 % - Accent6 2 3" xfId="180" xr:uid="{00000000-0005-0000-0000-000097000000}"/>
    <cellStyle name="40 % - Accent6 2 4" xfId="181" xr:uid="{00000000-0005-0000-0000-000098000000}"/>
    <cellStyle name="40 % - Accent6 2 5" xfId="549" xr:uid="{00000000-0005-0000-0000-000099000000}"/>
    <cellStyle name="40 % - Accent6 3" xfId="182" xr:uid="{00000000-0005-0000-0000-00009A000000}"/>
    <cellStyle name="40 % - Accent6 3 2" xfId="183" xr:uid="{00000000-0005-0000-0000-00009B000000}"/>
    <cellStyle name="40 % - Accent6 3 3" xfId="184" xr:uid="{00000000-0005-0000-0000-00009C000000}"/>
    <cellStyle name="40 % - Accent6 3 4" xfId="185" xr:uid="{00000000-0005-0000-0000-00009D000000}"/>
    <cellStyle name="40 % - Accent6 4" xfId="186" xr:uid="{00000000-0005-0000-0000-00009E000000}"/>
    <cellStyle name="40 % - Accent6 4 2" xfId="187" xr:uid="{00000000-0005-0000-0000-00009F000000}"/>
    <cellStyle name="40 % - Accent6 4 3" xfId="188" xr:uid="{00000000-0005-0000-0000-0000A0000000}"/>
    <cellStyle name="40 % - Accent6 4 4" xfId="189" xr:uid="{00000000-0005-0000-0000-0000A1000000}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 % - Accent1 2" xfId="190" xr:uid="{00000000-0005-0000-0000-0000A8000000}"/>
    <cellStyle name="60 % - Accent1 2 2" xfId="191" xr:uid="{00000000-0005-0000-0000-0000A9000000}"/>
    <cellStyle name="60 % - Accent1 2 3" xfId="192" xr:uid="{00000000-0005-0000-0000-0000AA000000}"/>
    <cellStyle name="60 % - Accent1 2 4" xfId="193" xr:uid="{00000000-0005-0000-0000-0000AB000000}"/>
    <cellStyle name="60 % - Accent1 2 5" xfId="550" xr:uid="{00000000-0005-0000-0000-0000AC000000}"/>
    <cellStyle name="60 % - Accent1 3" xfId="194" xr:uid="{00000000-0005-0000-0000-0000AD000000}"/>
    <cellStyle name="60 % - Accent1 3 2" xfId="195" xr:uid="{00000000-0005-0000-0000-0000AE000000}"/>
    <cellStyle name="60 % - Accent1 3 3" xfId="196" xr:uid="{00000000-0005-0000-0000-0000AF000000}"/>
    <cellStyle name="60 % - Accent1 3 4" xfId="197" xr:uid="{00000000-0005-0000-0000-0000B0000000}"/>
    <cellStyle name="60 % - Accent1 4" xfId="198" xr:uid="{00000000-0005-0000-0000-0000B1000000}"/>
    <cellStyle name="60 % - Accent1 4 2" xfId="199" xr:uid="{00000000-0005-0000-0000-0000B2000000}"/>
    <cellStyle name="60 % - Accent1 4 3" xfId="200" xr:uid="{00000000-0005-0000-0000-0000B3000000}"/>
    <cellStyle name="60 % - Accent1 4 4" xfId="201" xr:uid="{00000000-0005-0000-0000-0000B4000000}"/>
    <cellStyle name="60 % - Accent2 2" xfId="202" xr:uid="{00000000-0005-0000-0000-0000B5000000}"/>
    <cellStyle name="60 % - Accent2 2 2" xfId="203" xr:uid="{00000000-0005-0000-0000-0000B6000000}"/>
    <cellStyle name="60 % - Accent2 2 3" xfId="204" xr:uid="{00000000-0005-0000-0000-0000B7000000}"/>
    <cellStyle name="60 % - Accent2 2 4" xfId="205" xr:uid="{00000000-0005-0000-0000-0000B8000000}"/>
    <cellStyle name="60 % - Accent2 2 5" xfId="551" xr:uid="{00000000-0005-0000-0000-0000B9000000}"/>
    <cellStyle name="60 % - Accent2 3" xfId="206" xr:uid="{00000000-0005-0000-0000-0000BA000000}"/>
    <cellStyle name="60 % - Accent2 3 2" xfId="207" xr:uid="{00000000-0005-0000-0000-0000BB000000}"/>
    <cellStyle name="60 % - Accent2 3 3" xfId="208" xr:uid="{00000000-0005-0000-0000-0000BC000000}"/>
    <cellStyle name="60 % - Accent2 3 4" xfId="209" xr:uid="{00000000-0005-0000-0000-0000BD000000}"/>
    <cellStyle name="60 % - Accent2 4" xfId="210" xr:uid="{00000000-0005-0000-0000-0000BE000000}"/>
    <cellStyle name="60 % - Accent2 4 2" xfId="211" xr:uid="{00000000-0005-0000-0000-0000BF000000}"/>
    <cellStyle name="60 % - Accent2 4 3" xfId="212" xr:uid="{00000000-0005-0000-0000-0000C0000000}"/>
    <cellStyle name="60 % - Accent2 4 4" xfId="213" xr:uid="{00000000-0005-0000-0000-0000C1000000}"/>
    <cellStyle name="60 % - Accent3 2" xfId="214" xr:uid="{00000000-0005-0000-0000-0000C2000000}"/>
    <cellStyle name="60 % - Accent3 2 2" xfId="215" xr:uid="{00000000-0005-0000-0000-0000C3000000}"/>
    <cellStyle name="60 % - Accent3 2 3" xfId="216" xr:uid="{00000000-0005-0000-0000-0000C4000000}"/>
    <cellStyle name="60 % - Accent3 2 4" xfId="217" xr:uid="{00000000-0005-0000-0000-0000C5000000}"/>
    <cellStyle name="60 % - Accent3 2 5" xfId="552" xr:uid="{00000000-0005-0000-0000-0000C6000000}"/>
    <cellStyle name="60 % - Accent3 3" xfId="218" xr:uid="{00000000-0005-0000-0000-0000C7000000}"/>
    <cellStyle name="60 % - Accent3 3 2" xfId="219" xr:uid="{00000000-0005-0000-0000-0000C8000000}"/>
    <cellStyle name="60 % - Accent3 3 3" xfId="220" xr:uid="{00000000-0005-0000-0000-0000C9000000}"/>
    <cellStyle name="60 % - Accent3 3 4" xfId="221" xr:uid="{00000000-0005-0000-0000-0000CA000000}"/>
    <cellStyle name="60 % - Accent3 4" xfId="222" xr:uid="{00000000-0005-0000-0000-0000CB000000}"/>
    <cellStyle name="60 % - Accent3 4 2" xfId="223" xr:uid="{00000000-0005-0000-0000-0000CC000000}"/>
    <cellStyle name="60 % - Accent3 4 3" xfId="224" xr:uid="{00000000-0005-0000-0000-0000CD000000}"/>
    <cellStyle name="60 % - Accent3 4 4" xfId="225" xr:uid="{00000000-0005-0000-0000-0000CE000000}"/>
    <cellStyle name="60 % - Accent4 2" xfId="226" xr:uid="{00000000-0005-0000-0000-0000CF000000}"/>
    <cellStyle name="60 % - Accent4 2 2" xfId="227" xr:uid="{00000000-0005-0000-0000-0000D0000000}"/>
    <cellStyle name="60 % - Accent4 2 3" xfId="228" xr:uid="{00000000-0005-0000-0000-0000D1000000}"/>
    <cellStyle name="60 % - Accent4 2 4" xfId="229" xr:uid="{00000000-0005-0000-0000-0000D2000000}"/>
    <cellStyle name="60 % - Accent4 2 5" xfId="553" xr:uid="{00000000-0005-0000-0000-0000D3000000}"/>
    <cellStyle name="60 % - Accent4 3" xfId="230" xr:uid="{00000000-0005-0000-0000-0000D4000000}"/>
    <cellStyle name="60 % - Accent4 3 2" xfId="231" xr:uid="{00000000-0005-0000-0000-0000D5000000}"/>
    <cellStyle name="60 % - Accent4 3 3" xfId="232" xr:uid="{00000000-0005-0000-0000-0000D6000000}"/>
    <cellStyle name="60 % - Accent4 3 4" xfId="233" xr:uid="{00000000-0005-0000-0000-0000D7000000}"/>
    <cellStyle name="60 % - Accent4 4" xfId="234" xr:uid="{00000000-0005-0000-0000-0000D8000000}"/>
    <cellStyle name="60 % - Accent4 4 2" xfId="235" xr:uid="{00000000-0005-0000-0000-0000D9000000}"/>
    <cellStyle name="60 % - Accent4 4 3" xfId="236" xr:uid="{00000000-0005-0000-0000-0000DA000000}"/>
    <cellStyle name="60 % - Accent4 4 4" xfId="237" xr:uid="{00000000-0005-0000-0000-0000DB000000}"/>
    <cellStyle name="60 % - Accent5 2" xfId="238" xr:uid="{00000000-0005-0000-0000-0000DC000000}"/>
    <cellStyle name="60 % - Accent5 2 2" xfId="239" xr:uid="{00000000-0005-0000-0000-0000DD000000}"/>
    <cellStyle name="60 % - Accent5 2 3" xfId="240" xr:uid="{00000000-0005-0000-0000-0000DE000000}"/>
    <cellStyle name="60 % - Accent5 2 4" xfId="241" xr:uid="{00000000-0005-0000-0000-0000DF000000}"/>
    <cellStyle name="60 % - Accent5 2 5" xfId="554" xr:uid="{00000000-0005-0000-0000-0000E0000000}"/>
    <cellStyle name="60 % - Accent5 3" xfId="242" xr:uid="{00000000-0005-0000-0000-0000E1000000}"/>
    <cellStyle name="60 % - Accent5 3 2" xfId="243" xr:uid="{00000000-0005-0000-0000-0000E2000000}"/>
    <cellStyle name="60 % - Accent5 3 3" xfId="244" xr:uid="{00000000-0005-0000-0000-0000E3000000}"/>
    <cellStyle name="60 % - Accent5 3 4" xfId="245" xr:uid="{00000000-0005-0000-0000-0000E4000000}"/>
    <cellStyle name="60 % - Accent5 4" xfId="246" xr:uid="{00000000-0005-0000-0000-0000E5000000}"/>
    <cellStyle name="60 % - Accent5 4 2" xfId="247" xr:uid="{00000000-0005-0000-0000-0000E6000000}"/>
    <cellStyle name="60 % - Accent5 4 3" xfId="248" xr:uid="{00000000-0005-0000-0000-0000E7000000}"/>
    <cellStyle name="60 % - Accent5 4 4" xfId="249" xr:uid="{00000000-0005-0000-0000-0000E8000000}"/>
    <cellStyle name="60 % - Accent6 2" xfId="250" xr:uid="{00000000-0005-0000-0000-0000E9000000}"/>
    <cellStyle name="60 % - Accent6 2 2" xfId="251" xr:uid="{00000000-0005-0000-0000-0000EA000000}"/>
    <cellStyle name="60 % - Accent6 2 3" xfId="252" xr:uid="{00000000-0005-0000-0000-0000EB000000}"/>
    <cellStyle name="60 % - Accent6 2 4" xfId="253" xr:uid="{00000000-0005-0000-0000-0000EC000000}"/>
    <cellStyle name="60 % - Accent6 2 5" xfId="555" xr:uid="{00000000-0005-0000-0000-0000ED000000}"/>
    <cellStyle name="60 % - Accent6 3" xfId="254" xr:uid="{00000000-0005-0000-0000-0000EE000000}"/>
    <cellStyle name="60 % - Accent6 3 2" xfId="255" xr:uid="{00000000-0005-0000-0000-0000EF000000}"/>
    <cellStyle name="60 % - Accent6 3 3" xfId="256" xr:uid="{00000000-0005-0000-0000-0000F0000000}"/>
    <cellStyle name="60 % - Accent6 3 4" xfId="257" xr:uid="{00000000-0005-0000-0000-0000F1000000}"/>
    <cellStyle name="60 % - Accent6 4" xfId="258" xr:uid="{00000000-0005-0000-0000-0000F2000000}"/>
    <cellStyle name="60 % - Accent6 4 2" xfId="259" xr:uid="{00000000-0005-0000-0000-0000F3000000}"/>
    <cellStyle name="60 % - Accent6 4 3" xfId="260" xr:uid="{00000000-0005-0000-0000-0000F4000000}"/>
    <cellStyle name="60 % - Accent6 4 4" xfId="261" xr:uid="{00000000-0005-0000-0000-0000F5000000}"/>
    <cellStyle name="60% - Accent1 2" xfId="38" xr:uid="{00000000-0005-0000-0000-000019010000}"/>
    <cellStyle name="60% - Accent2 2" xfId="39" xr:uid="{00000000-0005-0000-0000-00001A010000}"/>
    <cellStyle name="60% - Accent3 2" xfId="40" xr:uid="{00000000-0005-0000-0000-00001B010000}"/>
    <cellStyle name="60% - Accent4 2" xfId="41" xr:uid="{00000000-0005-0000-0000-00001C010000}"/>
    <cellStyle name="60% - Accent5 2" xfId="42" xr:uid="{00000000-0005-0000-0000-00001D010000}"/>
    <cellStyle name="60% - Accent6 2" xfId="43" xr:uid="{00000000-0005-0000-0000-00001E010000}"/>
    <cellStyle name="Accent1" xfId="18" builtinId="29" customBuiltin="1"/>
    <cellStyle name="Accent1 2" xfId="262" xr:uid="{00000000-0005-0000-0000-0000FD000000}"/>
    <cellStyle name="Accent1 2 2" xfId="263" xr:uid="{00000000-0005-0000-0000-0000FE000000}"/>
    <cellStyle name="Accent1 2 3" xfId="264" xr:uid="{00000000-0005-0000-0000-0000FF000000}"/>
    <cellStyle name="Accent1 2 4" xfId="265" xr:uid="{00000000-0005-0000-0000-000000010000}"/>
    <cellStyle name="Accent1 2 5" xfId="556" xr:uid="{00000000-0005-0000-0000-000001010000}"/>
    <cellStyle name="Accent1 3" xfId="266" xr:uid="{00000000-0005-0000-0000-000002010000}"/>
    <cellStyle name="Accent1 3 2" xfId="267" xr:uid="{00000000-0005-0000-0000-000003010000}"/>
    <cellStyle name="Accent1 3 3" xfId="268" xr:uid="{00000000-0005-0000-0000-000004010000}"/>
    <cellStyle name="Accent1 3 4" xfId="269" xr:uid="{00000000-0005-0000-0000-000005010000}"/>
    <cellStyle name="Accent1 4" xfId="270" xr:uid="{00000000-0005-0000-0000-000006010000}"/>
    <cellStyle name="Accent1 4 2" xfId="271" xr:uid="{00000000-0005-0000-0000-000007010000}"/>
    <cellStyle name="Accent1 4 3" xfId="272" xr:uid="{00000000-0005-0000-0000-000008010000}"/>
    <cellStyle name="Accent1 4 4" xfId="273" xr:uid="{00000000-0005-0000-0000-000009010000}"/>
    <cellStyle name="Accent2" xfId="21" builtinId="33" customBuiltin="1"/>
    <cellStyle name="Accent2 2" xfId="274" xr:uid="{00000000-0005-0000-0000-00000B010000}"/>
    <cellStyle name="Accent2 2 2" xfId="275" xr:uid="{00000000-0005-0000-0000-00000C010000}"/>
    <cellStyle name="Accent2 2 3" xfId="276" xr:uid="{00000000-0005-0000-0000-00000D010000}"/>
    <cellStyle name="Accent2 2 4" xfId="277" xr:uid="{00000000-0005-0000-0000-00000E010000}"/>
    <cellStyle name="Accent2 2 5" xfId="557" xr:uid="{00000000-0005-0000-0000-00000F010000}"/>
    <cellStyle name="Accent2 3" xfId="278" xr:uid="{00000000-0005-0000-0000-000010010000}"/>
    <cellStyle name="Accent2 3 2" xfId="279" xr:uid="{00000000-0005-0000-0000-000011010000}"/>
    <cellStyle name="Accent2 3 3" xfId="280" xr:uid="{00000000-0005-0000-0000-000012010000}"/>
    <cellStyle name="Accent2 3 4" xfId="281" xr:uid="{00000000-0005-0000-0000-000013010000}"/>
    <cellStyle name="Accent2 4" xfId="282" xr:uid="{00000000-0005-0000-0000-000014010000}"/>
    <cellStyle name="Accent2 4 2" xfId="283" xr:uid="{00000000-0005-0000-0000-000015010000}"/>
    <cellStyle name="Accent2 4 3" xfId="284" xr:uid="{00000000-0005-0000-0000-000016010000}"/>
    <cellStyle name="Accent2 4 4" xfId="285" xr:uid="{00000000-0005-0000-0000-000017010000}"/>
    <cellStyle name="Accent3" xfId="24" builtinId="37" customBuiltin="1"/>
    <cellStyle name="Accent3 2" xfId="286" xr:uid="{00000000-0005-0000-0000-000019010000}"/>
    <cellStyle name="Accent3 2 2" xfId="287" xr:uid="{00000000-0005-0000-0000-00001A010000}"/>
    <cellStyle name="Accent3 2 3" xfId="288" xr:uid="{00000000-0005-0000-0000-00001B010000}"/>
    <cellStyle name="Accent3 2 4" xfId="289" xr:uid="{00000000-0005-0000-0000-00001C010000}"/>
    <cellStyle name="Accent3 2 5" xfId="558" xr:uid="{00000000-0005-0000-0000-00001D010000}"/>
    <cellStyle name="Accent3 3" xfId="290" xr:uid="{00000000-0005-0000-0000-00001E010000}"/>
    <cellStyle name="Accent3 3 2" xfId="291" xr:uid="{00000000-0005-0000-0000-00001F010000}"/>
    <cellStyle name="Accent3 3 3" xfId="292" xr:uid="{00000000-0005-0000-0000-000020010000}"/>
    <cellStyle name="Accent3 3 4" xfId="293" xr:uid="{00000000-0005-0000-0000-000021010000}"/>
    <cellStyle name="Accent3 4" xfId="294" xr:uid="{00000000-0005-0000-0000-000022010000}"/>
    <cellStyle name="Accent3 4 2" xfId="295" xr:uid="{00000000-0005-0000-0000-000023010000}"/>
    <cellStyle name="Accent3 4 3" xfId="296" xr:uid="{00000000-0005-0000-0000-000024010000}"/>
    <cellStyle name="Accent3 4 4" xfId="297" xr:uid="{00000000-0005-0000-0000-000025010000}"/>
    <cellStyle name="Accent4" xfId="27" builtinId="41" customBuiltin="1"/>
    <cellStyle name="Accent4 2" xfId="298" xr:uid="{00000000-0005-0000-0000-000027010000}"/>
    <cellStyle name="Accent4 2 2" xfId="299" xr:uid="{00000000-0005-0000-0000-000028010000}"/>
    <cellStyle name="Accent4 2 3" xfId="300" xr:uid="{00000000-0005-0000-0000-000029010000}"/>
    <cellStyle name="Accent4 2 4" xfId="301" xr:uid="{00000000-0005-0000-0000-00002A010000}"/>
    <cellStyle name="Accent4 2 5" xfId="559" xr:uid="{00000000-0005-0000-0000-00002B010000}"/>
    <cellStyle name="Accent4 3" xfId="302" xr:uid="{00000000-0005-0000-0000-00002C010000}"/>
    <cellStyle name="Accent4 3 2" xfId="303" xr:uid="{00000000-0005-0000-0000-00002D010000}"/>
    <cellStyle name="Accent4 3 3" xfId="304" xr:uid="{00000000-0005-0000-0000-00002E010000}"/>
    <cellStyle name="Accent4 3 4" xfId="305" xr:uid="{00000000-0005-0000-0000-00002F010000}"/>
    <cellStyle name="Accent4 4" xfId="306" xr:uid="{00000000-0005-0000-0000-000030010000}"/>
    <cellStyle name="Accent4 4 2" xfId="307" xr:uid="{00000000-0005-0000-0000-000031010000}"/>
    <cellStyle name="Accent4 4 3" xfId="308" xr:uid="{00000000-0005-0000-0000-000032010000}"/>
    <cellStyle name="Accent4 4 4" xfId="309" xr:uid="{00000000-0005-0000-0000-000033010000}"/>
    <cellStyle name="Accent5" xfId="30" builtinId="45" customBuiltin="1"/>
    <cellStyle name="Accent5 2" xfId="310" xr:uid="{00000000-0005-0000-0000-000035010000}"/>
    <cellStyle name="Accent5 2 2" xfId="311" xr:uid="{00000000-0005-0000-0000-000036010000}"/>
    <cellStyle name="Accent5 2 3" xfId="312" xr:uid="{00000000-0005-0000-0000-000037010000}"/>
    <cellStyle name="Accent5 2 4" xfId="313" xr:uid="{00000000-0005-0000-0000-000038010000}"/>
    <cellStyle name="Accent5 2 5" xfId="560" xr:uid="{00000000-0005-0000-0000-000039010000}"/>
    <cellStyle name="Accent5 3" xfId="314" xr:uid="{00000000-0005-0000-0000-00003A010000}"/>
    <cellStyle name="Accent5 3 2" xfId="315" xr:uid="{00000000-0005-0000-0000-00003B010000}"/>
    <cellStyle name="Accent5 3 3" xfId="316" xr:uid="{00000000-0005-0000-0000-00003C010000}"/>
    <cellStyle name="Accent5 3 4" xfId="317" xr:uid="{00000000-0005-0000-0000-00003D010000}"/>
    <cellStyle name="Accent5 4" xfId="318" xr:uid="{00000000-0005-0000-0000-00003E010000}"/>
    <cellStyle name="Accent5 4 2" xfId="319" xr:uid="{00000000-0005-0000-0000-00003F010000}"/>
    <cellStyle name="Accent5 4 3" xfId="320" xr:uid="{00000000-0005-0000-0000-000040010000}"/>
    <cellStyle name="Accent5 4 4" xfId="321" xr:uid="{00000000-0005-0000-0000-000041010000}"/>
    <cellStyle name="Accent6" xfId="33" builtinId="49" customBuiltin="1"/>
    <cellStyle name="Accent6 2" xfId="322" xr:uid="{00000000-0005-0000-0000-000043010000}"/>
    <cellStyle name="Accent6 2 2" xfId="323" xr:uid="{00000000-0005-0000-0000-000044010000}"/>
    <cellStyle name="Accent6 2 3" xfId="324" xr:uid="{00000000-0005-0000-0000-000045010000}"/>
    <cellStyle name="Accent6 2 4" xfId="325" xr:uid="{00000000-0005-0000-0000-000046010000}"/>
    <cellStyle name="Accent6 2 5" xfId="561" xr:uid="{00000000-0005-0000-0000-000047010000}"/>
    <cellStyle name="Accent6 3" xfId="326" xr:uid="{00000000-0005-0000-0000-000048010000}"/>
    <cellStyle name="Accent6 3 2" xfId="327" xr:uid="{00000000-0005-0000-0000-000049010000}"/>
    <cellStyle name="Accent6 3 3" xfId="328" xr:uid="{00000000-0005-0000-0000-00004A010000}"/>
    <cellStyle name="Accent6 3 4" xfId="329" xr:uid="{00000000-0005-0000-0000-00004B010000}"/>
    <cellStyle name="Accent6 4" xfId="330" xr:uid="{00000000-0005-0000-0000-00004C010000}"/>
    <cellStyle name="Accent6 4 2" xfId="331" xr:uid="{00000000-0005-0000-0000-00004D010000}"/>
    <cellStyle name="Accent6 4 3" xfId="332" xr:uid="{00000000-0005-0000-0000-00004E010000}"/>
    <cellStyle name="Accent6 4 4" xfId="333" xr:uid="{00000000-0005-0000-0000-00004F010000}"/>
    <cellStyle name="Avertissement 2" xfId="334" xr:uid="{00000000-0005-0000-0000-000050010000}"/>
    <cellStyle name="Avertissement 2 2" xfId="335" xr:uid="{00000000-0005-0000-0000-000051010000}"/>
    <cellStyle name="Avertissement 2 3" xfId="336" xr:uid="{00000000-0005-0000-0000-000052010000}"/>
    <cellStyle name="Avertissement 2 4" xfId="337" xr:uid="{00000000-0005-0000-0000-000053010000}"/>
    <cellStyle name="Avertissement 2 5" xfId="562" xr:uid="{00000000-0005-0000-0000-000054010000}"/>
    <cellStyle name="Avertissement 3" xfId="338" xr:uid="{00000000-0005-0000-0000-000055010000}"/>
    <cellStyle name="Avertissement 3 2" xfId="339" xr:uid="{00000000-0005-0000-0000-000056010000}"/>
    <cellStyle name="Avertissement 3 3" xfId="340" xr:uid="{00000000-0005-0000-0000-000057010000}"/>
    <cellStyle name="Avertissement 3 4" xfId="341" xr:uid="{00000000-0005-0000-0000-000058010000}"/>
    <cellStyle name="Avertissement 4" xfId="342" xr:uid="{00000000-0005-0000-0000-000059010000}"/>
    <cellStyle name="Avertissement 4 2" xfId="343" xr:uid="{00000000-0005-0000-0000-00005A010000}"/>
    <cellStyle name="Avertissement 4 3" xfId="344" xr:uid="{00000000-0005-0000-0000-00005B010000}"/>
    <cellStyle name="Avertissement 4 4" xfId="345" xr:uid="{00000000-0005-0000-0000-00005C010000}"/>
    <cellStyle name="Bad" xfId="8" builtinId="27" customBuiltin="1"/>
    <cellStyle name="Calcul 2" xfId="346" xr:uid="{00000000-0005-0000-0000-00005E010000}"/>
    <cellStyle name="Calcul 2 2" xfId="347" xr:uid="{00000000-0005-0000-0000-00005F010000}"/>
    <cellStyle name="Calcul 2 3" xfId="348" xr:uid="{00000000-0005-0000-0000-000060010000}"/>
    <cellStyle name="Calcul 2 4" xfId="349" xr:uid="{00000000-0005-0000-0000-000061010000}"/>
    <cellStyle name="Calcul 2 5" xfId="563" xr:uid="{00000000-0005-0000-0000-000062010000}"/>
    <cellStyle name="Calcul 3" xfId="350" xr:uid="{00000000-0005-0000-0000-000063010000}"/>
    <cellStyle name="Calcul 3 2" xfId="351" xr:uid="{00000000-0005-0000-0000-000064010000}"/>
    <cellStyle name="Calcul 3 3" xfId="352" xr:uid="{00000000-0005-0000-0000-000065010000}"/>
    <cellStyle name="Calcul 3 4" xfId="353" xr:uid="{00000000-0005-0000-0000-000066010000}"/>
    <cellStyle name="Calcul 4" xfId="354" xr:uid="{00000000-0005-0000-0000-000067010000}"/>
    <cellStyle name="Calcul 4 2" xfId="355" xr:uid="{00000000-0005-0000-0000-000068010000}"/>
    <cellStyle name="Calcul 4 3" xfId="356" xr:uid="{00000000-0005-0000-0000-000069010000}"/>
    <cellStyle name="Calcul 4 4" xfId="357" xr:uid="{00000000-0005-0000-0000-00006A010000}"/>
    <cellStyle name="Calculation" xfId="11" builtinId="22" customBuiltin="1"/>
    <cellStyle name="Cellule liée 2" xfId="358" xr:uid="{00000000-0005-0000-0000-00006C010000}"/>
    <cellStyle name="Cellule liée 2 2" xfId="359" xr:uid="{00000000-0005-0000-0000-00006D010000}"/>
    <cellStyle name="Cellule liée 2 3" xfId="360" xr:uid="{00000000-0005-0000-0000-00006E010000}"/>
    <cellStyle name="Cellule liée 2 4" xfId="361" xr:uid="{00000000-0005-0000-0000-00006F010000}"/>
    <cellStyle name="Cellule liée 2 5" xfId="564" xr:uid="{00000000-0005-0000-0000-000070010000}"/>
    <cellStyle name="Cellule liée 3" xfId="362" xr:uid="{00000000-0005-0000-0000-000071010000}"/>
    <cellStyle name="Cellule liée 3 2" xfId="363" xr:uid="{00000000-0005-0000-0000-000072010000}"/>
    <cellStyle name="Cellule liée 3 3" xfId="364" xr:uid="{00000000-0005-0000-0000-000073010000}"/>
    <cellStyle name="Cellule liée 3 4" xfId="365" xr:uid="{00000000-0005-0000-0000-000074010000}"/>
    <cellStyle name="Cellule liée 4" xfId="366" xr:uid="{00000000-0005-0000-0000-000075010000}"/>
    <cellStyle name="Cellule liée 4 2" xfId="367" xr:uid="{00000000-0005-0000-0000-000076010000}"/>
    <cellStyle name="Cellule liée 4 3" xfId="368" xr:uid="{00000000-0005-0000-0000-000077010000}"/>
    <cellStyle name="Cellule liée 4 4" xfId="369" xr:uid="{00000000-0005-0000-0000-000078010000}"/>
    <cellStyle name="Check Cell" xfId="13" builtinId="23" customBuiltin="1"/>
    <cellStyle name="Comma" xfId="1" builtinId="3"/>
    <cellStyle name="Comma 2" xfId="590" xr:uid="{00000000-0005-0000-0000-000094010000}"/>
    <cellStyle name="Commentaire 2" xfId="370" xr:uid="{00000000-0005-0000-0000-00007B010000}"/>
    <cellStyle name="Commentaire 2 2" xfId="371" xr:uid="{00000000-0005-0000-0000-00007C010000}"/>
    <cellStyle name="Commentaire 2 3" xfId="372" xr:uid="{00000000-0005-0000-0000-00007D010000}"/>
    <cellStyle name="Commentaire 2 4" xfId="373" xr:uid="{00000000-0005-0000-0000-00007E010000}"/>
    <cellStyle name="Commentaire 2 5" xfId="565" xr:uid="{00000000-0005-0000-0000-00007F010000}"/>
    <cellStyle name="Commentaire 3" xfId="374" xr:uid="{00000000-0005-0000-0000-000080010000}"/>
    <cellStyle name="Commentaire 3 2" xfId="375" xr:uid="{00000000-0005-0000-0000-000081010000}"/>
    <cellStyle name="Commentaire 3 3" xfId="376" xr:uid="{00000000-0005-0000-0000-000082010000}"/>
    <cellStyle name="Commentaire 3 4" xfId="377" xr:uid="{00000000-0005-0000-0000-000083010000}"/>
    <cellStyle name="Commentaire 4" xfId="378" xr:uid="{00000000-0005-0000-0000-000084010000}"/>
    <cellStyle name="Commentaire 4 2" xfId="379" xr:uid="{00000000-0005-0000-0000-000085010000}"/>
    <cellStyle name="Commentaire 4 3" xfId="380" xr:uid="{00000000-0005-0000-0000-000086010000}"/>
    <cellStyle name="Commentaire 4 4" xfId="381" xr:uid="{00000000-0005-0000-0000-000087010000}"/>
    <cellStyle name="Entrée 2" xfId="382" xr:uid="{00000000-0005-0000-0000-000088010000}"/>
    <cellStyle name="Entrée 2 2" xfId="383" xr:uid="{00000000-0005-0000-0000-000089010000}"/>
    <cellStyle name="Entrée 2 3" xfId="384" xr:uid="{00000000-0005-0000-0000-00008A010000}"/>
    <cellStyle name="Entrée 2 4" xfId="385" xr:uid="{00000000-0005-0000-0000-00008B010000}"/>
    <cellStyle name="Entrée 2 5" xfId="566" xr:uid="{00000000-0005-0000-0000-00008C010000}"/>
    <cellStyle name="Entrée 3" xfId="386" xr:uid="{00000000-0005-0000-0000-00008D010000}"/>
    <cellStyle name="Entrée 3 2" xfId="387" xr:uid="{00000000-0005-0000-0000-00008E010000}"/>
    <cellStyle name="Entrée 3 3" xfId="388" xr:uid="{00000000-0005-0000-0000-00008F010000}"/>
    <cellStyle name="Entrée 3 4" xfId="389" xr:uid="{00000000-0005-0000-0000-000090010000}"/>
    <cellStyle name="Entrée 4" xfId="390" xr:uid="{00000000-0005-0000-0000-000091010000}"/>
    <cellStyle name="Entrée 4 2" xfId="391" xr:uid="{00000000-0005-0000-0000-000092010000}"/>
    <cellStyle name="Entrée 4 3" xfId="392" xr:uid="{00000000-0005-0000-0000-000093010000}"/>
    <cellStyle name="Entrée 4 4" xfId="393" xr:uid="{00000000-0005-0000-0000-000094010000}"/>
    <cellStyle name="Explanatory Text" xfId="16" builtinId="53" customBuiltin="1"/>
    <cellStyle name="Good" xfId="7" builtinId="26" customBuiltin="1"/>
    <cellStyle name="headerStyle" xfId="581" xr:uid="{00000000-0005-0000-0000-000097010000}"/>
    <cellStyle name="headerStyle 2" xfId="584" xr:uid="{00000000-0005-0000-0000-000098010000}"/>
    <cellStyle name="headerStyle 3" xfId="583" xr:uid="{00000000-0005-0000-0000-000099010000}"/>
    <cellStyle name="headerStyle 4" xfId="588" xr:uid="{00000000-0005-0000-0000-00009A010000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9" builtinId="20" customBuiltin="1"/>
    <cellStyle name="Insatisfaisant 2" xfId="394" xr:uid="{00000000-0005-0000-0000-0000A0010000}"/>
    <cellStyle name="Insatisfaisant 2 2" xfId="395" xr:uid="{00000000-0005-0000-0000-0000A1010000}"/>
    <cellStyle name="Insatisfaisant 2 3" xfId="396" xr:uid="{00000000-0005-0000-0000-0000A2010000}"/>
    <cellStyle name="Insatisfaisant 2 4" xfId="397" xr:uid="{00000000-0005-0000-0000-0000A3010000}"/>
    <cellStyle name="Insatisfaisant 2 5" xfId="567" xr:uid="{00000000-0005-0000-0000-0000A4010000}"/>
    <cellStyle name="Insatisfaisant 3" xfId="398" xr:uid="{00000000-0005-0000-0000-0000A5010000}"/>
    <cellStyle name="Insatisfaisant 3 2" xfId="399" xr:uid="{00000000-0005-0000-0000-0000A6010000}"/>
    <cellStyle name="Insatisfaisant 3 3" xfId="400" xr:uid="{00000000-0005-0000-0000-0000A7010000}"/>
    <cellStyle name="Insatisfaisant 3 4" xfId="401" xr:uid="{00000000-0005-0000-0000-0000A8010000}"/>
    <cellStyle name="Insatisfaisant 4" xfId="402" xr:uid="{00000000-0005-0000-0000-0000A9010000}"/>
    <cellStyle name="Insatisfaisant 4 2" xfId="403" xr:uid="{00000000-0005-0000-0000-0000AA010000}"/>
    <cellStyle name="Insatisfaisant 4 3" xfId="404" xr:uid="{00000000-0005-0000-0000-0000AB010000}"/>
    <cellStyle name="Insatisfaisant 4 4" xfId="405" xr:uid="{00000000-0005-0000-0000-0000AC010000}"/>
    <cellStyle name="Linked Cell" xfId="12" builtinId="24" customBuiltin="1"/>
    <cellStyle name="Milliers 2" xfId="579" xr:uid="{00000000-0005-0000-0000-0000AE010000}"/>
    <cellStyle name="Neutral 2" xfId="37" xr:uid="{00000000-0005-0000-0000-0000C1010000}"/>
    <cellStyle name="Neutre 2" xfId="406" xr:uid="{00000000-0005-0000-0000-0000B0010000}"/>
    <cellStyle name="Neutre 2 2" xfId="407" xr:uid="{00000000-0005-0000-0000-0000B1010000}"/>
    <cellStyle name="Neutre 2 3" xfId="408" xr:uid="{00000000-0005-0000-0000-0000B2010000}"/>
    <cellStyle name="Neutre 2 4" xfId="409" xr:uid="{00000000-0005-0000-0000-0000B3010000}"/>
    <cellStyle name="Neutre 2 5" xfId="568" xr:uid="{00000000-0005-0000-0000-0000B4010000}"/>
    <cellStyle name="Neutre 3" xfId="410" xr:uid="{00000000-0005-0000-0000-0000B5010000}"/>
    <cellStyle name="Neutre 3 2" xfId="411" xr:uid="{00000000-0005-0000-0000-0000B6010000}"/>
    <cellStyle name="Neutre 3 3" xfId="412" xr:uid="{00000000-0005-0000-0000-0000B7010000}"/>
    <cellStyle name="Neutre 3 4" xfId="413" xr:uid="{00000000-0005-0000-0000-0000B8010000}"/>
    <cellStyle name="Neutre 4" xfId="414" xr:uid="{00000000-0005-0000-0000-0000B9010000}"/>
    <cellStyle name="Neutre 4 2" xfId="415" xr:uid="{00000000-0005-0000-0000-0000BA010000}"/>
    <cellStyle name="Neutre 4 3" xfId="416" xr:uid="{00000000-0005-0000-0000-0000BB010000}"/>
    <cellStyle name="Neutre 4 4" xfId="417" xr:uid="{00000000-0005-0000-0000-0000BC010000}"/>
    <cellStyle name="Normal" xfId="0" builtinId="0"/>
    <cellStyle name="Normal 10" xfId="535" xr:uid="{00000000-0005-0000-0000-0000BE010000}"/>
    <cellStyle name="Normal 2" xfId="418" xr:uid="{00000000-0005-0000-0000-0000BF010000}"/>
    <cellStyle name="Normal 2 2" xfId="419" xr:uid="{00000000-0005-0000-0000-0000C0010000}"/>
    <cellStyle name="Normal 2 3" xfId="44" xr:uid="{00000000-0005-0000-0000-0000C1010000}"/>
    <cellStyle name="Normal 2 3 2" xfId="537" xr:uid="{00000000-0005-0000-0000-0000C2010000}"/>
    <cellStyle name="Normal 3" xfId="45" xr:uid="{00000000-0005-0000-0000-0000C3010000}"/>
    <cellStyle name="Normal 3 2" xfId="589" xr:uid="{00000000-0005-0000-0000-0000C4010000}"/>
    <cellStyle name="Normal 4" xfId="533" xr:uid="{00000000-0005-0000-0000-0000C5010000}"/>
    <cellStyle name="Normal 7" xfId="420" xr:uid="{00000000-0005-0000-0000-0000C6010000}"/>
    <cellStyle name="Normal 8" xfId="421" xr:uid="{00000000-0005-0000-0000-0000C7010000}"/>
    <cellStyle name="Normal 9" xfId="422" xr:uid="{00000000-0005-0000-0000-0000C8010000}"/>
    <cellStyle name="Normale 2" xfId="580" xr:uid="{00000000-0005-0000-0000-0000C9010000}"/>
    <cellStyle name="Normale 2 2" xfId="582" xr:uid="{00000000-0005-0000-0000-0000CA010000}"/>
    <cellStyle name="Normale 2 3" xfId="587" xr:uid="{00000000-0005-0000-0000-0000CB010000}"/>
    <cellStyle name="Normale 3" xfId="586" xr:uid="{00000000-0005-0000-0000-0000CC010000}"/>
    <cellStyle name="Note" xfId="15" builtinId="10" customBuiltin="1"/>
    <cellStyle name="Output" xfId="10" builtinId="21" customBuiltin="1"/>
    <cellStyle name="Percent" xfId="2" builtinId="5"/>
    <cellStyle name="Pourcentage 2" xfId="424" xr:uid="{00000000-0005-0000-0000-0000D0010000}"/>
    <cellStyle name="Pourcentage 3" xfId="423" xr:uid="{00000000-0005-0000-0000-0000D1010000}"/>
    <cellStyle name="Pourcentage 3 2" xfId="536" xr:uid="{00000000-0005-0000-0000-0000D2010000}"/>
    <cellStyle name="Pourcentage 4" xfId="534" xr:uid="{00000000-0005-0000-0000-0000D3010000}"/>
    <cellStyle name="Satisfaisant 2" xfId="425" xr:uid="{00000000-0005-0000-0000-0000D4010000}"/>
    <cellStyle name="Satisfaisant 2 2" xfId="426" xr:uid="{00000000-0005-0000-0000-0000D5010000}"/>
    <cellStyle name="Satisfaisant 2 3" xfId="427" xr:uid="{00000000-0005-0000-0000-0000D6010000}"/>
    <cellStyle name="Satisfaisant 2 4" xfId="428" xr:uid="{00000000-0005-0000-0000-0000D7010000}"/>
    <cellStyle name="Satisfaisant 2 5" xfId="569" xr:uid="{00000000-0005-0000-0000-0000D8010000}"/>
    <cellStyle name="Satisfaisant 3" xfId="429" xr:uid="{00000000-0005-0000-0000-0000D9010000}"/>
    <cellStyle name="Satisfaisant 3 2" xfId="430" xr:uid="{00000000-0005-0000-0000-0000DA010000}"/>
    <cellStyle name="Satisfaisant 3 3" xfId="431" xr:uid="{00000000-0005-0000-0000-0000DB010000}"/>
    <cellStyle name="Satisfaisant 3 4" xfId="432" xr:uid="{00000000-0005-0000-0000-0000DC010000}"/>
    <cellStyle name="Satisfaisant 4" xfId="433" xr:uid="{00000000-0005-0000-0000-0000DD010000}"/>
    <cellStyle name="Satisfaisant 4 2" xfId="434" xr:uid="{00000000-0005-0000-0000-0000DE010000}"/>
    <cellStyle name="Satisfaisant 4 3" xfId="435" xr:uid="{00000000-0005-0000-0000-0000DF010000}"/>
    <cellStyle name="Satisfaisant 4 4" xfId="436" xr:uid="{00000000-0005-0000-0000-0000E0010000}"/>
    <cellStyle name="Sortie 2" xfId="437" xr:uid="{00000000-0005-0000-0000-0000E1010000}"/>
    <cellStyle name="Sortie 2 2" xfId="438" xr:uid="{00000000-0005-0000-0000-0000E2010000}"/>
    <cellStyle name="Sortie 2 3" xfId="439" xr:uid="{00000000-0005-0000-0000-0000E3010000}"/>
    <cellStyle name="Sortie 2 4" xfId="440" xr:uid="{00000000-0005-0000-0000-0000E4010000}"/>
    <cellStyle name="Sortie 2 5" xfId="570" xr:uid="{00000000-0005-0000-0000-0000E5010000}"/>
    <cellStyle name="Sortie 3" xfId="441" xr:uid="{00000000-0005-0000-0000-0000E6010000}"/>
    <cellStyle name="Sortie 3 2" xfId="442" xr:uid="{00000000-0005-0000-0000-0000E7010000}"/>
    <cellStyle name="Sortie 3 3" xfId="443" xr:uid="{00000000-0005-0000-0000-0000E8010000}"/>
    <cellStyle name="Sortie 3 4" xfId="444" xr:uid="{00000000-0005-0000-0000-0000E9010000}"/>
    <cellStyle name="Sortie 4" xfId="445" xr:uid="{00000000-0005-0000-0000-0000EA010000}"/>
    <cellStyle name="Sortie 4 2" xfId="446" xr:uid="{00000000-0005-0000-0000-0000EB010000}"/>
    <cellStyle name="Sortie 4 3" xfId="447" xr:uid="{00000000-0005-0000-0000-0000EC010000}"/>
    <cellStyle name="Sortie 4 4" xfId="448" xr:uid="{00000000-0005-0000-0000-0000ED010000}"/>
    <cellStyle name="Texte explicatif 2" xfId="449" xr:uid="{00000000-0005-0000-0000-0000EE010000}"/>
    <cellStyle name="Texte explicatif 2 2" xfId="450" xr:uid="{00000000-0005-0000-0000-0000EF010000}"/>
    <cellStyle name="Texte explicatif 2 3" xfId="451" xr:uid="{00000000-0005-0000-0000-0000F0010000}"/>
    <cellStyle name="Texte explicatif 2 4" xfId="452" xr:uid="{00000000-0005-0000-0000-0000F1010000}"/>
    <cellStyle name="Texte explicatif 2 5" xfId="571" xr:uid="{00000000-0005-0000-0000-0000F2010000}"/>
    <cellStyle name="Texte explicatif 3" xfId="453" xr:uid="{00000000-0005-0000-0000-0000F3010000}"/>
    <cellStyle name="Texte explicatif 3 2" xfId="454" xr:uid="{00000000-0005-0000-0000-0000F4010000}"/>
    <cellStyle name="Texte explicatif 3 3" xfId="455" xr:uid="{00000000-0005-0000-0000-0000F5010000}"/>
    <cellStyle name="Texte explicatif 3 4" xfId="456" xr:uid="{00000000-0005-0000-0000-0000F6010000}"/>
    <cellStyle name="Texte explicatif 4" xfId="457" xr:uid="{00000000-0005-0000-0000-0000F7010000}"/>
    <cellStyle name="Texte explicatif 4 2" xfId="458" xr:uid="{00000000-0005-0000-0000-0000F8010000}"/>
    <cellStyle name="Texte explicatif 4 3" xfId="459" xr:uid="{00000000-0005-0000-0000-0000F9010000}"/>
    <cellStyle name="Texte explicatif 4 4" xfId="460" xr:uid="{00000000-0005-0000-0000-0000FA010000}"/>
    <cellStyle name="Title 2" xfId="36" xr:uid="{00000000-0005-0000-0000-000009020000}"/>
    <cellStyle name="Titolo 5" xfId="585" xr:uid="{00000000-0005-0000-0000-0000FC010000}"/>
    <cellStyle name="Titre 2" xfId="572" xr:uid="{00000000-0005-0000-0000-0000FD010000}"/>
    <cellStyle name="Titre 1 2" xfId="461" xr:uid="{00000000-0005-0000-0000-0000FE010000}"/>
    <cellStyle name="Titre 1 2 2" xfId="462" xr:uid="{00000000-0005-0000-0000-0000FF010000}"/>
    <cellStyle name="Titre 1 2 3" xfId="463" xr:uid="{00000000-0005-0000-0000-000000020000}"/>
    <cellStyle name="Titre 1 2 4" xfId="464" xr:uid="{00000000-0005-0000-0000-000001020000}"/>
    <cellStyle name="Titre 1 2 5" xfId="573" xr:uid="{00000000-0005-0000-0000-000002020000}"/>
    <cellStyle name="Titre 1 3" xfId="465" xr:uid="{00000000-0005-0000-0000-000003020000}"/>
    <cellStyle name="Titre 1 3 2" xfId="466" xr:uid="{00000000-0005-0000-0000-000004020000}"/>
    <cellStyle name="Titre 1 3 3" xfId="467" xr:uid="{00000000-0005-0000-0000-000005020000}"/>
    <cellStyle name="Titre 1 3 4" xfId="468" xr:uid="{00000000-0005-0000-0000-000006020000}"/>
    <cellStyle name="Titre 1 4" xfId="469" xr:uid="{00000000-0005-0000-0000-000007020000}"/>
    <cellStyle name="Titre 1 4 2" xfId="470" xr:uid="{00000000-0005-0000-0000-000008020000}"/>
    <cellStyle name="Titre 1 4 3" xfId="471" xr:uid="{00000000-0005-0000-0000-000009020000}"/>
    <cellStyle name="Titre 1 4 4" xfId="472" xr:uid="{00000000-0005-0000-0000-00000A020000}"/>
    <cellStyle name="Titre 2 2" xfId="473" xr:uid="{00000000-0005-0000-0000-00000B020000}"/>
    <cellStyle name="Titre 2 2 2" xfId="474" xr:uid="{00000000-0005-0000-0000-00000C020000}"/>
    <cellStyle name="Titre 2 2 3" xfId="475" xr:uid="{00000000-0005-0000-0000-00000D020000}"/>
    <cellStyle name="Titre 2 2 4" xfId="476" xr:uid="{00000000-0005-0000-0000-00000E020000}"/>
    <cellStyle name="Titre 2 2 5" xfId="574" xr:uid="{00000000-0005-0000-0000-00000F020000}"/>
    <cellStyle name="Titre 2 3" xfId="477" xr:uid="{00000000-0005-0000-0000-000010020000}"/>
    <cellStyle name="Titre 2 3 2" xfId="478" xr:uid="{00000000-0005-0000-0000-000011020000}"/>
    <cellStyle name="Titre 2 3 3" xfId="479" xr:uid="{00000000-0005-0000-0000-000012020000}"/>
    <cellStyle name="Titre 2 3 4" xfId="480" xr:uid="{00000000-0005-0000-0000-000013020000}"/>
    <cellStyle name="Titre 2 4" xfId="481" xr:uid="{00000000-0005-0000-0000-000014020000}"/>
    <cellStyle name="Titre 2 4 2" xfId="482" xr:uid="{00000000-0005-0000-0000-000015020000}"/>
    <cellStyle name="Titre 2 4 3" xfId="483" xr:uid="{00000000-0005-0000-0000-000016020000}"/>
    <cellStyle name="Titre 2 4 4" xfId="484" xr:uid="{00000000-0005-0000-0000-000017020000}"/>
    <cellStyle name="Titre 3 2" xfId="485" xr:uid="{00000000-0005-0000-0000-000018020000}"/>
    <cellStyle name="Titre 3 2 2" xfId="486" xr:uid="{00000000-0005-0000-0000-000019020000}"/>
    <cellStyle name="Titre 3 2 3" xfId="487" xr:uid="{00000000-0005-0000-0000-00001A020000}"/>
    <cellStyle name="Titre 3 2 4" xfId="488" xr:uid="{00000000-0005-0000-0000-00001B020000}"/>
    <cellStyle name="Titre 3 2 5" xfId="575" xr:uid="{00000000-0005-0000-0000-00001C020000}"/>
    <cellStyle name="Titre 3 3" xfId="489" xr:uid="{00000000-0005-0000-0000-00001D020000}"/>
    <cellStyle name="Titre 3 3 2" xfId="490" xr:uid="{00000000-0005-0000-0000-00001E020000}"/>
    <cellStyle name="Titre 3 3 3" xfId="491" xr:uid="{00000000-0005-0000-0000-00001F020000}"/>
    <cellStyle name="Titre 3 3 4" xfId="492" xr:uid="{00000000-0005-0000-0000-000020020000}"/>
    <cellStyle name="Titre 3 4" xfId="493" xr:uid="{00000000-0005-0000-0000-000021020000}"/>
    <cellStyle name="Titre 3 4 2" xfId="494" xr:uid="{00000000-0005-0000-0000-000022020000}"/>
    <cellStyle name="Titre 3 4 3" xfId="495" xr:uid="{00000000-0005-0000-0000-000023020000}"/>
    <cellStyle name="Titre 3 4 4" xfId="496" xr:uid="{00000000-0005-0000-0000-000024020000}"/>
    <cellStyle name="Titre 4 2" xfId="497" xr:uid="{00000000-0005-0000-0000-000025020000}"/>
    <cellStyle name="Titre 4 2 2" xfId="498" xr:uid="{00000000-0005-0000-0000-000026020000}"/>
    <cellStyle name="Titre 4 2 3" xfId="499" xr:uid="{00000000-0005-0000-0000-000027020000}"/>
    <cellStyle name="Titre 4 2 4" xfId="500" xr:uid="{00000000-0005-0000-0000-000028020000}"/>
    <cellStyle name="Titre 4 2 5" xfId="576" xr:uid="{00000000-0005-0000-0000-000029020000}"/>
    <cellStyle name="Titre 4 3" xfId="501" xr:uid="{00000000-0005-0000-0000-00002A020000}"/>
    <cellStyle name="Titre 4 3 2" xfId="502" xr:uid="{00000000-0005-0000-0000-00002B020000}"/>
    <cellStyle name="Titre 4 3 3" xfId="503" xr:uid="{00000000-0005-0000-0000-00002C020000}"/>
    <cellStyle name="Titre 4 3 4" xfId="504" xr:uid="{00000000-0005-0000-0000-00002D020000}"/>
    <cellStyle name="Titre 4 4" xfId="505" xr:uid="{00000000-0005-0000-0000-00002E020000}"/>
    <cellStyle name="Titre 4 4 2" xfId="506" xr:uid="{00000000-0005-0000-0000-00002F020000}"/>
    <cellStyle name="Titre 4 4 3" xfId="507" xr:uid="{00000000-0005-0000-0000-000030020000}"/>
    <cellStyle name="Titre 4 4 4" xfId="508" xr:uid="{00000000-0005-0000-0000-000031020000}"/>
    <cellStyle name="Total" xfId="17" builtinId="25" customBuiltin="1"/>
    <cellStyle name="Total 2" xfId="509" xr:uid="{00000000-0005-0000-0000-000033020000}"/>
    <cellStyle name="Total 2 2" xfId="510" xr:uid="{00000000-0005-0000-0000-000034020000}"/>
    <cellStyle name="Total 2 3" xfId="511" xr:uid="{00000000-0005-0000-0000-000035020000}"/>
    <cellStyle name="Total 2 4" xfId="512" xr:uid="{00000000-0005-0000-0000-000036020000}"/>
    <cellStyle name="Total 2 5" xfId="577" xr:uid="{00000000-0005-0000-0000-000037020000}"/>
    <cellStyle name="Total 3" xfId="513" xr:uid="{00000000-0005-0000-0000-000038020000}"/>
    <cellStyle name="Total 3 2" xfId="514" xr:uid="{00000000-0005-0000-0000-000039020000}"/>
    <cellStyle name="Total 3 3" xfId="515" xr:uid="{00000000-0005-0000-0000-00003A020000}"/>
    <cellStyle name="Total 3 4" xfId="516" xr:uid="{00000000-0005-0000-0000-00003B020000}"/>
    <cellStyle name="Total 4" xfId="517" xr:uid="{00000000-0005-0000-0000-00003C020000}"/>
    <cellStyle name="Total 4 2" xfId="518" xr:uid="{00000000-0005-0000-0000-00003D020000}"/>
    <cellStyle name="Total 4 3" xfId="519" xr:uid="{00000000-0005-0000-0000-00003E020000}"/>
    <cellStyle name="Total 4 4" xfId="520" xr:uid="{00000000-0005-0000-0000-00003F020000}"/>
    <cellStyle name="Vérification 2" xfId="521" xr:uid="{00000000-0005-0000-0000-000040020000}"/>
    <cellStyle name="Vérification 2 2" xfId="522" xr:uid="{00000000-0005-0000-0000-000041020000}"/>
    <cellStyle name="Vérification 2 3" xfId="523" xr:uid="{00000000-0005-0000-0000-000042020000}"/>
    <cellStyle name="Vérification 2 4" xfId="524" xr:uid="{00000000-0005-0000-0000-000043020000}"/>
    <cellStyle name="Vérification 2 5" xfId="578" xr:uid="{00000000-0005-0000-0000-000044020000}"/>
    <cellStyle name="Vérification 3" xfId="525" xr:uid="{00000000-0005-0000-0000-000045020000}"/>
    <cellStyle name="Vérification 3 2" xfId="526" xr:uid="{00000000-0005-0000-0000-000046020000}"/>
    <cellStyle name="Vérification 3 3" xfId="527" xr:uid="{00000000-0005-0000-0000-000047020000}"/>
    <cellStyle name="Vérification 3 4" xfId="528" xr:uid="{00000000-0005-0000-0000-000048020000}"/>
    <cellStyle name="Vérification 4" xfId="529" xr:uid="{00000000-0005-0000-0000-000049020000}"/>
    <cellStyle name="Vérification 4 2" xfId="530" xr:uid="{00000000-0005-0000-0000-00004A020000}"/>
    <cellStyle name="Vérification 4 3" xfId="531" xr:uid="{00000000-0005-0000-0000-00004B020000}"/>
    <cellStyle name="Vérification 4 4" xfId="532" xr:uid="{00000000-0005-0000-0000-00004C020000}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awal%20sir%20data\D%20Drive\Main%20Data\All%20Data\Semli%2012MW\Monthly%20Data\CEO%20Files\2023\CEO's\CY-CEO%20File-SEMLI%20plant%20performance%20till%20June-2023.xlsx" TargetMode="External"/><Relationship Id="rId1" Type="http://schemas.openxmlformats.org/officeDocument/2006/relationships/externalLinkPath" Target="CY-CEO%20File-SEMLI%20plant%20performance%20till%20June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MLI"/>
      <sheetName val="Data"/>
      <sheetName val="GTI Error Rectification"/>
    </sheetNames>
    <sheetDataSet>
      <sheetData sheetId="0">
        <row r="72">
          <cell r="B72">
            <v>2017.5829554630786</v>
          </cell>
          <cell r="C72">
            <v>1811.6992600000001</v>
          </cell>
          <cell r="F72">
            <v>5.42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52"/>
  <sheetViews>
    <sheetView tabSelected="1" zoomScale="80" zoomScaleNormal="80" workbookViewId="0">
      <pane xSplit="1" ySplit="2" topLeftCell="B105" activePane="bottomRight" state="frozen"/>
      <selection pane="topRight" activeCell="B1" sqref="B1"/>
      <selection pane="bottomLeft" activeCell="A3" sqref="A3"/>
      <selection pane="bottomRight" activeCell="A119" sqref="A119:XFD119"/>
    </sheetView>
  </sheetViews>
  <sheetFormatPr defaultRowHeight="14.5" x14ac:dyDescent="0.35"/>
  <cols>
    <col min="1" max="1" width="18.81640625" bestFit="1" customWidth="1"/>
    <col min="2" max="2" width="10.54296875" style="57" customWidth="1"/>
    <col min="3" max="3" width="10.54296875" style="43" customWidth="1"/>
    <col min="4" max="6" width="10.54296875" customWidth="1"/>
    <col min="7" max="7" width="11" customWidth="1"/>
    <col min="8" max="15" width="10.54296875" customWidth="1"/>
    <col min="16" max="16" width="7.81640625" bestFit="1" customWidth="1"/>
    <col min="17" max="17" width="9.81640625" style="43" customWidth="1"/>
    <col min="18" max="20" width="8.81640625" style="43" customWidth="1"/>
    <col min="21" max="21" width="8.81640625" style="57" customWidth="1"/>
    <col min="22" max="22" width="8.81640625" style="43" customWidth="1"/>
    <col min="24" max="24" width="12.1796875" hidden="1" customWidth="1"/>
    <col min="25" max="25" width="11.54296875" hidden="1" customWidth="1"/>
    <col min="26" max="26" width="8.81640625" hidden="1" customWidth="1"/>
    <col min="27" max="28" width="10.81640625" hidden="1" customWidth="1"/>
    <col min="29" max="29" width="8.81640625" hidden="1" customWidth="1"/>
    <col min="30" max="30" width="4.1796875" hidden="1" customWidth="1"/>
    <col min="31" max="39" width="0" hidden="1" customWidth="1"/>
    <col min="40" max="40" width="9.453125" hidden="1" customWidth="1"/>
    <col min="41" max="42" width="0" hidden="1" customWidth="1"/>
    <col min="43" max="43" width="9.1796875" hidden="1" customWidth="1"/>
  </cols>
  <sheetData>
    <row r="1" spans="1:40" ht="25.5" customHeight="1" x14ac:dyDescent="0.35">
      <c r="A1" s="118" t="s">
        <v>10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20"/>
      <c r="Q1" s="124" t="s">
        <v>15</v>
      </c>
      <c r="R1" s="125"/>
      <c r="S1" s="125"/>
      <c r="T1" s="125"/>
      <c r="U1" s="126"/>
      <c r="V1" s="127"/>
      <c r="X1" s="121" t="s">
        <v>16</v>
      </c>
      <c r="Y1" s="122"/>
      <c r="Z1" s="123"/>
    </row>
    <row r="2" spans="1:40" ht="43.5" x14ac:dyDescent="0.35">
      <c r="A2" s="16" t="s">
        <v>1</v>
      </c>
      <c r="B2" s="2" t="s">
        <v>19</v>
      </c>
      <c r="C2" s="2" t="s">
        <v>20</v>
      </c>
      <c r="D2" s="2" t="s">
        <v>38</v>
      </c>
      <c r="E2" s="2" t="s">
        <v>18</v>
      </c>
      <c r="F2" s="2" t="s">
        <v>17</v>
      </c>
      <c r="G2" s="2" t="s">
        <v>39</v>
      </c>
      <c r="H2" s="2" t="s">
        <v>9</v>
      </c>
      <c r="I2" s="2" t="s">
        <v>7</v>
      </c>
      <c r="J2" s="2" t="s">
        <v>8</v>
      </c>
      <c r="K2" s="2" t="s">
        <v>6</v>
      </c>
      <c r="L2" s="2" t="s">
        <v>4</v>
      </c>
      <c r="M2" s="2" t="s">
        <v>2</v>
      </c>
      <c r="N2" s="2" t="s">
        <v>5</v>
      </c>
      <c r="O2" s="19" t="s">
        <v>3</v>
      </c>
      <c r="Q2" s="13" t="s">
        <v>11</v>
      </c>
      <c r="R2" s="2" t="s">
        <v>12</v>
      </c>
      <c r="S2" s="2" t="s">
        <v>13</v>
      </c>
      <c r="T2" s="2" t="s">
        <v>14</v>
      </c>
      <c r="U2" s="80" t="s">
        <v>53</v>
      </c>
      <c r="V2" s="19" t="s">
        <v>23</v>
      </c>
      <c r="X2" s="13" t="s">
        <v>21</v>
      </c>
      <c r="Y2" s="2" t="s">
        <v>22</v>
      </c>
      <c r="Z2" s="26" t="s">
        <v>11</v>
      </c>
    </row>
    <row r="3" spans="1:40" hidden="1" x14ac:dyDescent="0.35">
      <c r="A3" s="11">
        <v>43008</v>
      </c>
      <c r="B3" s="4">
        <v>1096.1171092805739</v>
      </c>
      <c r="C3" s="4">
        <v>19.100000000000001</v>
      </c>
      <c r="D3" s="4">
        <v>5</v>
      </c>
      <c r="E3" s="3" t="s">
        <v>0</v>
      </c>
      <c r="F3" s="4">
        <v>5.2366666666666664</v>
      </c>
      <c r="G3" s="3" t="s">
        <v>0</v>
      </c>
      <c r="H3" s="5"/>
      <c r="I3" s="23"/>
      <c r="J3" s="5">
        <f>B3/24/12/15</f>
        <v>0.25373081233346617</v>
      </c>
      <c r="K3" s="5">
        <f>C3/24/12/15</f>
        <v>4.4212962962962964E-3</v>
      </c>
      <c r="L3" s="5">
        <v>0.99</v>
      </c>
      <c r="M3" s="23"/>
      <c r="N3" s="6">
        <v>0.99</v>
      </c>
      <c r="O3" s="9"/>
      <c r="Q3" s="45">
        <f t="shared" ref="Q3:Q34" si="0">C3/B3-1</f>
        <v>-0.98257485460423466</v>
      </c>
      <c r="R3" s="23"/>
      <c r="S3" s="23"/>
      <c r="T3" s="23"/>
      <c r="U3" s="84">
        <v>-5.232862375718478E-4</v>
      </c>
      <c r="V3" s="46"/>
      <c r="X3" s="18"/>
      <c r="Y3" s="1"/>
      <c r="Z3" s="8"/>
      <c r="AA3" s="20">
        <v>1096.1171092805739</v>
      </c>
      <c r="AB3" s="20">
        <v>19.100000000000001</v>
      </c>
    </row>
    <row r="4" spans="1:40" hidden="1" x14ac:dyDescent="0.35">
      <c r="A4" s="11">
        <v>43039</v>
      </c>
      <c r="B4" s="4">
        <v>2235.7062852181666</v>
      </c>
      <c r="C4" s="4">
        <f>40000/1000</f>
        <v>40</v>
      </c>
      <c r="D4" s="4">
        <f>5.19</f>
        <v>5.19</v>
      </c>
      <c r="E4" s="3" t="s">
        <v>0</v>
      </c>
      <c r="F4" s="4">
        <v>5.7806451612903222</v>
      </c>
      <c r="G4" s="3" t="s">
        <v>0</v>
      </c>
      <c r="H4" s="5"/>
      <c r="I4" s="24"/>
      <c r="J4" s="5">
        <f>B4/24/12/31</f>
        <v>0.25041513051278746</v>
      </c>
      <c r="K4" s="5">
        <f>C4/24/12/30</f>
        <v>4.6296296296296302E-3</v>
      </c>
      <c r="L4" s="5">
        <v>0.99</v>
      </c>
      <c r="M4" s="24"/>
      <c r="N4" s="6">
        <v>0.99</v>
      </c>
      <c r="O4" s="9"/>
      <c r="Q4" s="45">
        <f t="shared" si="0"/>
        <v>-0.9821085621736324</v>
      </c>
      <c r="R4" s="23"/>
      <c r="S4" s="23"/>
      <c r="T4" s="23"/>
      <c r="U4" s="84">
        <v>-2.2449488650537141E-3</v>
      </c>
      <c r="V4" s="46"/>
      <c r="X4" s="18"/>
      <c r="Y4" s="1"/>
      <c r="Z4" s="8"/>
      <c r="AA4" s="20">
        <v>2235.7062852181666</v>
      </c>
      <c r="AB4" s="20">
        <v>95.8</v>
      </c>
    </row>
    <row r="5" spans="1:40" hidden="1" x14ac:dyDescent="0.35">
      <c r="A5" s="11">
        <v>43069</v>
      </c>
      <c r="B5" s="4">
        <v>2042.1197383861258</v>
      </c>
      <c r="C5" s="4">
        <f>504150/1000</f>
        <v>504.15</v>
      </c>
      <c r="D5" s="4">
        <v>4.3033333333333328</v>
      </c>
      <c r="E5" s="3" t="s">
        <v>0</v>
      </c>
      <c r="F5" s="4">
        <v>5.3233333333333333</v>
      </c>
      <c r="G5" s="3" t="s">
        <v>0</v>
      </c>
      <c r="H5" s="5"/>
      <c r="I5" s="24"/>
      <c r="J5" s="5">
        <f>B5/24/12/30</f>
        <v>0.23635645120209789</v>
      </c>
      <c r="K5" s="5">
        <f>C5/24/12/30</f>
        <v>5.8350694444444434E-2</v>
      </c>
      <c r="L5" s="5">
        <v>0.99</v>
      </c>
      <c r="M5" s="24"/>
      <c r="N5" s="6">
        <v>0.99</v>
      </c>
      <c r="O5" s="9"/>
      <c r="Q5" s="45">
        <f t="shared" si="0"/>
        <v>-0.7531241726313137</v>
      </c>
      <c r="R5" s="23"/>
      <c r="S5" s="23"/>
      <c r="T5" s="23"/>
      <c r="U5" s="84">
        <v>-3.2621589561092016E-3</v>
      </c>
      <c r="V5" s="46"/>
      <c r="X5" s="18"/>
      <c r="Y5" s="1"/>
      <c r="Z5" s="8"/>
      <c r="AA5" s="20">
        <v>2042.1197383861258</v>
      </c>
      <c r="AB5" s="20">
        <v>599</v>
      </c>
      <c r="AE5" s="42">
        <v>2017</v>
      </c>
    </row>
    <row r="6" spans="1:40" hidden="1" x14ac:dyDescent="0.35">
      <c r="A6" s="11">
        <v>43100</v>
      </c>
      <c r="B6" s="4">
        <v>1833.977812093028</v>
      </c>
      <c r="C6" s="4">
        <f>812350/1000</f>
        <v>812.35</v>
      </c>
      <c r="D6" s="4">
        <v>3.7433333333333332</v>
      </c>
      <c r="E6" s="3" t="s">
        <v>0</v>
      </c>
      <c r="F6" s="4">
        <v>4.5870967741935482</v>
      </c>
      <c r="G6" s="3" t="s">
        <v>0</v>
      </c>
      <c r="H6" s="5"/>
      <c r="I6" s="24"/>
      <c r="J6" s="5">
        <f>B6/24/12/31</f>
        <v>0.20541866174877105</v>
      </c>
      <c r="K6" s="5">
        <f>C6/24/12/30</f>
        <v>9.4021990740740746E-2</v>
      </c>
      <c r="L6" s="5">
        <v>0.99</v>
      </c>
      <c r="M6" s="24"/>
      <c r="N6" s="6">
        <v>0.99</v>
      </c>
      <c r="O6" s="9"/>
      <c r="Q6" s="45">
        <f t="shared" si="0"/>
        <v>-0.55705570992000975</v>
      </c>
      <c r="R6" s="23"/>
      <c r="S6" s="23"/>
      <c r="T6" s="23"/>
      <c r="U6" s="84">
        <v>-5.5698371893744087E-3</v>
      </c>
      <c r="V6" s="46"/>
      <c r="X6" s="18"/>
      <c r="Y6" s="1"/>
      <c r="Z6" s="8"/>
      <c r="AA6" s="20">
        <v>1833.977812093028</v>
      </c>
      <c r="AB6" s="20">
        <v>1022.2</v>
      </c>
      <c r="AE6" s="42" t="s">
        <v>24</v>
      </c>
      <c r="AF6" s="42" t="s">
        <v>25</v>
      </c>
      <c r="AG6" s="42" t="s">
        <v>26</v>
      </c>
      <c r="AH6" s="42" t="s">
        <v>27</v>
      </c>
      <c r="AI6" s="42" t="s">
        <v>28</v>
      </c>
      <c r="AJ6" s="42" t="s">
        <v>29</v>
      </c>
    </row>
    <row r="7" spans="1:40" hidden="1" x14ac:dyDescent="0.35">
      <c r="A7" s="11">
        <v>43131</v>
      </c>
      <c r="B7" s="4">
        <v>2005.7312897334857</v>
      </c>
      <c r="C7" s="4">
        <f>1669450/1000</f>
        <v>1669.45</v>
      </c>
      <c r="D7" s="4">
        <v>4.0129032258064514</v>
      </c>
      <c r="E7" s="4">
        <v>4.3</v>
      </c>
      <c r="F7" s="4">
        <v>5.0451612903225804</v>
      </c>
      <c r="G7" s="4">
        <v>5.08</v>
      </c>
      <c r="H7" s="12">
        <v>0.85499999999999998</v>
      </c>
      <c r="I7" s="12">
        <v>0.85</v>
      </c>
      <c r="J7" s="5">
        <f>B7/24/12/31</f>
        <v>0.22465628245222735</v>
      </c>
      <c r="K7" s="5">
        <f>C7/24/12/31</f>
        <v>0.18699036738351255</v>
      </c>
      <c r="L7" s="5">
        <v>0.99</v>
      </c>
      <c r="M7" s="5">
        <v>0.99919999999999998</v>
      </c>
      <c r="N7" s="6">
        <v>0.99</v>
      </c>
      <c r="O7" s="9">
        <v>0.99870000000000003</v>
      </c>
      <c r="Q7" s="45">
        <f t="shared" si="0"/>
        <v>-0.1676601903030438</v>
      </c>
      <c r="R7" s="47">
        <f t="shared" ref="R7:R38" si="1">G7/F7-1</f>
        <v>6.9053708439898998E-3</v>
      </c>
      <c r="S7" s="48">
        <f>M7-L7</f>
        <v>9.199999999999986E-3</v>
      </c>
      <c r="T7" s="48">
        <f>O7-N7</f>
        <v>8.700000000000041E-3</v>
      </c>
      <c r="U7" s="84">
        <v>-1.0461739078892694E-2</v>
      </c>
      <c r="V7" s="49"/>
      <c r="X7" s="14"/>
      <c r="Y7" s="7"/>
      <c r="Z7" s="8"/>
      <c r="AA7" s="20">
        <v>2005.7312897334857</v>
      </c>
      <c r="AB7" s="20">
        <v>1858.1</v>
      </c>
      <c r="AD7" s="42" t="s">
        <v>30</v>
      </c>
      <c r="AE7" s="28"/>
      <c r="AF7" s="28"/>
      <c r="AG7" s="28"/>
      <c r="AH7" s="28"/>
      <c r="AI7" s="29"/>
      <c r="AJ7" s="29"/>
      <c r="AM7" s="29">
        <f>B7/F7/31/15/L7</f>
        <v>0.8635938626389581</v>
      </c>
      <c r="AN7" s="29">
        <f>C7/G7/31/15/M7</f>
        <v>0.70730108767396627</v>
      </c>
    </row>
    <row r="8" spans="1:40" hidden="1" x14ac:dyDescent="0.35">
      <c r="A8" s="11">
        <v>43159</v>
      </c>
      <c r="B8" s="4">
        <v>1911.1213232366235</v>
      </c>
      <c r="C8" s="4">
        <f>1967550/1000</f>
        <v>1967.55</v>
      </c>
      <c r="D8" s="4">
        <v>4.6571428571428575</v>
      </c>
      <c r="E8" s="3">
        <v>4.9800000000000004</v>
      </c>
      <c r="F8" s="4">
        <v>5.4535714285714283</v>
      </c>
      <c r="G8" s="4">
        <v>5.68</v>
      </c>
      <c r="H8" s="12">
        <v>0.83399999999999996</v>
      </c>
      <c r="I8" s="12">
        <v>0.85</v>
      </c>
      <c r="J8" s="5">
        <f>B8/24/12/28</f>
        <v>0.23699421171089083</v>
      </c>
      <c r="K8" s="5">
        <f>C8/24/12/28</f>
        <v>0.24399181547619048</v>
      </c>
      <c r="L8" s="5">
        <v>0.99</v>
      </c>
      <c r="M8" s="5">
        <v>0.97550000000000003</v>
      </c>
      <c r="N8" s="6">
        <v>0.99</v>
      </c>
      <c r="O8" s="9">
        <v>1</v>
      </c>
      <c r="Q8" s="45">
        <f t="shared" si="0"/>
        <v>2.9526475413821585E-2</v>
      </c>
      <c r="R8" s="47">
        <f t="shared" si="1"/>
        <v>4.1519318925998583E-2</v>
      </c>
      <c r="S8" s="48">
        <f t="shared" ref="S8:S13" si="2">M8-L8</f>
        <v>-1.4499999999999957E-2</v>
      </c>
      <c r="T8" s="48">
        <f t="shared" ref="T8:T13" si="3">O8-N8</f>
        <v>1.0000000000000009E-2</v>
      </c>
      <c r="U8" s="84">
        <v>-1.242282788736636E-2</v>
      </c>
      <c r="V8" s="49"/>
      <c r="X8" s="14"/>
      <c r="Y8" s="7"/>
      <c r="Z8" s="8"/>
      <c r="AA8" s="20">
        <v>1911.1213232366235</v>
      </c>
      <c r="AB8" s="20">
        <v>1833.4</v>
      </c>
      <c r="AD8" s="42" t="s">
        <v>31</v>
      </c>
      <c r="AE8" s="28">
        <f>B3</f>
        <v>1096.1171092805739</v>
      </c>
      <c r="AF8" s="28">
        <f>C3</f>
        <v>19.100000000000001</v>
      </c>
      <c r="AG8" s="28">
        <f>D3</f>
        <v>5</v>
      </c>
      <c r="AH8" s="28" t="str">
        <f>E3</f>
        <v>NA</v>
      </c>
      <c r="AI8" s="29">
        <f>L3</f>
        <v>0.99</v>
      </c>
      <c r="AJ8" s="29" t="s">
        <v>0</v>
      </c>
      <c r="AM8" s="29">
        <f>B8/F8/28/15/L8</f>
        <v>0.84279658547343039</v>
      </c>
      <c r="AN8" s="29">
        <f>C8/G8/28/15/M8</f>
        <v>0.84547520901936468</v>
      </c>
    </row>
    <row r="9" spans="1:40" hidden="1" x14ac:dyDescent="0.35">
      <c r="A9" s="11">
        <v>43190</v>
      </c>
      <c r="B9" s="4">
        <v>2669.4565931576294</v>
      </c>
      <c r="C9" s="4">
        <f>2721450/1000</f>
        <v>2721.45</v>
      </c>
      <c r="D9" s="4">
        <v>6.2870967741935484</v>
      </c>
      <c r="E9" s="3">
        <v>6.08</v>
      </c>
      <c r="F9" s="4">
        <v>6.9129032258064518</v>
      </c>
      <c r="G9" s="4">
        <v>6.64</v>
      </c>
      <c r="H9" s="12">
        <v>0.83</v>
      </c>
      <c r="I9" s="12">
        <v>0.79</v>
      </c>
      <c r="J9" s="5">
        <f>B9/24/12/31</f>
        <v>0.29899827432321119</v>
      </c>
      <c r="K9" s="5">
        <f>C9/24/12/31</f>
        <v>0.30482190860215053</v>
      </c>
      <c r="L9" s="5">
        <v>0.99</v>
      </c>
      <c r="M9" s="5">
        <v>0.995</v>
      </c>
      <c r="N9" s="6">
        <v>0.99</v>
      </c>
      <c r="O9" s="9">
        <v>0.99229999999999996</v>
      </c>
      <c r="Q9" s="45">
        <f t="shared" si="0"/>
        <v>1.9477150134465715E-2</v>
      </c>
      <c r="R9" s="47">
        <f t="shared" si="1"/>
        <v>-3.9477368175454997E-2</v>
      </c>
      <c r="S9" s="48">
        <f t="shared" si="2"/>
        <v>5.0000000000000044E-3</v>
      </c>
      <c r="T9" s="48">
        <f t="shared" si="3"/>
        <v>2.2999999999999687E-3</v>
      </c>
      <c r="U9" s="84">
        <v>-1.5608044563408354E-2</v>
      </c>
      <c r="V9" s="49"/>
      <c r="X9" s="14"/>
      <c r="Y9" s="7"/>
      <c r="Z9" s="8"/>
      <c r="AA9" s="20">
        <v>2669.4565931576294</v>
      </c>
      <c r="AB9" s="20">
        <v>2399.3000000000002</v>
      </c>
      <c r="AD9" s="42" t="s">
        <v>32</v>
      </c>
      <c r="AE9" s="28">
        <f>SUM(B4:B6)</f>
        <v>6111.8038356973202</v>
      </c>
      <c r="AF9" s="28">
        <f>SUM(C4:C6)</f>
        <v>1356.5</v>
      </c>
      <c r="AG9" s="28">
        <f>AVERAGE(D4:D6)</f>
        <v>4.4122222222222218</v>
      </c>
      <c r="AH9" s="28" t="s">
        <v>0</v>
      </c>
      <c r="AI9" s="29">
        <f>AVERAGE(L4:L6)</f>
        <v>0.98999999999999988</v>
      </c>
      <c r="AJ9" s="29" t="s">
        <v>0</v>
      </c>
      <c r="AM9" s="29">
        <f>B9/F9/31/15/L9</f>
        <v>0.83883054943827118</v>
      </c>
      <c r="AN9" s="29">
        <f>C9/G9/31/15/M9</f>
        <v>0.88584195755301964</v>
      </c>
    </row>
    <row r="10" spans="1:40" hidden="1" x14ac:dyDescent="0.35">
      <c r="A10" s="30">
        <v>43220</v>
      </c>
      <c r="B10" s="31">
        <v>2487.5143498944299</v>
      </c>
      <c r="C10" s="31">
        <v>1946.3</v>
      </c>
      <c r="D10" s="31">
        <v>6.72</v>
      </c>
      <c r="E10" s="32">
        <v>6.57</v>
      </c>
      <c r="F10" s="31">
        <v>6.8733333333333331</v>
      </c>
      <c r="G10" s="31">
        <v>6.7</v>
      </c>
      <c r="H10" s="79">
        <v>0.80400000000000005</v>
      </c>
      <c r="I10" s="79">
        <v>0.78</v>
      </c>
      <c r="J10" s="33">
        <f>B10/24/12/30</f>
        <v>0.28790675346000344</v>
      </c>
      <c r="K10" s="33">
        <f>C10/24/12/30</f>
        <v>0.2252662037037037</v>
      </c>
      <c r="L10" s="33">
        <v>0.99</v>
      </c>
      <c r="M10" s="33">
        <v>0.83979999999999999</v>
      </c>
      <c r="N10" s="34">
        <v>0.99</v>
      </c>
      <c r="O10" s="35">
        <v>0.98250000000000004</v>
      </c>
      <c r="P10" s="36"/>
      <c r="Q10" s="50">
        <f t="shared" si="0"/>
        <v>-0.21757235286598409</v>
      </c>
      <c r="R10" s="51">
        <f t="shared" si="1"/>
        <v>-2.5218234723569322E-2</v>
      </c>
      <c r="S10" s="52">
        <f t="shared" si="2"/>
        <v>-0.1502</v>
      </c>
      <c r="T10" s="52">
        <f t="shared" si="3"/>
        <v>-7.4999999999999512E-3</v>
      </c>
      <c r="U10" s="86">
        <v>-1.2281146917026961E-2</v>
      </c>
      <c r="V10" s="53"/>
      <c r="X10" s="14">
        <f>B10</f>
        <v>2487.5143498944299</v>
      </c>
      <c r="Y10" s="7">
        <f>C10</f>
        <v>1946.3</v>
      </c>
      <c r="Z10" s="8">
        <f t="shared" ref="Z10:Z16" si="4">Y10/X10-1</f>
        <v>-0.21757235286598409</v>
      </c>
      <c r="AA10" s="20">
        <v>2487.5143498944317</v>
      </c>
      <c r="AB10" s="20">
        <v>1946.3</v>
      </c>
      <c r="AD10" s="42" t="s">
        <v>33</v>
      </c>
      <c r="AE10" s="28">
        <f>SUM(B7:B9)</f>
        <v>6586.3092061277384</v>
      </c>
      <c r="AF10" s="28">
        <f>SUM(C7:C9)</f>
        <v>6358.45</v>
      </c>
      <c r="AG10" s="28">
        <f>AVERAGE(D7:D9)</f>
        <v>4.9857142857142858</v>
      </c>
      <c r="AH10" s="28">
        <f>AVERAGE(E7:E9)</f>
        <v>5.12</v>
      </c>
      <c r="AI10" s="29">
        <f>AVERAGE(L7:L9)</f>
        <v>0.98999999999999988</v>
      </c>
      <c r="AJ10" s="29">
        <f>AVERAGE(M7:M9)</f>
        <v>0.9899</v>
      </c>
      <c r="AL10">
        <f>Q10-R10</f>
        <v>-0.19235411814241477</v>
      </c>
      <c r="AM10" s="29">
        <f>B10/F10/30/15/L10</f>
        <v>0.81236364612645373</v>
      </c>
      <c r="AN10" s="29">
        <f>C10/G10/30/15/M10</f>
        <v>0.76868179543656634</v>
      </c>
    </row>
    <row r="11" spans="1:40" hidden="1" x14ac:dyDescent="0.35">
      <c r="A11" s="11">
        <v>43251</v>
      </c>
      <c r="B11" s="4">
        <v>2503.5252673015934</v>
      </c>
      <c r="C11" s="4">
        <f>2344200/1000</f>
        <v>2344.1999999999998</v>
      </c>
      <c r="D11" s="4">
        <v>6.8032258064516133</v>
      </c>
      <c r="E11" s="3">
        <v>6.86</v>
      </c>
      <c r="F11" s="4">
        <v>6.6</v>
      </c>
      <c r="G11" s="3">
        <v>6.62</v>
      </c>
      <c r="H11" s="5">
        <v>0.81599999999999995</v>
      </c>
      <c r="I11" s="5">
        <v>0.76780000000000004</v>
      </c>
      <c r="J11" s="5">
        <f>B11/24/12/31</f>
        <v>0.28041277635546519</v>
      </c>
      <c r="K11" s="5">
        <f>C11/24/12/31</f>
        <v>0.26256720430107522</v>
      </c>
      <c r="L11" s="5">
        <v>0.99</v>
      </c>
      <c r="M11" s="5">
        <v>0.97819999999999996</v>
      </c>
      <c r="N11" s="6">
        <v>0.99</v>
      </c>
      <c r="O11" s="9">
        <v>0.99170000000000003</v>
      </c>
      <c r="P11" s="56">
        <f t="shared" ref="P11:P13" si="5">Q11-R11</f>
        <v>-6.6670670228722195E-2</v>
      </c>
      <c r="Q11" s="45">
        <f t="shared" si="0"/>
        <v>-6.3640367198419034E-2</v>
      </c>
      <c r="R11" s="47">
        <f t="shared" si="1"/>
        <v>3.0303030303031608E-3</v>
      </c>
      <c r="S11" s="48">
        <f t="shared" si="2"/>
        <v>-1.1800000000000033E-2</v>
      </c>
      <c r="T11" s="48">
        <f t="shared" si="3"/>
        <v>1.7000000000000348E-3</v>
      </c>
      <c r="U11" s="84">
        <v>-1.3964835534617193E-2</v>
      </c>
      <c r="V11" s="49"/>
      <c r="X11" s="10">
        <f t="shared" ref="X11:X21" si="6">X10+B11</f>
        <v>4991.0396171960238</v>
      </c>
      <c r="Y11" s="25">
        <f t="shared" ref="Y11:Y21" si="7">Y10+C11</f>
        <v>4290.5</v>
      </c>
      <c r="Z11" s="27">
        <f t="shared" si="4"/>
        <v>-0.14035945833457208</v>
      </c>
      <c r="AA11" s="20">
        <v>2503.5252673015934</v>
      </c>
      <c r="AE11" s="28"/>
      <c r="AH11" s="28"/>
      <c r="AI11" s="28"/>
      <c r="AL11" s="64">
        <f t="shared" ref="AL11:AL18" si="8">Q11-R11</f>
        <v>-6.6670670228722195E-2</v>
      </c>
      <c r="AM11" s="29">
        <f>B11/F11/31/15/L11</f>
        <v>0.82398611968548108</v>
      </c>
      <c r="AN11" s="29">
        <f>C11/G11/31/15/M11</f>
        <v>0.77849541802543865</v>
      </c>
    </row>
    <row r="12" spans="1:40" hidden="1" x14ac:dyDescent="0.35">
      <c r="A12" s="11">
        <v>43281</v>
      </c>
      <c r="B12" s="4">
        <v>2063.9528075777089</v>
      </c>
      <c r="C12" s="4">
        <f>1983750/1000</f>
        <v>1983.75</v>
      </c>
      <c r="D12" s="21">
        <f>171.9/30</f>
        <v>5.73</v>
      </c>
      <c r="E12" s="4">
        <v>5.8120000000000003</v>
      </c>
      <c r="F12" s="21">
        <f>162.6/30</f>
        <v>5.42</v>
      </c>
      <c r="G12" s="4">
        <v>5.5060000000000002</v>
      </c>
      <c r="H12" s="5">
        <v>0.84622911339799467</v>
      </c>
      <c r="I12" s="5">
        <v>0.8236</v>
      </c>
      <c r="J12" s="5">
        <f>B12/24/12/30</f>
        <v>0.23888342680297556</v>
      </c>
      <c r="K12" s="5">
        <f>C12/(12*30*24)</f>
        <v>0.22960069444444445</v>
      </c>
      <c r="L12" s="5">
        <v>0.99</v>
      </c>
      <c r="M12" s="5">
        <v>0.98529999999999995</v>
      </c>
      <c r="N12" s="6">
        <v>0.99</v>
      </c>
      <c r="O12" s="9">
        <v>0.98919999999999997</v>
      </c>
      <c r="P12" s="56">
        <f t="shared" si="5"/>
        <v>-5.4725996569065849E-2</v>
      </c>
      <c r="Q12" s="45">
        <f t="shared" si="0"/>
        <v>-3.8858837897479015E-2</v>
      </c>
      <c r="R12" s="47">
        <f t="shared" si="1"/>
        <v>1.5867158671586834E-2</v>
      </c>
      <c r="S12" s="48">
        <f t="shared" si="2"/>
        <v>-4.7000000000000375E-3</v>
      </c>
      <c r="T12" s="48">
        <f t="shared" si="3"/>
        <v>-8.0000000000002292E-4</v>
      </c>
      <c r="U12" s="84">
        <v>-1.3354222620113577E-2</v>
      </c>
      <c r="V12" s="49">
        <v>-1.7500000000000002E-2</v>
      </c>
      <c r="X12" s="10">
        <f t="shared" si="6"/>
        <v>7054.9924247737326</v>
      </c>
      <c r="Y12" s="25">
        <f t="shared" si="7"/>
        <v>6274.25</v>
      </c>
      <c r="Z12" s="27">
        <f t="shared" si="4"/>
        <v>-0.11066523927540184</v>
      </c>
      <c r="AA12" s="20">
        <v>2063.9528075777089</v>
      </c>
      <c r="AE12" s="42">
        <v>2018</v>
      </c>
      <c r="AL12" s="64">
        <f t="shared" si="8"/>
        <v>-5.4725996569065849E-2</v>
      </c>
      <c r="AM12" s="29">
        <f>B12/F12/30/15/L12</f>
        <v>0.85477688222019665</v>
      </c>
      <c r="AN12" s="29">
        <f>C12/G12/30/15/M12</f>
        <v>0.812586749395801</v>
      </c>
    </row>
    <row r="13" spans="1:40" hidden="1" x14ac:dyDescent="0.35">
      <c r="A13" s="11">
        <v>43312</v>
      </c>
      <c r="B13" s="4">
        <v>1670.9575621292031</v>
      </c>
      <c r="C13" s="4">
        <f>1434150/1000</f>
        <v>1434.15</v>
      </c>
      <c r="D13" s="22">
        <f>134.6/31</f>
        <v>4.3419354838709676</v>
      </c>
      <c r="E13" s="4">
        <v>4.0529999999999999</v>
      </c>
      <c r="F13" s="22">
        <f>127.8/31</f>
        <v>4.1225806451612899</v>
      </c>
      <c r="G13" s="4">
        <v>3.8860000000000001</v>
      </c>
      <c r="H13" s="5">
        <v>0.87165235374501993</v>
      </c>
      <c r="I13" s="5">
        <f>C13/G13/M13/31/14.949</f>
        <v>0.80719197236894435</v>
      </c>
      <c r="J13" s="5">
        <f>B13/24/12/31</f>
        <v>0.18715922514888025</v>
      </c>
      <c r="K13" s="5">
        <f>C13/(12*31*24)</f>
        <v>0.1606350806451613</v>
      </c>
      <c r="L13" s="5">
        <v>0.99</v>
      </c>
      <c r="M13" s="5">
        <v>0.98660000000000003</v>
      </c>
      <c r="N13" s="6">
        <v>0.99</v>
      </c>
      <c r="O13" s="9">
        <v>0.99919999999999998</v>
      </c>
      <c r="P13" s="56">
        <f t="shared" si="5"/>
        <v>-8.4333133221020429E-2</v>
      </c>
      <c r="Q13" s="45">
        <f t="shared" si="0"/>
        <v>-0.14171967469206881</v>
      </c>
      <c r="R13" s="47">
        <f t="shared" si="1"/>
        <v>-5.738654147104838E-2</v>
      </c>
      <c r="S13" s="48">
        <f t="shared" si="2"/>
        <v>-3.3999999999999586E-3</v>
      </c>
      <c r="T13" s="48">
        <f t="shared" si="3"/>
        <v>9.199999999999986E-3</v>
      </c>
      <c r="U13" s="84">
        <v>-9.7700752606501712E-3</v>
      </c>
      <c r="V13" s="49"/>
      <c r="X13" s="10">
        <f t="shared" si="6"/>
        <v>8725.9499869029351</v>
      </c>
      <c r="Y13" s="25">
        <f t="shared" si="7"/>
        <v>7708.4</v>
      </c>
      <c r="Z13" s="27">
        <f t="shared" si="4"/>
        <v>-0.11661194350531567</v>
      </c>
      <c r="AA13" s="20">
        <v>1670.9575621292031</v>
      </c>
      <c r="AE13" s="42" t="s">
        <v>24</v>
      </c>
      <c r="AF13" s="42" t="s">
        <v>25</v>
      </c>
      <c r="AG13" s="42" t="s">
        <v>26</v>
      </c>
      <c r="AH13" s="42" t="s">
        <v>27</v>
      </c>
      <c r="AI13" s="42" t="s">
        <v>28</v>
      </c>
      <c r="AJ13" s="42" t="s">
        <v>29</v>
      </c>
      <c r="AL13" s="64">
        <f t="shared" si="8"/>
        <v>-8.4333133221020429E-2</v>
      </c>
      <c r="AM13" s="29">
        <f>B13/F13/31/15/L13</f>
        <v>0.88045692297476763</v>
      </c>
      <c r="AN13" s="29">
        <f>C13/G13/31/15/M13</f>
        <v>0.80444751966289008</v>
      </c>
    </row>
    <row r="14" spans="1:40" hidden="1" x14ac:dyDescent="0.35">
      <c r="A14" s="11">
        <v>43343</v>
      </c>
      <c r="B14" s="4">
        <v>1324.5395309560756</v>
      </c>
      <c r="C14" s="4">
        <f>1369250/1000</f>
        <v>1369.25</v>
      </c>
      <c r="D14" s="22">
        <f>104.7/31</f>
        <v>3.3774193548387097</v>
      </c>
      <c r="E14" s="4">
        <v>3.387</v>
      </c>
      <c r="F14" s="22">
        <f>101.7/31</f>
        <v>3.2806451612903227</v>
      </c>
      <c r="G14" s="4">
        <v>3.4529999999999998</v>
      </c>
      <c r="H14" s="5">
        <v>0.86826583477946606</v>
      </c>
      <c r="I14" s="5">
        <f>C14/G14/M14/31/14.949</f>
        <v>0.85705316526247388</v>
      </c>
      <c r="J14" s="5">
        <f>B14/24/12/31</f>
        <v>0.14835792237411241</v>
      </c>
      <c r="K14" s="5">
        <f>C14/(12*31*24)</f>
        <v>0.15336581541218638</v>
      </c>
      <c r="L14" s="5">
        <v>0.99</v>
      </c>
      <c r="M14" s="5">
        <v>0.99839999999999995</v>
      </c>
      <c r="N14" s="6">
        <v>0.99</v>
      </c>
      <c r="O14" s="9">
        <v>0.99850000000000005</v>
      </c>
      <c r="Q14" s="45">
        <f t="shared" si="0"/>
        <v>3.3755481055104175E-2</v>
      </c>
      <c r="R14" s="47">
        <f t="shared" si="1"/>
        <v>5.2536873156342034E-2</v>
      </c>
      <c r="S14" s="48">
        <f t="shared" ref="S14:S24" si="9">M14-L14</f>
        <v>8.3999999999999631E-3</v>
      </c>
      <c r="T14" s="48">
        <f t="shared" ref="T14:T24" si="10">O14-N14</f>
        <v>8.5000000000000631E-3</v>
      </c>
      <c r="U14" s="84">
        <v>-9.3691216900598472E-3</v>
      </c>
      <c r="V14" s="49"/>
      <c r="X14" s="10">
        <f t="shared" si="6"/>
        <v>10050.48951785901</v>
      </c>
      <c r="Y14" s="25">
        <f t="shared" si="7"/>
        <v>9077.65</v>
      </c>
      <c r="Z14" s="27">
        <f t="shared" si="4"/>
        <v>-9.6795237299670212E-2</v>
      </c>
      <c r="AA14" s="20">
        <v>1324.5395309560756</v>
      </c>
      <c r="AD14" s="42" t="s">
        <v>30</v>
      </c>
      <c r="AE14" s="28">
        <f>SUM(B10:B12)</f>
        <v>7054.9924247737326</v>
      </c>
      <c r="AF14" s="28">
        <f>SUM(C10:C12)</f>
        <v>6274.25</v>
      </c>
      <c r="AG14" s="28">
        <f>AVERAGE(D10:D12)</f>
        <v>6.4177419354838712</v>
      </c>
      <c r="AH14" s="28">
        <f>AVERAGE(E10:E12)</f>
        <v>6.4140000000000006</v>
      </c>
      <c r="AI14" s="29">
        <f>AVERAGE(L10:L12)</f>
        <v>0.98999999999999988</v>
      </c>
      <c r="AJ14" s="29">
        <f>AVERAGE(M10:M12)</f>
        <v>0.93443333333333334</v>
      </c>
      <c r="AL14" s="64">
        <f t="shared" si="8"/>
        <v>-1.8781392101237859E-2</v>
      </c>
      <c r="AM14" s="29">
        <f>B14/F14/31/15/L14</f>
        <v>0.87703619674693556</v>
      </c>
      <c r="AN14" s="29">
        <f>C14/G14/31/15/M14</f>
        <v>0.85413918450058135</v>
      </c>
    </row>
    <row r="15" spans="1:40" hidden="1" x14ac:dyDescent="0.35">
      <c r="A15" s="11">
        <v>43373</v>
      </c>
      <c r="B15" s="4">
        <v>2050.1517322269274</v>
      </c>
      <c r="C15" s="4">
        <v>1759.7</v>
      </c>
      <c r="D15" s="22">
        <f>150/30</f>
        <v>5</v>
      </c>
      <c r="E15" s="4">
        <v>4.5010000000000003</v>
      </c>
      <c r="F15" s="22">
        <f>157.1/30</f>
        <v>5.2366666666666664</v>
      </c>
      <c r="G15" s="4">
        <v>4.8259999999999996</v>
      </c>
      <c r="H15" s="5">
        <v>0.87214919579931094</v>
      </c>
      <c r="I15" s="5">
        <f>C15/G15/M15/30/14.949</f>
        <v>0.81705481486590392</v>
      </c>
      <c r="J15" s="5">
        <f>B15/24/12/30</f>
        <v>0.23728608011885735</v>
      </c>
      <c r="K15" s="5">
        <f>C15/(12*30*24)</f>
        <v>0.20366898148148149</v>
      </c>
      <c r="L15" s="5">
        <v>0.99</v>
      </c>
      <c r="M15" s="5">
        <v>0.99509999999999998</v>
      </c>
      <c r="N15" s="6">
        <v>0.99</v>
      </c>
      <c r="O15" s="9">
        <v>0.99750000000000005</v>
      </c>
      <c r="P15" s="56">
        <f>Q15-R15</f>
        <v>-6.3251898116520766E-2</v>
      </c>
      <c r="Q15" s="45">
        <f t="shared" si="0"/>
        <v>-0.14167328576769833</v>
      </c>
      <c r="R15" s="47">
        <f t="shared" si="1"/>
        <v>-7.8421387651177565E-2</v>
      </c>
      <c r="S15" s="48">
        <f t="shared" si="9"/>
        <v>5.0999999999999934E-3</v>
      </c>
      <c r="T15" s="48">
        <f t="shared" si="10"/>
        <v>7.5000000000000622E-3</v>
      </c>
      <c r="U15" s="84">
        <v>-1.3178555406011663E-2</v>
      </c>
      <c r="V15" s="49"/>
      <c r="X15" s="10">
        <f t="shared" si="6"/>
        <v>12100.641250085937</v>
      </c>
      <c r="Y15" s="25">
        <f t="shared" si="7"/>
        <v>10837.35</v>
      </c>
      <c r="Z15" s="27">
        <f t="shared" si="4"/>
        <v>-0.10439870284369968</v>
      </c>
      <c r="AA15" s="20">
        <v>2050.1517322269274</v>
      </c>
      <c r="AD15" s="42" t="s">
        <v>31</v>
      </c>
      <c r="AE15" s="28">
        <f>SUM(B13:B15)</f>
        <v>5045.6488253122061</v>
      </c>
      <c r="AF15" s="28">
        <f>SUM(C13:C15)</f>
        <v>4563.1000000000004</v>
      </c>
      <c r="AG15" s="28">
        <f>AVERAGE(D13:D15)</f>
        <v>4.2397849462365587</v>
      </c>
      <c r="AH15" s="28">
        <f>AVERAGE(E13:E15)</f>
        <v>3.9803333333333328</v>
      </c>
      <c r="AI15" s="29">
        <f>AVERAGE(L13:L15)</f>
        <v>0.98999999999999988</v>
      </c>
      <c r="AJ15" s="29">
        <f>AVERAGE(M13:M15)</f>
        <v>0.99336666666666662</v>
      </c>
      <c r="AL15" s="64">
        <f t="shared" si="8"/>
        <v>-6.3251898116520766E-2</v>
      </c>
      <c r="AM15" s="29">
        <f>B15/F15/30/15/L15</f>
        <v>0.8787864780745831</v>
      </c>
      <c r="AN15" s="29">
        <f>C15/G15/30/15/M15</f>
        <v>0.81427682849535976</v>
      </c>
    </row>
    <row r="16" spans="1:40" hidden="1" x14ac:dyDescent="0.35">
      <c r="A16" s="11">
        <v>43404</v>
      </c>
      <c r="B16" s="4">
        <v>2230.1933857652689</v>
      </c>
      <c r="C16" s="4">
        <v>2162.35</v>
      </c>
      <c r="D16" s="22">
        <f>155.7/31</f>
        <v>5.0225806451612902</v>
      </c>
      <c r="E16" s="4">
        <v>5.303359354838709</v>
      </c>
      <c r="F16" s="22">
        <f>179.2/31</f>
        <v>5.7806451612903222</v>
      </c>
      <c r="G16" s="4">
        <v>5.9501903225806458</v>
      </c>
      <c r="H16" s="5">
        <v>0.83173596920318704</v>
      </c>
      <c r="I16" s="5">
        <f>C16/G16/M16/31/14.949</f>
        <v>0.7945187395407719</v>
      </c>
      <c r="J16" s="5">
        <f>B16/24/12/31</f>
        <v>0.24979764625507045</v>
      </c>
      <c r="K16" s="5">
        <f>C16/(12*31*24)</f>
        <v>0.24219870071684588</v>
      </c>
      <c r="L16" s="5">
        <v>0.99</v>
      </c>
      <c r="M16" s="5">
        <v>0.98699999999999999</v>
      </c>
      <c r="N16" s="6">
        <v>0.99</v>
      </c>
      <c r="O16" s="9">
        <v>0.99809999999999999</v>
      </c>
      <c r="Q16" s="45">
        <f t="shared" si="0"/>
        <v>-3.0420404884300756E-2</v>
      </c>
      <c r="R16" s="47">
        <f t="shared" si="1"/>
        <v>2.9329799107143062E-2</v>
      </c>
      <c r="S16" s="48">
        <f t="shared" si="9"/>
        <v>-3.0000000000000027E-3</v>
      </c>
      <c r="T16" s="48">
        <f t="shared" si="10"/>
        <v>8.0999999999999961E-3</v>
      </c>
      <c r="U16" s="84">
        <v>-1.4156104677669454E-2</v>
      </c>
      <c r="V16" s="49">
        <v>-2.5999999999999999E-2</v>
      </c>
      <c r="X16" s="10">
        <f t="shared" si="6"/>
        <v>14330.834635851206</v>
      </c>
      <c r="Y16" s="25">
        <f t="shared" si="7"/>
        <v>12999.7</v>
      </c>
      <c r="Z16" s="27">
        <f t="shared" si="4"/>
        <v>-9.2886050929729458E-2</v>
      </c>
      <c r="AA16" s="20">
        <v>2230.1933857652689</v>
      </c>
      <c r="AD16" s="42" t="s">
        <v>32</v>
      </c>
      <c r="AE16" s="28">
        <f>SUM(B16:B18)</f>
        <v>6096.7330903830498</v>
      </c>
      <c r="AF16" s="28">
        <f>SUM(C16:C18)</f>
        <v>5582.55</v>
      </c>
      <c r="AG16" s="28">
        <f>AVERAGE(D16:D18)</f>
        <v>4.316164874551971</v>
      </c>
      <c r="AH16" s="28">
        <f>AVERAGE(E16:E18)</f>
        <v>4.6446046594982073</v>
      </c>
      <c r="AI16" s="29">
        <f>AVERAGE(L16:L18)</f>
        <v>0.98999999999999988</v>
      </c>
      <c r="AJ16" s="29">
        <f>AVERAGE(M16:M18)</f>
        <v>0.90140000000000009</v>
      </c>
      <c r="AL16" s="64">
        <f t="shared" si="8"/>
        <v>-5.9750203991443818E-2</v>
      </c>
      <c r="AM16" s="29">
        <f>B16/F16/31/15/L16</f>
        <v>0.83806569631030137</v>
      </c>
      <c r="AN16" s="29">
        <f>C16/G16/31/15/M16</f>
        <v>0.79181737582633327</v>
      </c>
    </row>
    <row r="17" spans="1:40" hidden="1" x14ac:dyDescent="0.35">
      <c r="A17" s="11">
        <v>43434</v>
      </c>
      <c r="B17" s="4">
        <v>2037.084192857209</v>
      </c>
      <c r="C17" s="4">
        <f>1761000/1000</f>
        <v>1761</v>
      </c>
      <c r="D17" s="22">
        <f>129.1/30</f>
        <v>4.3033333333333328</v>
      </c>
      <c r="E17" s="4">
        <f>136.33/30</f>
        <v>4.5443333333333333</v>
      </c>
      <c r="F17" s="22">
        <f>159.7/30</f>
        <v>5.3233333333333333</v>
      </c>
      <c r="G17" s="4">
        <f>168.42/30</f>
        <v>5.6139999999999999</v>
      </c>
      <c r="H17" s="5">
        <v>0.85248162737888789</v>
      </c>
      <c r="I17" s="5">
        <f>C17/G17/M17/30/14.949</f>
        <v>0.78263955417295861</v>
      </c>
      <c r="J17" s="5">
        <f>B17/24/12/30</f>
        <v>0.23577363343254734</v>
      </c>
      <c r="K17" s="5">
        <f>C17/(12*30*24)</f>
        <v>0.20381944444444444</v>
      </c>
      <c r="L17" s="5">
        <v>0.99</v>
      </c>
      <c r="M17" s="5">
        <v>0.89370000000000005</v>
      </c>
      <c r="N17" s="6">
        <v>0.99</v>
      </c>
      <c r="O17" s="9">
        <v>0.99450000000000005</v>
      </c>
      <c r="Q17" s="45">
        <f t="shared" si="0"/>
        <v>-0.13552910273677699</v>
      </c>
      <c r="R17" s="47">
        <f t="shared" si="1"/>
        <v>5.4602379461490269E-2</v>
      </c>
      <c r="S17" s="48">
        <f t="shared" si="9"/>
        <v>-9.6299999999999941E-2</v>
      </c>
      <c r="T17" s="48">
        <f t="shared" si="10"/>
        <v>4.5000000000000595E-3</v>
      </c>
      <c r="U17" s="84">
        <v>-1.2449528936742959E-2</v>
      </c>
      <c r="V17" s="49">
        <v>-1.4999999999999999E-2</v>
      </c>
      <c r="X17" s="10">
        <f t="shared" si="6"/>
        <v>16367.918828708414</v>
      </c>
      <c r="Y17" s="25">
        <f t="shared" si="7"/>
        <v>14760.7</v>
      </c>
      <c r="Z17" s="27">
        <f>Y17/X17-1</f>
        <v>-9.8193230643925378E-2</v>
      </c>
      <c r="AA17" s="20">
        <v>2037.084192857209</v>
      </c>
      <c r="AD17" s="42" t="s">
        <v>33</v>
      </c>
      <c r="AE17" s="28">
        <f>SUM(B19:B21)</f>
        <v>6570.0684053306231</v>
      </c>
      <c r="AF17" s="28">
        <f>SUM(C19:C21)</f>
        <v>5976.2999999999993</v>
      </c>
      <c r="AG17" s="28">
        <f>AVERAGE(D19:D21)</f>
        <v>4.9857142857142858</v>
      </c>
      <c r="AH17" s="28">
        <f>AVERAGE(E19:E21)</f>
        <v>5.3196675268817204</v>
      </c>
      <c r="AI17" s="29">
        <f>AVERAGE(L19:L21)</f>
        <v>0.98999999999999988</v>
      </c>
      <c r="AJ17" s="29">
        <f>AVERAGE(M19:M21)</f>
        <v>0.92099999999999993</v>
      </c>
      <c r="AL17" s="64">
        <f t="shared" si="8"/>
        <v>-0.19013148219826725</v>
      </c>
      <c r="AM17" s="29">
        <f>B17/F17/30/15/L17</f>
        <v>0.85896923434183581</v>
      </c>
      <c r="AN17" s="29">
        <f>C17/G17/30/15/M17</f>
        <v>0.7799785796887706</v>
      </c>
    </row>
    <row r="18" spans="1:40" hidden="1" x14ac:dyDescent="0.35">
      <c r="A18" s="11">
        <v>43465</v>
      </c>
      <c r="B18" s="4">
        <v>1829.4555117605723</v>
      </c>
      <c r="C18" s="4">
        <f>1659200/1000</f>
        <v>1659.2</v>
      </c>
      <c r="D18" s="22">
        <f>112.3/31</f>
        <v>3.6225806451612903</v>
      </c>
      <c r="E18" s="4">
        <v>4.0861212903225796</v>
      </c>
      <c r="F18" s="22">
        <f>142.2/31</f>
        <v>4.5870967741935482</v>
      </c>
      <c r="G18" s="4">
        <v>5.271685483870967</v>
      </c>
      <c r="H18" s="5">
        <v>0.85981144495688133</v>
      </c>
      <c r="I18" s="38">
        <f>C18/G18/M18/31/14.949</f>
        <v>0.82473002948084573</v>
      </c>
      <c r="J18" s="5">
        <f>B18/24/12/31</f>
        <v>0.2049121316936125</v>
      </c>
      <c r="K18" s="38">
        <f>C18/(12*31*24)</f>
        <v>0.18584229390681004</v>
      </c>
      <c r="L18" s="5">
        <v>0.99</v>
      </c>
      <c r="M18" s="5">
        <v>0.82350000000000001</v>
      </c>
      <c r="N18" s="6">
        <v>0.99</v>
      </c>
      <c r="O18" s="9">
        <v>0.99890000000000001</v>
      </c>
      <c r="Q18" s="45">
        <f t="shared" si="0"/>
        <v>-9.3063488380063064E-2</v>
      </c>
      <c r="R18" s="47">
        <f t="shared" si="1"/>
        <v>0.14924226441631494</v>
      </c>
      <c r="S18" s="48">
        <f t="shared" si="9"/>
        <v>-0.16649999999999998</v>
      </c>
      <c r="T18" s="48">
        <f t="shared" si="10"/>
        <v>8.900000000000019E-3</v>
      </c>
      <c r="U18" s="84">
        <v>-1.1027001251714057E-2</v>
      </c>
      <c r="V18" s="49">
        <v>-1.7000000000000001E-2</v>
      </c>
      <c r="X18" s="10">
        <f t="shared" si="6"/>
        <v>18197.374340468989</v>
      </c>
      <c r="Y18" s="25">
        <f t="shared" si="7"/>
        <v>16419.900000000001</v>
      </c>
      <c r="Z18" s="37">
        <f>Y18/X18-1</f>
        <v>-9.7677516943533771E-2</v>
      </c>
      <c r="AA18" s="20">
        <v>1829.4555117605723</v>
      </c>
      <c r="AL18" s="64">
        <f t="shared" si="8"/>
        <v>-0.242305752796378</v>
      </c>
      <c r="AM18" s="29">
        <f t="shared" ref="AM18:AN22" si="11">B18/F18/31/15/L18</f>
        <v>0.8663548337384972</v>
      </c>
      <c r="AN18" s="29">
        <f t="shared" si="11"/>
        <v>0.82192594738061087</v>
      </c>
    </row>
    <row r="19" spans="1:40" hidden="1" x14ac:dyDescent="0.35">
      <c r="A19" s="11">
        <v>43496</v>
      </c>
      <c r="B19" s="4">
        <v>2000.7854723857686</v>
      </c>
      <c r="C19" s="4">
        <v>2088.65</v>
      </c>
      <c r="D19" s="22">
        <f>124.4/31</f>
        <v>4.0129032258064514</v>
      </c>
      <c r="E19" s="4">
        <v>4.517002580645161</v>
      </c>
      <c r="F19" s="22">
        <v>5.0451612903225804</v>
      </c>
      <c r="G19" s="4">
        <v>5.6638651612903228</v>
      </c>
      <c r="H19" s="5">
        <v>0.85495792401256854</v>
      </c>
      <c r="I19" s="38">
        <f>C19/G19/M19/31/14.949</f>
        <v>0.79599297859094353</v>
      </c>
      <c r="J19" s="5">
        <f>B19/24/12/31</f>
        <v>0.22410231545539522</v>
      </c>
      <c r="K19" s="38">
        <f>C19/(12*31*24)</f>
        <v>0.23394377240143371</v>
      </c>
      <c r="L19" s="5">
        <v>0.99</v>
      </c>
      <c r="M19" s="5">
        <v>0.99970000000000003</v>
      </c>
      <c r="N19" s="6">
        <v>0.99</v>
      </c>
      <c r="O19" s="9">
        <v>1</v>
      </c>
      <c r="Q19" s="45">
        <f t="shared" si="0"/>
        <v>4.391501679061105E-2</v>
      </c>
      <c r="R19" s="47">
        <f t="shared" si="1"/>
        <v>0.1226331202046036</v>
      </c>
      <c r="S19" s="48">
        <f t="shared" si="9"/>
        <v>9.7000000000000419E-3</v>
      </c>
      <c r="T19" s="48">
        <f t="shared" si="10"/>
        <v>1.0000000000000009E-2</v>
      </c>
      <c r="U19" s="84">
        <v>-1.3717712612740109E-2</v>
      </c>
      <c r="V19" s="49">
        <v>-1.2E-2</v>
      </c>
      <c r="X19" s="10">
        <f t="shared" si="6"/>
        <v>20198.159812854756</v>
      </c>
      <c r="Y19" s="25">
        <f t="shared" si="7"/>
        <v>18508.550000000003</v>
      </c>
      <c r="Z19" s="37">
        <f>Y19/X19-1</f>
        <v>-8.3651670672465483E-2</v>
      </c>
      <c r="AA19" s="20">
        <v>2000.7854723857686</v>
      </c>
      <c r="AL19" s="64">
        <f>Q19-R19</f>
        <v>-7.8718103413992546E-2</v>
      </c>
      <c r="AM19" s="29">
        <f t="shared" si="11"/>
        <v>0.86146437623712335</v>
      </c>
      <c r="AN19" s="29">
        <f t="shared" si="11"/>
        <v>0.79328660246373428</v>
      </c>
    </row>
    <row r="20" spans="1:40" hidden="1" x14ac:dyDescent="0.35">
      <c r="A20" s="11">
        <v>43524</v>
      </c>
      <c r="B20" s="4">
        <v>1906.4087991600252</v>
      </c>
      <c r="C20" s="4">
        <v>1973.8</v>
      </c>
      <c r="D20" s="22">
        <f>130.4/28</f>
        <v>4.6571428571428575</v>
      </c>
      <c r="E20" s="4">
        <v>5.0979999999999999</v>
      </c>
      <c r="F20" s="22">
        <f>152.7/28</f>
        <v>5.4535714285714283</v>
      </c>
      <c r="G20" s="4">
        <v>5.9889999999999999</v>
      </c>
      <c r="H20" s="5">
        <v>0.83436861961869624</v>
      </c>
      <c r="I20" s="38">
        <f>C20/G20/M20/28/14.949</f>
        <v>0.79228177504193886</v>
      </c>
      <c r="J20" s="5">
        <f>B20/24/12/28</f>
        <v>0.23640982132440791</v>
      </c>
      <c r="K20" s="38">
        <f>C20/(12*28*24)</f>
        <v>0.24476686507936507</v>
      </c>
      <c r="L20" s="5">
        <v>0.99</v>
      </c>
      <c r="M20" s="5">
        <v>0.99380000000000002</v>
      </c>
      <c r="N20" s="6">
        <v>0.99</v>
      </c>
      <c r="O20" s="9">
        <v>0.99380000000000002</v>
      </c>
      <c r="Q20" s="45">
        <f t="shared" si="0"/>
        <v>3.534981629840761E-2</v>
      </c>
      <c r="R20" s="47">
        <f t="shared" si="1"/>
        <v>9.8179436804191278E-2</v>
      </c>
      <c r="S20" s="48">
        <f t="shared" si="9"/>
        <v>3.8000000000000256E-3</v>
      </c>
      <c r="T20" s="48">
        <f t="shared" si="10"/>
        <v>3.8000000000000256E-3</v>
      </c>
      <c r="U20" s="84">
        <v>-1.4454763331336152E-2</v>
      </c>
      <c r="V20" s="49">
        <v>-1.4200000000000001E-2</v>
      </c>
      <c r="X20" s="10">
        <f t="shared" si="6"/>
        <v>22104.56861201478</v>
      </c>
      <c r="Y20" s="25">
        <f t="shared" si="7"/>
        <v>20482.350000000002</v>
      </c>
      <c r="Z20" s="8"/>
      <c r="AA20" s="20">
        <v>1906.4087991600252</v>
      </c>
      <c r="AL20" s="15">
        <f t="shared" ref="AL20:AL32" si="12">Q20-R20</f>
        <v>-6.2829620505783668E-2</v>
      </c>
      <c r="AM20" s="29">
        <f t="shared" si="11"/>
        <v>0.75935853847259538</v>
      </c>
      <c r="AN20" s="29">
        <f t="shared" si="11"/>
        <v>0.71317627342549339</v>
      </c>
    </row>
    <row r="21" spans="1:40" ht="16.5" hidden="1" customHeight="1" x14ac:dyDescent="0.35">
      <c r="A21" s="11">
        <v>43555</v>
      </c>
      <c r="B21" s="4">
        <v>2662.8741337848301</v>
      </c>
      <c r="C21" s="3">
        <v>1913.85</v>
      </c>
      <c r="D21" s="22">
        <f>194.9/31</f>
        <v>6.2870967741935484</v>
      </c>
      <c r="E21" s="4">
        <v>6.3440000000000003</v>
      </c>
      <c r="F21" s="22">
        <f>214.3/31</f>
        <v>6.9129032258064518</v>
      </c>
      <c r="G21" s="3">
        <v>7.0110000000000001</v>
      </c>
      <c r="H21" s="5">
        <v>0.83044224394388844</v>
      </c>
      <c r="I21" s="38">
        <f>C21/G21/M21/31/14.949</f>
        <v>0.76550048375489976</v>
      </c>
      <c r="J21" s="5">
        <f>B21/24/12/31</f>
        <v>0.29826099168736897</v>
      </c>
      <c r="K21" s="38">
        <f>C21/(12*31*24)</f>
        <v>0.2143649193548387</v>
      </c>
      <c r="L21" s="5">
        <v>0.99</v>
      </c>
      <c r="M21" s="38">
        <v>0.76949999999999996</v>
      </c>
      <c r="N21" s="6">
        <v>0.99</v>
      </c>
      <c r="O21" s="44">
        <v>0.99719999999999998</v>
      </c>
      <c r="Q21" s="45">
        <f t="shared" si="0"/>
        <v>-0.28128409235783802</v>
      </c>
      <c r="R21" s="47">
        <f t="shared" si="1"/>
        <v>1.4190387307512875E-2</v>
      </c>
      <c r="S21" s="48">
        <f t="shared" si="9"/>
        <v>-0.22050000000000003</v>
      </c>
      <c r="T21" s="48">
        <f t="shared" si="10"/>
        <v>7.1999999999999842E-3</v>
      </c>
      <c r="U21" s="84">
        <v>-1.113464916812955E-2</v>
      </c>
      <c r="V21" s="49">
        <v>-1.4500000000000001E-2</v>
      </c>
      <c r="X21" s="10">
        <f t="shared" si="6"/>
        <v>24767.44274579961</v>
      </c>
      <c r="Y21" s="25">
        <f t="shared" si="7"/>
        <v>22396.2</v>
      </c>
      <c r="Z21" s="8"/>
      <c r="AL21" s="15">
        <f t="shared" si="12"/>
        <v>-0.2954744796653509</v>
      </c>
      <c r="AM21" s="29">
        <f t="shared" si="11"/>
        <v>0.83676212546520745</v>
      </c>
      <c r="AN21" s="29">
        <f t="shared" si="11"/>
        <v>0.76289778211013315</v>
      </c>
    </row>
    <row r="22" spans="1:40" ht="16.5" hidden="1" customHeight="1" x14ac:dyDescent="0.35">
      <c r="A22" s="30">
        <v>43585</v>
      </c>
      <c r="B22" s="31">
        <v>2481.3805314276301</v>
      </c>
      <c r="C22" s="31">
        <v>2443.75</v>
      </c>
      <c r="D22" s="31">
        <f>201.6/30</f>
        <v>6.72</v>
      </c>
      <c r="E22" s="32">
        <v>6.7480000000000002</v>
      </c>
      <c r="F22" s="31">
        <f>206.2/30</f>
        <v>6.8733333333333331</v>
      </c>
      <c r="G22" s="31">
        <v>7.14</v>
      </c>
      <c r="H22" s="79">
        <v>0.83044224394388844</v>
      </c>
      <c r="I22" s="79">
        <f>C22/G22/M22/30/14.949</f>
        <v>0.76616485467516626</v>
      </c>
      <c r="J22" s="33">
        <f>B22/24/12/30</f>
        <v>0.28719682076708686</v>
      </c>
      <c r="K22" s="33">
        <f>C22/(12*30*24)</f>
        <v>0.28284143518518517</v>
      </c>
      <c r="L22" s="33">
        <v>0.99</v>
      </c>
      <c r="M22" s="33">
        <v>0.99609999999999999</v>
      </c>
      <c r="N22" s="34">
        <v>0.99</v>
      </c>
      <c r="O22" s="35">
        <v>0.99809999999999999</v>
      </c>
      <c r="P22" s="36"/>
      <c r="Q22" s="50">
        <f t="shared" si="0"/>
        <v>-1.5165159454998967E-2</v>
      </c>
      <c r="R22" s="51">
        <f t="shared" si="1"/>
        <v>3.8797284190106751E-2</v>
      </c>
      <c r="S22" s="52">
        <f t="shared" si="9"/>
        <v>6.0999999999999943E-3</v>
      </c>
      <c r="T22" s="52">
        <f t="shared" si="10"/>
        <v>8.0999999999999961E-3</v>
      </c>
      <c r="U22" s="86">
        <v>-1.5787989850578603E-2</v>
      </c>
      <c r="V22" s="53">
        <v>-1.41E-2</v>
      </c>
      <c r="X22" s="14"/>
      <c r="Y22" s="7"/>
      <c r="Z22" s="8"/>
      <c r="AA22" s="20"/>
      <c r="AB22" s="20"/>
      <c r="AD22" s="42"/>
      <c r="AE22" s="28"/>
      <c r="AF22" s="28"/>
      <c r="AG22" s="28"/>
      <c r="AH22" s="28"/>
      <c r="AI22" s="29"/>
      <c r="AJ22" s="29"/>
      <c r="AL22">
        <f t="shared" si="12"/>
        <v>-5.3962443645105718E-2</v>
      </c>
      <c r="AM22" s="29">
        <f t="shared" si="11"/>
        <v>0.78421982454867822</v>
      </c>
      <c r="AN22" s="29">
        <f t="shared" si="11"/>
        <v>0.73892892984122982</v>
      </c>
    </row>
    <row r="23" spans="1:40" hidden="1" x14ac:dyDescent="0.35">
      <c r="A23" s="11">
        <v>43616</v>
      </c>
      <c r="B23" s="4">
        <v>2497.3519684350672</v>
      </c>
      <c r="C23" s="59">
        <v>2366.25</v>
      </c>
      <c r="D23" s="22">
        <f>D11</f>
        <v>6.8032258064516133</v>
      </c>
      <c r="E23" s="4">
        <v>6.81</v>
      </c>
      <c r="F23" s="22">
        <f>F11</f>
        <v>6.6</v>
      </c>
      <c r="G23" s="4">
        <v>6.734</v>
      </c>
      <c r="H23" s="38">
        <f>B23/F23/L23/31/15</f>
        <v>0.8219542997373761</v>
      </c>
      <c r="I23" s="38">
        <f>C23/G23/M23/31/15</f>
        <v>0.76780546918402448</v>
      </c>
      <c r="J23" s="5">
        <f>B23/24/12/31</f>
        <v>0.27972132262937582</v>
      </c>
      <c r="K23" s="38">
        <f>C23/(12*31*24)</f>
        <v>0.26503696236559138</v>
      </c>
      <c r="L23" s="5">
        <v>0.99</v>
      </c>
      <c r="M23" s="5">
        <v>0.98419999999999996</v>
      </c>
      <c r="N23" s="6">
        <v>0.99</v>
      </c>
      <c r="O23" s="9">
        <v>0.99150000000000005</v>
      </c>
      <c r="P23" s="56">
        <f t="shared" ref="P23:P25" si="13">Q23-R23</f>
        <v>-7.2799422518509793E-2</v>
      </c>
      <c r="Q23" s="45">
        <f t="shared" si="0"/>
        <v>-5.2496392215479526E-2</v>
      </c>
      <c r="R23" s="47">
        <f t="shared" si="1"/>
        <v>2.0303030303030267E-2</v>
      </c>
      <c r="S23" s="48">
        <f t="shared" si="9"/>
        <v>-5.8000000000000274E-3</v>
      </c>
      <c r="T23" s="48">
        <f t="shared" si="10"/>
        <v>1.5000000000000568E-3</v>
      </c>
      <c r="U23" s="84">
        <v>-1.4473136193252811E-2</v>
      </c>
      <c r="V23" s="49">
        <v>-1.52E-2</v>
      </c>
      <c r="X23" s="39"/>
      <c r="Y23" s="40"/>
      <c r="Z23" s="41"/>
      <c r="AL23" s="15">
        <f t="shared" si="12"/>
        <v>-7.2799422518509793E-2</v>
      </c>
    </row>
    <row r="24" spans="1:40" hidden="1" x14ac:dyDescent="0.35">
      <c r="A24" s="11">
        <v>43646</v>
      </c>
      <c r="B24" s="4">
        <v>2058.86</v>
      </c>
      <c r="C24" s="59">
        <v>2042.35</v>
      </c>
      <c r="D24" s="21">
        <f>171.9/30</f>
        <v>5.73</v>
      </c>
      <c r="E24" s="3">
        <v>6.34</v>
      </c>
      <c r="F24" s="21">
        <v>5.42</v>
      </c>
      <c r="G24" s="3">
        <v>5.63</v>
      </c>
      <c r="H24" s="38">
        <f>B24/F24/L24/30/15</f>
        <v>0.85266771859637802</v>
      </c>
      <c r="I24" s="38">
        <f>C24/G24/M24/30/15</f>
        <v>0.80751052198249551</v>
      </c>
      <c r="J24" s="5">
        <f>B24/24/12/30</f>
        <v>0.23829398148148151</v>
      </c>
      <c r="K24" s="38">
        <f>C24/(12*30*24)</f>
        <v>0.23638310185185185</v>
      </c>
      <c r="L24" s="5">
        <v>0.99</v>
      </c>
      <c r="M24" s="5">
        <v>0.99829999999999997</v>
      </c>
      <c r="N24" s="6">
        <v>0.99</v>
      </c>
      <c r="O24" s="9">
        <v>0.99850000000000005</v>
      </c>
      <c r="P24" s="56">
        <f t="shared" si="13"/>
        <v>-4.6764388260146061E-2</v>
      </c>
      <c r="Q24" s="45">
        <f t="shared" si="0"/>
        <v>-8.0190008062714924E-3</v>
      </c>
      <c r="R24" s="47">
        <f t="shared" si="1"/>
        <v>3.8745387453874569E-2</v>
      </c>
      <c r="S24" s="48">
        <f t="shared" si="9"/>
        <v>8.2999999999999741E-3</v>
      </c>
      <c r="T24" s="48">
        <f t="shared" si="10"/>
        <v>8.5000000000000631E-3</v>
      </c>
      <c r="U24" s="84">
        <v>-1.4595194441763319E-2</v>
      </c>
      <c r="V24" s="49">
        <v>-1.2500000000000001E-2</v>
      </c>
      <c r="X24" s="39"/>
      <c r="Y24" s="40"/>
      <c r="Z24" s="41"/>
      <c r="AL24" s="15">
        <f t="shared" si="12"/>
        <v>-4.6764388260146061E-2</v>
      </c>
    </row>
    <row r="25" spans="1:40" hidden="1" x14ac:dyDescent="0.35">
      <c r="A25" s="11">
        <v>43677</v>
      </c>
      <c r="B25" s="4">
        <v>1666.8372440485211</v>
      </c>
      <c r="C25" s="59">
        <v>1726.55</v>
      </c>
      <c r="D25" s="22">
        <f>D13</f>
        <v>4.3419354838709676</v>
      </c>
      <c r="E25" s="22">
        <v>4.79</v>
      </c>
      <c r="F25" s="22">
        <f>F13</f>
        <v>4.1225806451612899</v>
      </c>
      <c r="G25" s="22">
        <v>4.47</v>
      </c>
      <c r="H25" s="38">
        <f>B25/F25/L25/31/15</f>
        <v>0.87828585492300226</v>
      </c>
      <c r="I25" s="38">
        <f>C25/G25/M25/31/15</f>
        <v>0.83566516609459263</v>
      </c>
      <c r="J25" s="5">
        <f>B25/24/12/31</f>
        <v>0.18669771998751358</v>
      </c>
      <c r="K25" s="38">
        <f>C25/(12*31*24)</f>
        <v>0.19338597670250895</v>
      </c>
      <c r="L25" s="5">
        <v>0.99</v>
      </c>
      <c r="M25" s="5">
        <v>0.99399999999999999</v>
      </c>
      <c r="N25" s="6">
        <v>0.99</v>
      </c>
      <c r="O25" s="9">
        <v>0.99399999999999999</v>
      </c>
      <c r="P25" s="56">
        <f t="shared" si="13"/>
        <v>-4.8448313355754058E-2</v>
      </c>
      <c r="Q25" s="45">
        <f t="shared" si="0"/>
        <v>3.5823987113729583E-2</v>
      </c>
      <c r="R25" s="47">
        <f t="shared" si="1"/>
        <v>8.4272300469483641E-2</v>
      </c>
      <c r="S25" s="48">
        <f t="shared" ref="S25:S35" si="14">M25-L25</f>
        <v>4.0000000000000036E-3</v>
      </c>
      <c r="T25" s="48">
        <f t="shared" ref="T25:T35" si="15">O25-N25</f>
        <v>4.0000000000000036E-3</v>
      </c>
      <c r="U25" s="84">
        <v>-1.1932013276868568E-2</v>
      </c>
      <c r="V25" s="49">
        <v>-4.8999999999999998E-3</v>
      </c>
      <c r="X25" s="39"/>
      <c r="Y25" s="40"/>
      <c r="Z25" s="41"/>
      <c r="AL25" s="15">
        <f t="shared" si="12"/>
        <v>-4.8448313355754058E-2</v>
      </c>
    </row>
    <row r="26" spans="1:40" hidden="1" x14ac:dyDescent="0.35">
      <c r="A26" s="11">
        <v>43708</v>
      </c>
      <c r="B26" s="4">
        <v>1321.2734251604131</v>
      </c>
      <c r="C26" s="59">
        <v>1338.8</v>
      </c>
      <c r="D26" s="22">
        <f>104.7/31</f>
        <v>3.3774193548387097</v>
      </c>
      <c r="E26" s="3">
        <v>3.63</v>
      </c>
      <c r="F26" s="22">
        <f>101.7/31</f>
        <v>3.2806451612903227</v>
      </c>
      <c r="G26" s="3">
        <v>3.51</v>
      </c>
      <c r="H26" s="38">
        <f>B26/F26/L26/31/15</f>
        <v>0.87487356366709579</v>
      </c>
      <c r="I26" s="38">
        <f>C26/G26/M26/31/15</f>
        <v>0.83140862051381292</v>
      </c>
      <c r="J26" s="5">
        <f>B26/24/12/31</f>
        <v>0.14799209511205344</v>
      </c>
      <c r="K26" s="38">
        <f>C26/(12*31*24)</f>
        <v>0.14995519713261649</v>
      </c>
      <c r="L26" s="5">
        <v>0.99</v>
      </c>
      <c r="M26" s="5">
        <v>0.98660000000000003</v>
      </c>
      <c r="N26" s="6">
        <v>0.99</v>
      </c>
      <c r="O26" s="9">
        <v>0.99019999999999997</v>
      </c>
      <c r="Q26" s="45">
        <f t="shared" si="0"/>
        <v>1.3264911339194496E-2</v>
      </c>
      <c r="R26" s="47">
        <f t="shared" si="1"/>
        <v>6.991150442477867E-2</v>
      </c>
      <c r="S26" s="48">
        <f t="shared" si="14"/>
        <v>-3.3999999999999586E-3</v>
      </c>
      <c r="T26" s="48">
        <f t="shared" si="15"/>
        <v>1.9999999999997797E-4</v>
      </c>
      <c r="U26" s="84">
        <v>-1.0568324587983118E-2</v>
      </c>
      <c r="V26" s="49">
        <v>-8.9999999999999998E-4</v>
      </c>
      <c r="X26" s="39"/>
      <c r="Y26" s="40"/>
      <c r="Z26" s="41"/>
      <c r="AL26" s="15">
        <f t="shared" si="12"/>
        <v>-5.6646593085584174E-2</v>
      </c>
    </row>
    <row r="27" spans="1:40" hidden="1" x14ac:dyDescent="0.35">
      <c r="A27" s="11">
        <v>43738</v>
      </c>
      <c r="B27" s="4">
        <v>2039.87528244133</v>
      </c>
      <c r="C27" s="59">
        <v>1197.55</v>
      </c>
      <c r="D27" s="22">
        <f>150/30</f>
        <v>5</v>
      </c>
      <c r="E27" s="4">
        <v>3.3616666666666664</v>
      </c>
      <c r="F27" s="22">
        <v>5.2366666666666664</v>
      </c>
      <c r="G27" s="4">
        <v>3.3296666666666668</v>
      </c>
      <c r="H27" s="38">
        <f>B27/F27/L27/30/15</f>
        <v>0.87438153332233015</v>
      </c>
      <c r="I27" s="38">
        <f>C27/G27/M27/30/15</f>
        <v>0.82438972365906438</v>
      </c>
      <c r="J27" s="5">
        <f>B27/24/12/30</f>
        <v>0.23609667620848726</v>
      </c>
      <c r="K27" s="38">
        <f>C27/(12*30*24)</f>
        <v>0.13860532407407408</v>
      </c>
      <c r="L27" s="5">
        <v>0.99</v>
      </c>
      <c r="M27" s="5">
        <v>0.96950000000000003</v>
      </c>
      <c r="N27" s="6">
        <v>0.99</v>
      </c>
      <c r="O27" s="9">
        <v>0.99760000000000004</v>
      </c>
      <c r="P27" s="56">
        <f>Q27-R27</f>
        <v>-4.8766841583531617E-2</v>
      </c>
      <c r="Q27" s="45">
        <f t="shared" si="0"/>
        <v>-0.41292979511631323</v>
      </c>
      <c r="R27" s="47">
        <f t="shared" si="1"/>
        <v>-0.36416295353278161</v>
      </c>
      <c r="S27" s="48">
        <f t="shared" si="14"/>
        <v>-2.0499999999999963E-2</v>
      </c>
      <c r="T27" s="48">
        <f t="shared" si="15"/>
        <v>7.6000000000000512E-3</v>
      </c>
      <c r="U27" s="84">
        <v>-9.5931194177968169E-3</v>
      </c>
      <c r="V27" s="49">
        <v>-8.0000000000000002E-3</v>
      </c>
      <c r="X27" s="39"/>
      <c r="Y27" s="40"/>
      <c r="Z27" s="41"/>
      <c r="AL27" s="15">
        <f t="shared" si="12"/>
        <v>-4.8766841583531617E-2</v>
      </c>
      <c r="AM27" s="29"/>
    </row>
    <row r="28" spans="1:40" hidden="1" x14ac:dyDescent="0.35">
      <c r="A28" s="11">
        <v>43769</v>
      </c>
      <c r="B28" s="4">
        <v>2219.0144715509059</v>
      </c>
      <c r="C28" s="59">
        <f>1910850/1000</f>
        <v>1910.85</v>
      </c>
      <c r="D28" s="22">
        <f>155.7/31</f>
        <v>5.0225806451612902</v>
      </c>
      <c r="E28" s="54">
        <v>4.7560967741935478</v>
      </c>
      <c r="F28" s="22">
        <f>179.2/31</f>
        <v>5.7806451612903222</v>
      </c>
      <c r="G28" s="60">
        <v>5.3114193548387094</v>
      </c>
      <c r="H28" s="38">
        <f>B28/F28/L28/31/15</f>
        <v>0.83386486575235474</v>
      </c>
      <c r="I28" s="38">
        <f>C28/G28/M28/31/15</f>
        <v>0.77671217333398357</v>
      </c>
      <c r="J28" s="5">
        <f>B28/24/12/31</f>
        <v>0.24854552772747604</v>
      </c>
      <c r="K28" s="38">
        <f>C28/(12*31*24)</f>
        <v>0.21402889784946236</v>
      </c>
      <c r="L28" s="5">
        <v>0.99</v>
      </c>
      <c r="M28" s="38">
        <v>0.99609999999999999</v>
      </c>
      <c r="N28" s="55">
        <v>0.99</v>
      </c>
      <c r="O28" s="44">
        <v>0.99850000000000005</v>
      </c>
      <c r="Q28" s="45">
        <f t="shared" si="0"/>
        <v>-0.13887447580976109</v>
      </c>
      <c r="R28" s="47">
        <f t="shared" si="1"/>
        <v>-8.1171875000000004E-2</v>
      </c>
      <c r="S28" s="48">
        <f t="shared" si="14"/>
        <v>6.0999999999999943E-3</v>
      </c>
      <c r="T28" s="48">
        <f t="shared" si="15"/>
        <v>8.5000000000000631E-3</v>
      </c>
      <c r="U28" s="84">
        <v>-1.299070247933889E-2</v>
      </c>
      <c r="V28" s="49">
        <v>-1.43E-2</v>
      </c>
      <c r="X28" s="39"/>
      <c r="Y28" s="40"/>
      <c r="Z28" s="41"/>
      <c r="AL28" s="15">
        <f t="shared" si="12"/>
        <v>-5.7702600809761084E-2</v>
      </c>
      <c r="AM28" s="29"/>
    </row>
    <row r="29" spans="1:40" hidden="1" x14ac:dyDescent="0.35">
      <c r="A29" s="11">
        <v>43799</v>
      </c>
      <c r="B29" s="54">
        <v>2026.8732445220851</v>
      </c>
      <c r="C29" s="54">
        <v>1639.1</v>
      </c>
      <c r="D29" s="22">
        <v>4.3033333333333328</v>
      </c>
      <c r="E29" s="54">
        <v>3.9560000000000004</v>
      </c>
      <c r="F29" s="54">
        <v>5.3233333333333333</v>
      </c>
      <c r="G29" s="54">
        <v>4.573666666666667</v>
      </c>
      <c r="H29" s="38">
        <f>B29/F29/L29/30/15</f>
        <v>0.8546636241446337</v>
      </c>
      <c r="I29" s="38">
        <f>C29/G29/M29/30/15</f>
        <v>0.81347785555802632</v>
      </c>
      <c r="J29" s="5">
        <f>B29/24/12/30</f>
        <v>0.23459181070857466</v>
      </c>
      <c r="K29" s="38">
        <f>C29/(12*30*24)</f>
        <v>0.18971064814814814</v>
      </c>
      <c r="L29" s="5">
        <v>0.99</v>
      </c>
      <c r="M29" s="5">
        <v>0.97899999999999998</v>
      </c>
      <c r="N29" s="6">
        <v>0.99</v>
      </c>
      <c r="O29" s="9">
        <v>0.98119999999999996</v>
      </c>
      <c r="Q29" s="45">
        <f t="shared" si="0"/>
        <v>-0.19131598168267194</v>
      </c>
      <c r="R29" s="47">
        <f t="shared" si="1"/>
        <v>-0.14082654978083897</v>
      </c>
      <c r="S29" s="48">
        <f t="shared" si="14"/>
        <v>-1.100000000000001E-2</v>
      </c>
      <c r="T29" s="48">
        <f t="shared" si="15"/>
        <v>-8.80000000000003E-3</v>
      </c>
      <c r="U29" s="84">
        <v>-1.1458898739521139E-2</v>
      </c>
      <c r="V29" s="49">
        <v>-1.47E-2</v>
      </c>
      <c r="X29" s="39"/>
      <c r="Y29" s="40"/>
      <c r="Z29" s="41"/>
      <c r="AL29" s="15">
        <f t="shared" si="12"/>
        <v>-5.0489431901832971E-2</v>
      </c>
    </row>
    <row r="30" spans="1:40" hidden="1" x14ac:dyDescent="0.35">
      <c r="A30" s="11">
        <v>43830</v>
      </c>
      <c r="B30" s="54">
        <v>1820.29</v>
      </c>
      <c r="C30" s="54">
        <v>1646.6</v>
      </c>
      <c r="D30" s="22">
        <f>112.3/31</f>
        <v>3.6225806451612903</v>
      </c>
      <c r="E30" s="54">
        <v>3.7274193548387098</v>
      </c>
      <c r="F30" s="54">
        <v>4.5870967741935482</v>
      </c>
      <c r="G30" s="54">
        <v>4.4261290322580651</v>
      </c>
      <c r="H30" s="38">
        <f>B30/F30/L30/31/15</f>
        <v>0.86201442460232902</v>
      </c>
      <c r="I30" s="38">
        <f>C30/G30/M30/31/15</f>
        <v>0.8118101165488113</v>
      </c>
      <c r="J30" s="5">
        <f>B30/24/12/31</f>
        <v>0.20388552867383511</v>
      </c>
      <c r="K30" s="38">
        <f>C30/(12*31*24)</f>
        <v>0.18443100358422937</v>
      </c>
      <c r="L30" s="5">
        <v>0.99</v>
      </c>
      <c r="M30" s="5">
        <v>0.98550000000000004</v>
      </c>
      <c r="N30" s="6">
        <v>0.99</v>
      </c>
      <c r="O30" s="9">
        <v>0.99880000000000002</v>
      </c>
      <c r="Q30" s="45">
        <f t="shared" si="0"/>
        <v>-9.541886182970849E-2</v>
      </c>
      <c r="R30" s="47">
        <f t="shared" si="1"/>
        <v>-3.5091420534458351E-2</v>
      </c>
      <c r="S30" s="48">
        <f t="shared" si="14"/>
        <v>-4.4999999999999485E-3</v>
      </c>
      <c r="T30" s="48">
        <f t="shared" si="15"/>
        <v>8.80000000000003E-3</v>
      </c>
      <c r="U30" s="84">
        <v>-1.1288579320283524E-2</v>
      </c>
      <c r="V30" s="49">
        <v>-1.44E-2</v>
      </c>
      <c r="X30" s="39"/>
      <c r="Y30" s="40"/>
      <c r="Z30" s="41"/>
      <c r="AL30" s="15">
        <f t="shared" si="12"/>
        <v>-6.0327441295250139E-2</v>
      </c>
    </row>
    <row r="31" spans="1:40" hidden="1" x14ac:dyDescent="0.35">
      <c r="A31" s="11">
        <v>43861</v>
      </c>
      <c r="B31" s="4">
        <v>1990.76</v>
      </c>
      <c r="C31" s="54">
        <v>1823.25</v>
      </c>
      <c r="D31" s="22">
        <v>4.0129032258064514</v>
      </c>
      <c r="E31" s="3">
        <v>4.07</v>
      </c>
      <c r="F31" s="22">
        <v>5.0451612903225804</v>
      </c>
      <c r="G31" s="3">
        <v>4.87</v>
      </c>
      <c r="H31" s="38">
        <f>B31/F31/L31/31/15</f>
        <v>0.8571477778638904</v>
      </c>
      <c r="I31" s="38">
        <f>C31/G31/M31/31/15</f>
        <v>0.81383487960509782</v>
      </c>
      <c r="J31" s="5">
        <f>B31/24/12/31</f>
        <v>0.22297939068100359</v>
      </c>
      <c r="K31" s="38">
        <f>C31/(12*31*24)</f>
        <v>0.20421706989247312</v>
      </c>
      <c r="L31" s="5">
        <v>0.99</v>
      </c>
      <c r="M31" s="5">
        <v>0.98929999999999996</v>
      </c>
      <c r="N31" s="6">
        <v>0.99</v>
      </c>
      <c r="O31" s="9">
        <v>0.98939999999999995</v>
      </c>
      <c r="Q31" s="45">
        <f t="shared" si="0"/>
        <v>-8.414374409773151E-2</v>
      </c>
      <c r="R31" s="47">
        <f t="shared" si="1"/>
        <v>-3.4718670076726244E-2</v>
      </c>
      <c r="S31" s="48">
        <f t="shared" si="14"/>
        <v>-7.0000000000003393E-4</v>
      </c>
      <c r="T31" s="48">
        <f t="shared" si="15"/>
        <v>-6.0000000000004494E-4</v>
      </c>
      <c r="U31" s="84">
        <v>-1.3633412681237852E-2</v>
      </c>
      <c r="V31" s="49">
        <v>-1.46E-2</v>
      </c>
      <c r="X31" s="39"/>
      <c r="Y31" s="40"/>
      <c r="Z31" s="41"/>
      <c r="AL31" s="15">
        <f t="shared" si="12"/>
        <v>-4.9425074021005266E-2</v>
      </c>
    </row>
    <row r="32" spans="1:40" hidden="1" x14ac:dyDescent="0.35">
      <c r="A32" s="11">
        <v>43890</v>
      </c>
      <c r="B32" s="4">
        <v>1896.8528653296491</v>
      </c>
      <c r="C32" s="54">
        <v>2178.4</v>
      </c>
      <c r="D32" s="22">
        <v>4.6571428571428575</v>
      </c>
      <c r="E32" s="3">
        <v>5.47</v>
      </c>
      <c r="F32" s="22">
        <v>5.45</v>
      </c>
      <c r="G32" s="3">
        <v>6.53</v>
      </c>
      <c r="H32" s="38">
        <f>B32/F32/L32/29/15</f>
        <v>0.80818854593798328</v>
      </c>
      <c r="I32" s="38">
        <f>C32/G32/M32/29/15</f>
        <v>0.76927849871416454</v>
      </c>
      <c r="J32" s="5">
        <f>B32/24/12/29</f>
        <v>0.22711360935460359</v>
      </c>
      <c r="K32" s="38">
        <f>C32/(12*29*24)</f>
        <v>0.26082375478927206</v>
      </c>
      <c r="L32" s="5">
        <v>0.99</v>
      </c>
      <c r="M32" s="5">
        <v>0.99690000000000001</v>
      </c>
      <c r="N32" s="6">
        <v>0.99</v>
      </c>
      <c r="O32" s="9">
        <v>0.99790000000000001</v>
      </c>
      <c r="Q32" s="45">
        <f t="shared" si="0"/>
        <v>0.14842855754203255</v>
      </c>
      <c r="R32" s="47">
        <f t="shared" si="1"/>
        <v>0.19816513761467891</v>
      </c>
      <c r="S32" s="48">
        <f t="shared" si="14"/>
        <v>6.9000000000000172E-3</v>
      </c>
      <c r="T32" s="48">
        <f t="shared" si="15"/>
        <v>7.9000000000000181E-3</v>
      </c>
      <c r="U32" s="84">
        <v>-1.6235379126586402E-2</v>
      </c>
      <c r="V32" s="49">
        <v>-1.11E-2</v>
      </c>
      <c r="X32" s="39"/>
      <c r="Y32" s="40"/>
      <c r="Z32" s="41"/>
      <c r="AL32" s="15">
        <f t="shared" si="12"/>
        <v>-4.9736580072646364E-2</v>
      </c>
    </row>
    <row r="33" spans="1:43" ht="14.15" hidden="1" customHeight="1" x14ac:dyDescent="0.35">
      <c r="A33" s="11">
        <v>43921</v>
      </c>
      <c r="B33" s="4">
        <v>2649.53</v>
      </c>
      <c r="C33" s="54">
        <v>2346.4499999999998</v>
      </c>
      <c r="D33" s="22">
        <v>6.2870967741935484</v>
      </c>
      <c r="E33" s="22">
        <v>6</v>
      </c>
      <c r="F33" s="22">
        <v>6.9129032258064518</v>
      </c>
      <c r="G33" s="3">
        <v>6.49</v>
      </c>
      <c r="H33" s="38">
        <f>B33/F33/L33/31/15</f>
        <v>0.8325689622936473</v>
      </c>
      <c r="I33" s="38">
        <f>C33/G33/M33/31/15</f>
        <v>0.77853583036345764</v>
      </c>
      <c r="J33" s="5">
        <f>B33/24/12/31</f>
        <v>0.29676635304659499</v>
      </c>
      <c r="K33" s="38">
        <f>C33/(12*31*24)</f>
        <v>0.26281922043010753</v>
      </c>
      <c r="L33" s="5">
        <v>0.99</v>
      </c>
      <c r="M33" s="5">
        <v>0.99870000000000003</v>
      </c>
      <c r="N33" s="6">
        <v>0.99</v>
      </c>
      <c r="O33" s="9">
        <v>1</v>
      </c>
      <c r="P33" s="56">
        <f t="shared" ref="P33" si="16">Q33-R33</f>
        <v>-5.3214177770889548E-2</v>
      </c>
      <c r="Q33" s="45">
        <f t="shared" si="0"/>
        <v>-0.11439009937611588</v>
      </c>
      <c r="R33" s="47">
        <f t="shared" si="1"/>
        <v>-6.1175921605226335E-2</v>
      </c>
      <c r="S33" s="48">
        <f t="shared" si="14"/>
        <v>8.700000000000041E-3</v>
      </c>
      <c r="T33" s="48">
        <f t="shared" si="15"/>
        <v>1.0000000000000009E-2</v>
      </c>
      <c r="U33" s="84">
        <v>-1.517250062956438E-2</v>
      </c>
      <c r="V33" s="49">
        <v>-1.14E-2</v>
      </c>
      <c r="X33" s="39"/>
      <c r="Y33" s="40"/>
      <c r="Z33" s="41"/>
      <c r="AL33" s="15">
        <f>Q33-R33</f>
        <v>-5.3214177770889548E-2</v>
      </c>
    </row>
    <row r="34" spans="1:43" ht="16.5" hidden="1" customHeight="1" x14ac:dyDescent="0.35">
      <c r="A34" s="30">
        <v>43951</v>
      </c>
      <c r="B34" s="31">
        <v>2468.94</v>
      </c>
      <c r="C34" s="31">
        <v>2341.85</v>
      </c>
      <c r="D34" s="31">
        <f>201.6/30</f>
        <v>6.72</v>
      </c>
      <c r="E34" s="32">
        <v>6.65</v>
      </c>
      <c r="F34" s="31">
        <f>206.2/30</f>
        <v>6.8733333333333331</v>
      </c>
      <c r="G34" s="31">
        <v>6.7</v>
      </c>
      <c r="H34" s="79">
        <f>B34/F34/L34/30/15</f>
        <v>0.80629770057510119</v>
      </c>
      <c r="I34" s="79">
        <f>C34/G34/M34/30/15</f>
        <v>0.78568986613228264</v>
      </c>
      <c r="J34" s="33">
        <f>B34/24/12/30</f>
        <v>0.28575694444444444</v>
      </c>
      <c r="K34" s="33">
        <f>C34/(12*30*24)</f>
        <v>0.2710474537037037</v>
      </c>
      <c r="L34" s="33">
        <v>0.99</v>
      </c>
      <c r="M34" s="33">
        <v>0.98860000000000003</v>
      </c>
      <c r="N34" s="34">
        <v>0.99</v>
      </c>
      <c r="O34" s="35">
        <v>0.98880000000000001</v>
      </c>
      <c r="P34" s="36"/>
      <c r="Q34" s="50">
        <f t="shared" si="0"/>
        <v>-5.1475532009688463E-2</v>
      </c>
      <c r="R34" s="51">
        <f t="shared" si="1"/>
        <v>-2.5218234723569322E-2</v>
      </c>
      <c r="S34" s="52">
        <f t="shared" si="14"/>
        <v>-1.3999999999999568E-3</v>
      </c>
      <c r="T34" s="52">
        <f t="shared" si="15"/>
        <v>-1.1999999999999789E-3</v>
      </c>
      <c r="U34" s="86">
        <v>-1.5926377274446582E-2</v>
      </c>
      <c r="V34" s="53">
        <v>-1.26E-2</v>
      </c>
      <c r="X34" s="14"/>
      <c r="Y34" s="7"/>
      <c r="Z34" s="8"/>
      <c r="AA34" s="20"/>
      <c r="AB34" s="20"/>
      <c r="AD34" s="42"/>
      <c r="AE34" s="28"/>
      <c r="AF34" s="28"/>
      <c r="AG34" s="28"/>
      <c r="AH34" s="28"/>
      <c r="AI34" s="29"/>
      <c r="AJ34" s="29"/>
      <c r="AL34">
        <f t="shared" ref="AL34:AL44" si="17">Q34-R34</f>
        <v>-2.6257297286119141E-2</v>
      </c>
      <c r="AM34" s="29"/>
      <c r="AN34" s="29"/>
    </row>
    <row r="35" spans="1:43" hidden="1" x14ac:dyDescent="0.35">
      <c r="A35" s="11">
        <v>43982</v>
      </c>
      <c r="B35" s="4">
        <v>2484.8339134554426</v>
      </c>
      <c r="C35" s="54">
        <v>2463.5500000000002</v>
      </c>
      <c r="D35" s="22">
        <f>210.9/31</f>
        <v>6.8032258064516133</v>
      </c>
      <c r="E35" s="3">
        <v>7.18</v>
      </c>
      <c r="F35" s="22">
        <f>204.6/31</f>
        <v>6.6</v>
      </c>
      <c r="G35" s="3">
        <v>6.78</v>
      </c>
      <c r="H35" s="5">
        <f>B35/F35/L35/31/15</f>
        <v>0.81783422805949457</v>
      </c>
      <c r="I35" s="5">
        <f>C35/G35/M35/31/15</f>
        <v>0.78242674019696279</v>
      </c>
      <c r="J35" s="5">
        <f>B35/24/12/31</f>
        <v>0.27831921073649668</v>
      </c>
      <c r="K35" s="5">
        <f>C35/(12*31*24)</f>
        <v>0.27593525985663087</v>
      </c>
      <c r="L35" s="5">
        <v>0.99</v>
      </c>
      <c r="M35" s="5">
        <v>0.99870000000000003</v>
      </c>
      <c r="N35" s="6">
        <v>0.99</v>
      </c>
      <c r="O35" s="9">
        <v>0.99890000000000001</v>
      </c>
      <c r="P35" s="56">
        <f t="shared" ref="P35:P37" si="18">Q35-R35</f>
        <v>-3.5838254868028385E-2</v>
      </c>
      <c r="Q35" s="61">
        <f t="shared" ref="Q35:Q69" si="19">C35/B35-1</f>
        <v>-8.5655275953010479E-3</v>
      </c>
      <c r="R35" s="48">
        <f t="shared" si="1"/>
        <v>2.7272727272727337E-2</v>
      </c>
      <c r="S35" s="48">
        <f t="shared" si="14"/>
        <v>8.700000000000041E-3</v>
      </c>
      <c r="T35" s="48">
        <f t="shared" si="15"/>
        <v>8.900000000000019E-3</v>
      </c>
      <c r="U35" s="84">
        <v>-1.2882157310574403E-2</v>
      </c>
      <c r="V35" s="49">
        <v>-1.2500000000000001E-2</v>
      </c>
      <c r="X35" s="39"/>
      <c r="Y35" s="40"/>
      <c r="Z35" s="41"/>
      <c r="AL35" s="15">
        <f t="shared" si="17"/>
        <v>-3.5838254868028385E-2</v>
      </c>
      <c r="AM35" s="63"/>
      <c r="AN35" s="62"/>
      <c r="AO35" s="62"/>
      <c r="AP35" s="28"/>
      <c r="AQ35" s="28"/>
    </row>
    <row r="36" spans="1:43" hidden="1" x14ac:dyDescent="0.35">
      <c r="A36" s="11">
        <v>44012</v>
      </c>
      <c r="B36" s="4">
        <v>2048.543307720824</v>
      </c>
      <c r="C36" s="54">
        <v>1912.35</v>
      </c>
      <c r="D36" s="21">
        <f>171.9/30</f>
        <v>5.73</v>
      </c>
      <c r="E36" s="3">
        <v>5.65</v>
      </c>
      <c r="F36" s="21">
        <f>162.6/30</f>
        <v>5.42</v>
      </c>
      <c r="G36" s="3">
        <v>5.27</v>
      </c>
      <c r="H36" s="5">
        <f>B36/F36/L36/30/15</f>
        <v>0.84839510634049553</v>
      </c>
      <c r="I36" s="5">
        <f>C36/G36/M36/30/15</f>
        <v>0.81908416637514625</v>
      </c>
      <c r="J36" s="5">
        <f>B36/24/12/30</f>
        <v>0.23709991987509538</v>
      </c>
      <c r="K36" s="5">
        <f>C36/(12*30*24)</f>
        <v>0.22133680555555554</v>
      </c>
      <c r="L36" s="5">
        <v>0.99</v>
      </c>
      <c r="M36" s="5">
        <v>0.98450000000000004</v>
      </c>
      <c r="N36" s="6">
        <v>0.99</v>
      </c>
      <c r="O36" s="9">
        <v>0.9889</v>
      </c>
      <c r="P36" s="56">
        <f t="shared" si="18"/>
        <v>-3.8807724708573521E-2</v>
      </c>
      <c r="Q36" s="45">
        <f t="shared" si="19"/>
        <v>-6.6483001461341118E-2</v>
      </c>
      <c r="R36" s="47">
        <f t="shared" si="1"/>
        <v>-2.7675276752767597E-2</v>
      </c>
      <c r="S36" s="48">
        <f t="shared" ref="S36:S39" si="20">M36-L36</f>
        <v>-5.4999999999999494E-3</v>
      </c>
      <c r="T36" s="48">
        <f t="shared" ref="T36:T39" si="21">O36-N36</f>
        <v>-1.0999999999999899E-3</v>
      </c>
      <c r="U36" s="84">
        <v>-1.2878748774067025E-2</v>
      </c>
      <c r="V36" s="49">
        <v>-9.7000000000000003E-3</v>
      </c>
      <c r="X36" s="39"/>
      <c r="Y36" s="40"/>
      <c r="Z36" s="41"/>
      <c r="AL36" s="15">
        <f t="shared" si="17"/>
        <v>-3.8807724708573521E-2</v>
      </c>
      <c r="AM36" s="63"/>
      <c r="AN36" s="62"/>
      <c r="AO36" s="62"/>
      <c r="AP36" s="28"/>
      <c r="AQ36" s="28"/>
    </row>
    <row r="37" spans="1:43" hidden="1" x14ac:dyDescent="0.35">
      <c r="A37" s="11">
        <v>44043</v>
      </c>
      <c r="B37" s="4">
        <v>1658.482170143516</v>
      </c>
      <c r="C37" s="54">
        <v>1955.95</v>
      </c>
      <c r="D37" s="22">
        <f>134.6/31</f>
        <v>4.3419354838709676</v>
      </c>
      <c r="E37" s="3">
        <v>5.41</v>
      </c>
      <c r="F37" s="22">
        <f>127.8/31</f>
        <v>4.1225806451612899</v>
      </c>
      <c r="G37" s="3">
        <v>5.09</v>
      </c>
      <c r="H37" s="5">
        <f>B37/F37/L37/31/15</f>
        <v>0.87388341955997961</v>
      </c>
      <c r="I37" s="5">
        <f>C37/G37/M37/31/15</f>
        <v>0.82763518283742021</v>
      </c>
      <c r="J37" s="5">
        <f>B37/24/12/31</f>
        <v>0.18576189181715008</v>
      </c>
      <c r="K37" s="5">
        <f>C37/24/12/31</f>
        <v>0.21908042114695342</v>
      </c>
      <c r="L37" s="5">
        <v>0.99</v>
      </c>
      <c r="M37" s="5">
        <v>0.99850000000000005</v>
      </c>
      <c r="N37" s="6">
        <v>0.99</v>
      </c>
      <c r="O37" s="9">
        <v>0.99850000000000005</v>
      </c>
      <c r="P37" s="56">
        <f t="shared" si="18"/>
        <v>-5.5302048777374324E-2</v>
      </c>
      <c r="Q37" s="45">
        <f t="shared" si="19"/>
        <v>0.17936148799883855</v>
      </c>
      <c r="R37" s="47">
        <f t="shared" si="1"/>
        <v>0.23466353677621288</v>
      </c>
      <c r="S37" s="48">
        <f t="shared" si="20"/>
        <v>8.5000000000000631E-3</v>
      </c>
      <c r="T37" s="48">
        <f t="shared" si="21"/>
        <v>8.5000000000000631E-3</v>
      </c>
      <c r="U37" s="84">
        <v>-1.3342413236481056E-2</v>
      </c>
      <c r="V37" s="49">
        <v>-1.9E-3</v>
      </c>
      <c r="X37" s="39"/>
      <c r="Y37" s="40"/>
      <c r="Z37" s="41"/>
      <c r="AL37" s="15">
        <f t="shared" si="17"/>
        <v>-5.5302048777374324E-2</v>
      </c>
      <c r="AM37" s="63"/>
      <c r="AN37" s="62"/>
      <c r="AO37" s="62"/>
      <c r="AP37" s="28"/>
      <c r="AQ37" s="28"/>
    </row>
    <row r="38" spans="1:43" hidden="1" x14ac:dyDescent="0.35">
      <c r="A38" s="11">
        <v>44074</v>
      </c>
      <c r="B38" s="4">
        <v>1314.6505007235189</v>
      </c>
      <c r="C38" s="54">
        <v>1427</v>
      </c>
      <c r="D38" s="22">
        <f>104.7/31</f>
        <v>3.3774193548387097</v>
      </c>
      <c r="E38" s="3">
        <v>3.77</v>
      </c>
      <c r="F38" s="22">
        <f>101.7/31</f>
        <v>3.2806451612903227</v>
      </c>
      <c r="G38" s="3">
        <v>3.67</v>
      </c>
      <c r="H38" s="5">
        <f>B38/F38/L38/31/15</f>
        <v>0.87048823252089491</v>
      </c>
      <c r="I38" s="5">
        <f>C38/G38/M38/31/15</f>
        <v>0.83921113400642178</v>
      </c>
      <c r="J38" s="5">
        <f>B38/24/12/31</f>
        <v>0.14725028009896046</v>
      </c>
      <c r="K38" s="5">
        <f>C38/24/12/31</f>
        <v>0.15983422939068101</v>
      </c>
      <c r="L38" s="5">
        <v>0.99</v>
      </c>
      <c r="M38" s="5">
        <v>0.99639999999999995</v>
      </c>
      <c r="N38" s="6">
        <v>0.99</v>
      </c>
      <c r="O38" s="9">
        <v>0.99909999999999999</v>
      </c>
      <c r="Q38" s="45">
        <f t="shared" si="19"/>
        <v>8.5459594937703498E-2</v>
      </c>
      <c r="R38" s="47">
        <f t="shared" si="1"/>
        <v>0.11868239921337254</v>
      </c>
      <c r="S38" s="48">
        <f t="shared" si="20"/>
        <v>6.3999999999999613E-3</v>
      </c>
      <c r="T38" s="48">
        <f t="shared" si="21"/>
        <v>9.099999999999997E-3</v>
      </c>
      <c r="U38" s="84">
        <v>-1.0470841134456633E-2</v>
      </c>
      <c r="V38" s="49">
        <v>-1.1999999999999999E-3</v>
      </c>
      <c r="X38" s="39"/>
      <c r="Y38" s="40"/>
      <c r="Z38" s="41"/>
      <c r="AL38" s="15">
        <f t="shared" si="17"/>
        <v>-3.3222804275669038E-2</v>
      </c>
      <c r="AM38" s="63"/>
      <c r="AN38" s="62"/>
      <c r="AO38" s="62"/>
      <c r="AP38" s="28"/>
      <c r="AQ38" s="28"/>
    </row>
    <row r="39" spans="1:43" hidden="1" x14ac:dyDescent="0.35">
      <c r="A39" s="11">
        <v>44104</v>
      </c>
      <c r="B39" s="4">
        <v>2029.5988326557306</v>
      </c>
      <c r="C39" s="54">
        <v>1932.15</v>
      </c>
      <c r="D39" s="22">
        <f>150/30</f>
        <v>5</v>
      </c>
      <c r="E39" s="3">
        <v>5.2</v>
      </c>
      <c r="F39" s="22">
        <f>157.1/30</f>
        <v>5.2366666666666664</v>
      </c>
      <c r="G39" s="3">
        <v>5.45</v>
      </c>
      <c r="H39" s="5">
        <f>B39/F39/L39/30/15</f>
        <v>0.86997658857007609</v>
      </c>
      <c r="I39" s="5">
        <f>C39/G39/M39/30/15</f>
        <v>0.7890909840062964</v>
      </c>
      <c r="J39" s="5">
        <f>B39/24/12/30</f>
        <v>0.23490727229811698</v>
      </c>
      <c r="K39" s="5">
        <f>C39/24/12/30</f>
        <v>0.22362847222222226</v>
      </c>
      <c r="L39" s="5">
        <v>0.99</v>
      </c>
      <c r="M39" s="5">
        <v>0.99840039000000003</v>
      </c>
      <c r="N39" s="6">
        <v>0.99</v>
      </c>
      <c r="O39" s="9">
        <v>0.99970000000000003</v>
      </c>
      <c r="P39" s="56">
        <f>Q39-R39</f>
        <v>-8.8752222722619956E-2</v>
      </c>
      <c r="Q39" s="45">
        <f t="shared" si="19"/>
        <v>-4.801383952720284E-2</v>
      </c>
      <c r="R39" s="47">
        <f t="shared" ref="R39:R69" si="22">G39/F39-1</f>
        <v>4.0738383195417116E-2</v>
      </c>
      <c r="S39" s="48">
        <f t="shared" si="20"/>
        <v>8.4003900000000353E-3</v>
      </c>
      <c r="T39" s="48">
        <f t="shared" si="21"/>
        <v>9.7000000000000419E-3</v>
      </c>
      <c r="U39" s="84">
        <v>-1.4209183673469341E-2</v>
      </c>
      <c r="V39" s="49">
        <v>-1.8E-3</v>
      </c>
      <c r="X39" s="39"/>
      <c r="Y39" s="40"/>
      <c r="Z39" s="41"/>
      <c r="AL39" s="15">
        <f t="shared" si="17"/>
        <v>-8.8752222722619956E-2</v>
      </c>
      <c r="AM39" s="63"/>
      <c r="AN39" s="62"/>
      <c r="AO39" s="62"/>
      <c r="AP39" s="28"/>
      <c r="AQ39" s="28"/>
    </row>
    <row r="40" spans="1:43" hidden="1" x14ac:dyDescent="0.35">
      <c r="A40" s="11">
        <v>44135</v>
      </c>
      <c r="B40" s="4">
        <v>2207.8355573365448</v>
      </c>
      <c r="C40" s="54">
        <v>2000.35</v>
      </c>
      <c r="D40" s="22">
        <f>155.7/31</f>
        <v>5.0225806451612902</v>
      </c>
      <c r="E40" s="3">
        <v>5.1100000000000003</v>
      </c>
      <c r="F40" s="22">
        <v>5.7806451612903222</v>
      </c>
      <c r="G40" s="3">
        <v>5.69</v>
      </c>
      <c r="H40" s="5">
        <f>B40/F40/L40/31/15</f>
        <v>0.82966403519440868</v>
      </c>
      <c r="I40" s="5">
        <f>C40/G40/M40/31/15</f>
        <v>0.75678982268547057</v>
      </c>
      <c r="J40" s="5">
        <f>B40/24/12/31</f>
        <v>0.2472934091998818</v>
      </c>
      <c r="K40" s="5">
        <f>C40/24/12/31</f>
        <v>0.22405353942652328</v>
      </c>
      <c r="L40" s="5">
        <v>0.99</v>
      </c>
      <c r="M40" s="5">
        <v>0.999</v>
      </c>
      <c r="N40" s="6">
        <v>0.99</v>
      </c>
      <c r="O40" s="9">
        <v>0.99929999999999997</v>
      </c>
      <c r="Q40" s="45">
        <f t="shared" si="19"/>
        <v>-9.3976907223492723E-2</v>
      </c>
      <c r="R40" s="47">
        <f t="shared" si="22"/>
        <v>-1.5680803571428426E-2</v>
      </c>
      <c r="S40" s="48">
        <f t="shared" ref="S40" si="23">M40-L40</f>
        <v>9.000000000000008E-3</v>
      </c>
      <c r="T40" s="48">
        <f t="shared" ref="T40" si="24">O40-N40</f>
        <v>9.299999999999975E-3</v>
      </c>
      <c r="U40" s="84">
        <v>-1.3634122287968486E-2</v>
      </c>
      <c r="V40" s="49">
        <v>-1.2500000000000001E-2</v>
      </c>
      <c r="X40" s="39"/>
      <c r="Y40" s="40"/>
      <c r="Z40" s="41"/>
      <c r="AL40" s="15">
        <f t="shared" si="17"/>
        <v>-7.8296103652064297E-2</v>
      </c>
      <c r="AM40" s="63"/>
      <c r="AN40" s="62"/>
      <c r="AO40" s="62"/>
      <c r="AP40" s="28"/>
      <c r="AQ40" s="28"/>
    </row>
    <row r="41" spans="1:43" hidden="1" x14ac:dyDescent="0.35">
      <c r="A41" s="11">
        <v>44165</v>
      </c>
      <c r="B41" s="4">
        <v>2016.6622961869614</v>
      </c>
      <c r="C41" s="54">
        <v>1833.7</v>
      </c>
      <c r="D41" s="22">
        <f>129.1/30</f>
        <v>4.3033333333333328</v>
      </c>
      <c r="E41" s="3">
        <v>4.46</v>
      </c>
      <c r="F41" s="54">
        <f>159.7/30</f>
        <v>5.3233333333333333</v>
      </c>
      <c r="G41" s="3">
        <v>5.0599999999999996</v>
      </c>
      <c r="H41" s="5">
        <f>B41/F41/L41/30/15</f>
        <v>0.85035801394743149</v>
      </c>
      <c r="I41" s="5">
        <f>C41/G41/M41/30/15</f>
        <v>0.80644302990370087</v>
      </c>
      <c r="J41" s="5">
        <f>B41/24/12/30</f>
        <v>0.233409987984602</v>
      </c>
      <c r="K41" s="5">
        <f>C41/24/12/30</f>
        <v>0.2122337962962963</v>
      </c>
      <c r="L41" s="5">
        <v>0.99</v>
      </c>
      <c r="M41" s="5">
        <v>0.99860000000000004</v>
      </c>
      <c r="N41" s="6">
        <v>0.99</v>
      </c>
      <c r="O41" s="9">
        <v>1</v>
      </c>
      <c r="Q41" s="45">
        <f t="shared" si="19"/>
        <v>-9.0725302165315602E-2</v>
      </c>
      <c r="R41" s="47">
        <f t="shared" si="22"/>
        <v>-4.9467752035065815E-2</v>
      </c>
      <c r="S41" s="48">
        <f t="shared" ref="S41" si="25">M41-L41</f>
        <v>8.600000000000052E-3</v>
      </c>
      <c r="T41" s="48">
        <f t="shared" ref="T41" si="26">O41-N41</f>
        <v>1.0000000000000009E-2</v>
      </c>
      <c r="U41" s="84">
        <v>-1.2600290775940911E-2</v>
      </c>
      <c r="V41" s="49">
        <v>-1.43E-2</v>
      </c>
      <c r="X41" s="39"/>
      <c r="Y41" s="40"/>
      <c r="Z41" s="41"/>
      <c r="AL41" s="15">
        <f t="shared" si="17"/>
        <v>-4.1257550130249787E-2</v>
      </c>
      <c r="AM41" s="63"/>
      <c r="AN41" s="62"/>
      <c r="AO41" s="62"/>
      <c r="AP41" s="28"/>
      <c r="AQ41" s="28"/>
    </row>
    <row r="42" spans="1:43" hidden="1" x14ac:dyDescent="0.35">
      <c r="A42" s="11">
        <v>44196</v>
      </c>
      <c r="B42" s="4">
        <v>1811.1151056276346</v>
      </c>
      <c r="C42" s="54">
        <v>1821.6</v>
      </c>
      <c r="D42" s="22">
        <f>112.3/31</f>
        <v>3.6225806451612903</v>
      </c>
      <c r="E42" s="3">
        <v>3.99</v>
      </c>
      <c r="F42" s="54">
        <f>142.2/31</f>
        <v>4.5870967741935482</v>
      </c>
      <c r="G42" s="3">
        <v>4.8600000000000003</v>
      </c>
      <c r="H42" s="5">
        <f>B42/F42/L42/31/15</f>
        <v>0.85766957224738471</v>
      </c>
      <c r="I42" s="5">
        <f>C42/G42/M42/31/15</f>
        <v>0.81042968549482208</v>
      </c>
      <c r="J42" s="5">
        <f>B42/24/12/31</f>
        <v>0.20285787473427808</v>
      </c>
      <c r="K42" s="5">
        <f>C42/24/12/31</f>
        <v>0.20403225806451611</v>
      </c>
      <c r="L42" s="5">
        <v>0.99</v>
      </c>
      <c r="M42" s="5">
        <v>0.99460000000000004</v>
      </c>
      <c r="N42" s="6">
        <v>0.99</v>
      </c>
      <c r="O42" s="9">
        <v>0.99519999999999997</v>
      </c>
      <c r="Q42" s="45">
        <f t="shared" si="19"/>
        <v>5.7891927132547316E-3</v>
      </c>
      <c r="R42" s="47">
        <f t="shared" si="22"/>
        <v>5.9493670886076044E-2</v>
      </c>
      <c r="S42" s="48">
        <f t="shared" ref="S42" si="27">M42-L42</f>
        <v>4.6000000000000485E-3</v>
      </c>
      <c r="T42" s="48">
        <f t="shared" ref="T42" si="28">O42-N42</f>
        <v>5.1999999999999824E-3</v>
      </c>
      <c r="U42" s="84">
        <v>-1.4339050917158163E-2</v>
      </c>
      <c r="V42" s="49">
        <v>-1.06E-2</v>
      </c>
      <c r="X42" s="39"/>
      <c r="Y42" s="40"/>
      <c r="Z42" s="41"/>
      <c r="AL42" s="15">
        <f t="shared" si="17"/>
        <v>-5.3704478172821313E-2</v>
      </c>
      <c r="AM42" s="63"/>
      <c r="AN42" s="62"/>
      <c r="AO42" s="62"/>
      <c r="AP42" s="28"/>
      <c r="AQ42" s="28"/>
    </row>
    <row r="43" spans="1:43" hidden="1" x14ac:dyDescent="0.35">
      <c r="A43" s="11">
        <v>44227</v>
      </c>
      <c r="B43" s="4">
        <v>1980.7274726626031</v>
      </c>
      <c r="C43" s="54">
        <v>1808.4</v>
      </c>
      <c r="D43" s="22">
        <f>124.4/31</f>
        <v>4.0129032258064514</v>
      </c>
      <c r="E43" s="3">
        <v>4.1100000000000003</v>
      </c>
      <c r="F43" s="22">
        <v>5.0451612903225804</v>
      </c>
      <c r="G43" s="3">
        <v>4.88</v>
      </c>
      <c r="H43" s="5">
        <f>B43/F43/L43/31/15</f>
        <v>0.85282814188888156</v>
      </c>
      <c r="I43" s="5">
        <f>C43/G43/M43/31/15</f>
        <v>0.80392700470828116</v>
      </c>
      <c r="J43" s="5">
        <f>B43/24/12/31</f>
        <v>0.22185567570145642</v>
      </c>
      <c r="K43" s="5">
        <f>C43/24/12/31</f>
        <v>0.20255376344086023</v>
      </c>
      <c r="L43" s="5">
        <v>0.99</v>
      </c>
      <c r="M43" s="5">
        <v>0.99129999999999996</v>
      </c>
      <c r="N43" s="6">
        <v>0.99</v>
      </c>
      <c r="O43" s="9">
        <v>0.99260000000000004</v>
      </c>
      <c r="Q43" s="45">
        <f t="shared" si="19"/>
        <v>-8.7002111618591726E-2</v>
      </c>
      <c r="R43" s="47">
        <f t="shared" si="22"/>
        <v>-3.2736572890025517E-2</v>
      </c>
      <c r="S43" s="48">
        <f t="shared" ref="S43" si="29">M43-L43</f>
        <v>1.2999999999999678E-3</v>
      </c>
      <c r="T43" s="48">
        <f t="shared" ref="T43" si="30">O43-N43</f>
        <v>2.6000000000000467E-3</v>
      </c>
      <c r="U43" s="84">
        <v>-1.2693819611268836E-2</v>
      </c>
      <c r="V43" s="49">
        <v>-1.32E-2</v>
      </c>
      <c r="X43" s="39"/>
      <c r="Y43" s="40"/>
      <c r="Z43" s="41"/>
      <c r="AL43" s="15">
        <f t="shared" si="17"/>
        <v>-5.4265538728566209E-2</v>
      </c>
      <c r="AM43" s="63"/>
      <c r="AN43" s="62"/>
      <c r="AO43" s="62"/>
      <c r="AP43" s="28"/>
      <c r="AQ43" s="28">
        <v>31</v>
      </c>
    </row>
    <row r="44" spans="1:43" hidden="1" x14ac:dyDescent="0.35">
      <c r="A44" s="11">
        <v>44255</v>
      </c>
      <c r="B44" s="4">
        <v>1887.2969314992733</v>
      </c>
      <c r="C44" s="54">
        <v>2028.45</v>
      </c>
      <c r="D44" s="22">
        <f>130.4/28</f>
        <v>4.6571428571428575</v>
      </c>
      <c r="E44" s="3">
        <v>5.31</v>
      </c>
      <c r="F44" s="22">
        <v>5.4535714285714301</v>
      </c>
      <c r="G44" s="3">
        <v>6.13</v>
      </c>
      <c r="H44" s="5">
        <f>B44/F44/L44/28/15</f>
        <v>0.83229012742543207</v>
      </c>
      <c r="I44" s="5">
        <f>C44/G44/M44/28/15</f>
        <v>0.78826409242840956</v>
      </c>
      <c r="J44" s="5">
        <f>B44/24/12/28</f>
        <v>0.2340397980529853</v>
      </c>
      <c r="K44" s="5">
        <f>C44/24/12/28</f>
        <v>0.25154389880952382</v>
      </c>
      <c r="L44" s="5">
        <v>0.99</v>
      </c>
      <c r="M44" s="5">
        <v>0.99950000000000006</v>
      </c>
      <c r="N44" s="6">
        <v>0.99</v>
      </c>
      <c r="O44" s="9">
        <v>1</v>
      </c>
      <c r="Q44" s="45">
        <f t="shared" si="19"/>
        <v>7.4791129124866629E-2</v>
      </c>
      <c r="R44" s="47">
        <f t="shared" si="22"/>
        <v>0.12403405370006526</v>
      </c>
      <c r="S44" s="48">
        <f t="shared" ref="S44" si="31">M44-L44</f>
        <v>9.5000000000000639E-3</v>
      </c>
      <c r="T44" s="48">
        <f t="shared" ref="T44" si="32">O44-N44</f>
        <v>1.0000000000000009E-2</v>
      </c>
      <c r="U44" s="84">
        <v>-1.2439143135345644E-2</v>
      </c>
      <c r="V44" s="49">
        <v>-1.26E-2</v>
      </c>
      <c r="X44" s="39"/>
      <c r="Y44" s="40"/>
      <c r="Z44" s="41"/>
      <c r="AL44" s="15">
        <f t="shared" si="17"/>
        <v>-4.9242924575198632E-2</v>
      </c>
      <c r="AM44" s="63"/>
      <c r="AN44" s="62"/>
      <c r="AO44" s="62"/>
      <c r="AP44" s="28"/>
      <c r="AQ44" s="28">
        <v>28</v>
      </c>
    </row>
    <row r="45" spans="1:43" hidden="1" x14ac:dyDescent="0.35">
      <c r="A45" s="11">
        <v>44286</v>
      </c>
      <c r="B45" s="4">
        <v>2636.1786537468897</v>
      </c>
      <c r="C45" s="54">
        <v>2312.9</v>
      </c>
      <c r="D45" s="22">
        <f>194.9/31</f>
        <v>6.2870967741935484</v>
      </c>
      <c r="E45" s="4">
        <v>6.0068759073774185</v>
      </c>
      <c r="F45" s="22">
        <v>6.9129032258064518</v>
      </c>
      <c r="G45" s="4">
        <v>6.499027576319353</v>
      </c>
      <c r="H45" s="5">
        <f>B45/F45/L45/31/15</f>
        <v>0.82837353272871495</v>
      </c>
      <c r="I45" s="5">
        <f>C45/G45/M45/31/15</f>
        <v>0.76795299885272184</v>
      </c>
      <c r="J45" s="5">
        <f>B45/24/12/31</f>
        <v>0.29527090655767135</v>
      </c>
      <c r="K45" s="5">
        <f>C45/24/12/31</f>
        <v>0.25906137992831541</v>
      </c>
      <c r="L45" s="5">
        <v>0.99</v>
      </c>
      <c r="M45" s="5">
        <v>0.99660000000000004</v>
      </c>
      <c r="N45" s="6">
        <v>0.99</v>
      </c>
      <c r="O45" s="9">
        <v>0.99829999999999997</v>
      </c>
      <c r="P45" s="56">
        <f t="shared" ref="P45" si="33">Q45-R45</f>
        <v>-6.2761522879681841E-2</v>
      </c>
      <c r="Q45" s="45">
        <f t="shared" si="19"/>
        <v>-0.1226315421708627</v>
      </c>
      <c r="R45" s="47">
        <f t="shared" si="22"/>
        <v>-5.9870019291180854E-2</v>
      </c>
      <c r="S45" s="48">
        <f t="shared" ref="S45:S46" si="34">M45-L45</f>
        <v>6.6000000000000503E-3</v>
      </c>
      <c r="T45" s="48">
        <f t="shared" ref="T45:T46" si="35">O45-N45</f>
        <v>8.2999999999999741E-3</v>
      </c>
      <c r="U45" s="84">
        <v>-1.4990843660832085E-2</v>
      </c>
      <c r="V45" s="49">
        <v>-1.4E-2</v>
      </c>
      <c r="X45" s="39"/>
      <c r="Y45" s="40"/>
      <c r="Z45" s="41"/>
      <c r="AL45" s="15"/>
      <c r="AM45" s="63"/>
      <c r="AN45" s="62"/>
      <c r="AO45" s="62"/>
      <c r="AP45" s="28"/>
      <c r="AQ45" s="28">
        <v>31</v>
      </c>
    </row>
    <row r="46" spans="1:43" ht="16.5" hidden="1" customHeight="1" x14ac:dyDescent="0.35">
      <c r="A46" s="30">
        <v>44316</v>
      </c>
      <c r="B46" s="31">
        <v>2456.6</v>
      </c>
      <c r="C46" s="31">
        <v>2237.25</v>
      </c>
      <c r="D46" s="31">
        <f>201.6/30</f>
        <v>6.72</v>
      </c>
      <c r="E46" s="32">
        <v>6.37</v>
      </c>
      <c r="F46" s="31">
        <v>6.8733333333333331</v>
      </c>
      <c r="G46" s="31">
        <v>6.42</v>
      </c>
      <c r="H46" s="79">
        <f>B46/F46/L46/30/15</f>
        <v>0.80226774698161696</v>
      </c>
      <c r="I46" s="79">
        <f>C46/G46/M46/30/15</f>
        <v>0.77533330754953722</v>
      </c>
      <c r="J46" s="33">
        <f>B46/24/12/30</f>
        <v>0.28432870370370372</v>
      </c>
      <c r="K46" s="33">
        <f>C46/(12*30*24)</f>
        <v>0.25894097222222223</v>
      </c>
      <c r="L46" s="33">
        <v>0.99</v>
      </c>
      <c r="M46" s="33">
        <v>0.99880000000000002</v>
      </c>
      <c r="N46" s="34">
        <v>0.99</v>
      </c>
      <c r="O46" s="35">
        <v>1</v>
      </c>
      <c r="P46" s="36"/>
      <c r="Q46" s="50">
        <f t="shared" si="19"/>
        <v>-8.9290075714401951E-2</v>
      </c>
      <c r="R46" s="51">
        <f t="shared" si="22"/>
        <v>-6.5955383123181388E-2</v>
      </c>
      <c r="S46" s="52">
        <f t="shared" si="34"/>
        <v>8.80000000000003E-3</v>
      </c>
      <c r="T46" s="52">
        <f t="shared" si="35"/>
        <v>1.0000000000000009E-2</v>
      </c>
      <c r="U46" s="86">
        <v>-1.6528925619834871E-2</v>
      </c>
      <c r="V46" s="53">
        <v>-1.3899999999999999E-2</v>
      </c>
      <c r="X46" s="14"/>
      <c r="Y46" s="7"/>
      <c r="Z46" s="8"/>
      <c r="AA46" s="20"/>
      <c r="AB46" s="20"/>
      <c r="AD46" s="42"/>
      <c r="AE46" s="28"/>
      <c r="AF46" s="28"/>
      <c r="AG46" s="28"/>
      <c r="AH46" s="28"/>
      <c r="AI46" s="29"/>
      <c r="AJ46" s="29"/>
      <c r="AM46" s="29">
        <v>30</v>
      </c>
      <c r="AN46" s="29"/>
      <c r="AQ46">
        <v>30</v>
      </c>
    </row>
    <row r="47" spans="1:43" hidden="1" x14ac:dyDescent="0.35">
      <c r="A47" s="11">
        <v>44347</v>
      </c>
      <c r="B47" s="54">
        <v>2472.3158584758185</v>
      </c>
      <c r="C47" s="54">
        <v>2229.8000000000002</v>
      </c>
      <c r="D47" s="22">
        <v>6.8032258064516133</v>
      </c>
      <c r="E47" s="3">
        <v>6.45</v>
      </c>
      <c r="F47" s="22">
        <v>6.6</v>
      </c>
      <c r="G47" s="3">
        <v>6.12</v>
      </c>
      <c r="H47" s="5">
        <f>B47/F47/L47/31/15</f>
        <v>0.81371415638161304</v>
      </c>
      <c r="I47" s="5">
        <f>C47/G47/M47/31/15</f>
        <v>0.78440350025621342</v>
      </c>
      <c r="J47" s="5">
        <f>B47/24/12/31</f>
        <v>0.27691709884361765</v>
      </c>
      <c r="K47" s="5">
        <f>C47/24/12/31</f>
        <v>0.2497535842293907</v>
      </c>
      <c r="L47" s="5">
        <v>0.99</v>
      </c>
      <c r="M47" s="5">
        <v>0.99890000000000001</v>
      </c>
      <c r="N47" s="6">
        <v>0.99</v>
      </c>
      <c r="O47" s="9">
        <v>0.99970000000000003</v>
      </c>
      <c r="P47" s="56">
        <f t="shared" ref="P47:P49" si="36">Q47-R47</f>
        <v>-2.5365314287611906E-2</v>
      </c>
      <c r="Q47" s="65">
        <f t="shared" si="19"/>
        <v>-9.8092587014884547E-2</v>
      </c>
      <c r="R47" s="66">
        <f t="shared" si="22"/>
        <v>-7.272727272727264E-2</v>
      </c>
      <c r="S47" s="66">
        <f t="shared" ref="S47" si="37">M47-L47</f>
        <v>8.900000000000019E-3</v>
      </c>
      <c r="T47" s="66">
        <f t="shared" ref="T47" si="38">O47-N47</f>
        <v>9.7000000000000419E-3</v>
      </c>
      <c r="U47" s="87">
        <v>-1.6040774899607216E-2</v>
      </c>
      <c r="V47" s="49">
        <v>-1.32E-2</v>
      </c>
      <c r="X47" s="39"/>
      <c r="Y47" s="40"/>
      <c r="Z47" s="41"/>
      <c r="AL47" s="15"/>
      <c r="AM47" s="22">
        <v>31</v>
      </c>
      <c r="AN47" s="62"/>
      <c r="AO47" s="62"/>
      <c r="AP47" s="28"/>
      <c r="AQ47" s="28">
        <v>31</v>
      </c>
    </row>
    <row r="48" spans="1:43" hidden="1" x14ac:dyDescent="0.35">
      <c r="A48" s="11">
        <v>44377</v>
      </c>
      <c r="B48" s="54">
        <v>2038.3</v>
      </c>
      <c r="C48" s="54">
        <v>2017.15</v>
      </c>
      <c r="D48" s="21">
        <f>171.9/30</f>
        <v>5.73</v>
      </c>
      <c r="E48" s="3">
        <v>6.06</v>
      </c>
      <c r="F48" s="21">
        <v>5.42</v>
      </c>
      <c r="G48" s="3">
        <v>5.62</v>
      </c>
      <c r="H48" s="5">
        <f>B48/F48/L48/30/15</f>
        <v>0.84415288597330429</v>
      </c>
      <c r="I48" s="5">
        <f>C48/G48/M48/30/15</f>
        <v>0.8037159916352814</v>
      </c>
      <c r="J48" s="5">
        <f>B48/24/12/30</f>
        <v>0.23591435185185183</v>
      </c>
      <c r="K48" s="5">
        <f>C48/24/12/30</f>
        <v>0.23346643518518517</v>
      </c>
      <c r="L48" s="5">
        <v>0.99</v>
      </c>
      <c r="M48" s="5">
        <v>0.99239999999999995</v>
      </c>
      <c r="N48" s="6">
        <v>0.99</v>
      </c>
      <c r="O48" s="9">
        <v>0.99819999999999998</v>
      </c>
      <c r="P48" s="56">
        <f t="shared" si="36"/>
        <v>-4.7276662974155448E-2</v>
      </c>
      <c r="Q48" s="65">
        <f t="shared" si="19"/>
        <v>-1.0376293970465467E-2</v>
      </c>
      <c r="R48" s="66">
        <f t="shared" si="22"/>
        <v>3.6900369003689981E-2</v>
      </c>
      <c r="S48" s="66">
        <f t="shared" ref="S48:S49" si="39">M48-L48</f>
        <v>2.3999999999999577E-3</v>
      </c>
      <c r="T48" s="66">
        <f t="shared" ref="T48:T49" si="40">O48-N48</f>
        <v>8.1999999999999851E-3</v>
      </c>
      <c r="U48" s="87">
        <v>-1.2894543675067241E-2</v>
      </c>
      <c r="V48" s="49">
        <v>-6.3E-3</v>
      </c>
      <c r="X48" s="39"/>
      <c r="Y48" s="40"/>
      <c r="Z48" s="41"/>
      <c r="AL48" s="15"/>
      <c r="AM48" s="22">
        <v>30</v>
      </c>
      <c r="AN48" s="62"/>
      <c r="AO48" s="62"/>
      <c r="AP48" s="28"/>
      <c r="AQ48" s="28">
        <v>30</v>
      </c>
    </row>
    <row r="49" spans="1:43" hidden="1" x14ac:dyDescent="0.35">
      <c r="A49" s="11">
        <v>44408</v>
      </c>
      <c r="B49" s="4">
        <v>1650.19</v>
      </c>
      <c r="C49" s="54">
        <v>1588.6</v>
      </c>
      <c r="D49" s="22">
        <f>134.6/31</f>
        <v>4.3419354838709676</v>
      </c>
      <c r="E49" s="3">
        <v>4.42</v>
      </c>
      <c r="F49" s="22">
        <v>4.1225806451612899</v>
      </c>
      <c r="G49" s="3">
        <v>4.05</v>
      </c>
      <c r="H49" s="5">
        <f>B49/F49/L49/31/15</f>
        <v>0.86951412929503713</v>
      </c>
      <c r="I49" s="5">
        <f>C49/G49/M49/31/15</f>
        <v>0.8457406753909561</v>
      </c>
      <c r="J49" s="5">
        <f>B49/24/12/31</f>
        <v>0.18483310931899644</v>
      </c>
      <c r="K49" s="5">
        <f>C49/24/12/31</f>
        <v>0.17793458781362007</v>
      </c>
      <c r="L49" s="5">
        <v>0.99</v>
      </c>
      <c r="M49" s="5">
        <v>0.99739999999999995</v>
      </c>
      <c r="N49" s="6">
        <v>0.99</v>
      </c>
      <c r="O49" s="9">
        <v>0.99939999999999996</v>
      </c>
      <c r="P49" s="56">
        <f t="shared" si="36"/>
        <v>-1.9717341127342802E-2</v>
      </c>
      <c r="Q49" s="65">
        <f t="shared" si="19"/>
        <v>-3.732297493015968E-2</v>
      </c>
      <c r="R49" s="66">
        <f t="shared" si="22"/>
        <v>-1.7605633802816878E-2</v>
      </c>
      <c r="S49" s="66">
        <f t="shared" si="39"/>
        <v>7.3999999999999622E-3</v>
      </c>
      <c r="T49" s="66">
        <f t="shared" si="40"/>
        <v>9.3999999999999639E-3</v>
      </c>
      <c r="U49" s="87">
        <v>-1.1941783803955745E-2</v>
      </c>
      <c r="V49" s="49">
        <v>-1.9E-3</v>
      </c>
      <c r="X49" s="39"/>
      <c r="Y49" s="40"/>
      <c r="Z49" s="41"/>
      <c r="AL49" s="15"/>
      <c r="AM49" s="22">
        <v>31</v>
      </c>
      <c r="AN49" s="62"/>
      <c r="AO49" s="62"/>
      <c r="AP49" s="28"/>
      <c r="AQ49" s="28">
        <v>31</v>
      </c>
    </row>
    <row r="50" spans="1:43" hidden="1" x14ac:dyDescent="0.35">
      <c r="A50" s="11">
        <v>44439</v>
      </c>
      <c r="B50" s="54">
        <v>1308.0275762866247</v>
      </c>
      <c r="C50" s="54">
        <v>1346.3</v>
      </c>
      <c r="D50" s="22">
        <f>104.7/31</f>
        <v>3.3774193548387097</v>
      </c>
      <c r="E50" s="3">
        <v>3.65</v>
      </c>
      <c r="F50" s="22">
        <f>101.7/31</f>
        <v>3.2806451612903227</v>
      </c>
      <c r="G50" s="3">
        <v>3.61</v>
      </c>
      <c r="H50" s="5">
        <f>B50/F50/L50/31/15</f>
        <v>0.86610290137469381</v>
      </c>
      <c r="I50" s="5">
        <f>C50/G50/M50/31/15</f>
        <v>0.81323618208403414</v>
      </c>
      <c r="J50" s="5">
        <f>B50/24/12/31</f>
        <v>0.14650846508586746</v>
      </c>
      <c r="K50" s="5">
        <f>C50/24/12/31</f>
        <v>0.15079525089605733</v>
      </c>
      <c r="L50" s="5">
        <v>0.99</v>
      </c>
      <c r="M50" s="5">
        <v>0.98619999999999997</v>
      </c>
      <c r="N50" s="6">
        <v>0.99</v>
      </c>
      <c r="O50" s="9">
        <v>0.99929999999999997</v>
      </c>
      <c r="Q50" s="45">
        <f t="shared" si="19"/>
        <v>2.9259645902899978E-2</v>
      </c>
      <c r="R50" s="66">
        <f t="shared" si="22"/>
        <v>0.10039331366764981</v>
      </c>
      <c r="S50" s="66">
        <f t="shared" ref="S50" si="41">M50-L50</f>
        <v>-3.8000000000000256E-3</v>
      </c>
      <c r="T50" s="66">
        <f t="shared" ref="T50" si="42">O50-N50</f>
        <v>9.299999999999975E-3</v>
      </c>
      <c r="U50" s="87">
        <v>-1.0837619397501837E-2</v>
      </c>
      <c r="V50" s="49">
        <v>-8.6999999999999994E-3</v>
      </c>
      <c r="X50" s="39"/>
      <c r="Y50" s="40"/>
      <c r="Z50" s="41"/>
      <c r="AL50" s="15"/>
      <c r="AM50" s="22">
        <v>31</v>
      </c>
      <c r="AN50" s="62"/>
      <c r="AO50" s="62"/>
      <c r="AP50" s="28"/>
      <c r="AQ50" s="28">
        <v>31</v>
      </c>
    </row>
    <row r="51" spans="1:43" hidden="1" x14ac:dyDescent="0.35">
      <c r="A51" s="11">
        <v>44469</v>
      </c>
      <c r="B51" s="54">
        <v>2019.3223828701316</v>
      </c>
      <c r="C51" s="54">
        <v>1488.25</v>
      </c>
      <c r="D51" s="22">
        <f>150/30</f>
        <v>5</v>
      </c>
      <c r="E51" s="3">
        <v>3.99</v>
      </c>
      <c r="F51" s="22">
        <f>157.1/30</f>
        <v>5.2366666666666664</v>
      </c>
      <c r="G51" s="3">
        <v>4.13</v>
      </c>
      <c r="H51" s="5">
        <f>B51/F51/L51/30/15</f>
        <v>0.86557164381782259</v>
      </c>
      <c r="I51" s="5">
        <f>C51/G51/M51/30/15</f>
        <v>0.80230457778307185</v>
      </c>
      <c r="J51" s="5">
        <f>B51/24/12/30</f>
        <v>0.23371786838774669</v>
      </c>
      <c r="K51" s="5">
        <f>C51/24/12/30</f>
        <v>0.1722511574074074</v>
      </c>
      <c r="L51" s="5">
        <v>0.99</v>
      </c>
      <c r="M51" s="5">
        <v>0.99809999999999999</v>
      </c>
      <c r="N51" s="6">
        <v>0.99</v>
      </c>
      <c r="O51" s="9">
        <v>0.99819999999999998</v>
      </c>
      <c r="P51" s="56">
        <f>Q51-R51</f>
        <v>-5.1664980252822956E-2</v>
      </c>
      <c r="Q51" s="45">
        <f t="shared" si="19"/>
        <v>-0.26299534307904826</v>
      </c>
      <c r="R51" s="47">
        <f t="shared" si="22"/>
        <v>-0.2113303628262253</v>
      </c>
      <c r="S51" s="66">
        <f t="shared" ref="S51" si="43">M51-L51</f>
        <v>8.0999999999999961E-3</v>
      </c>
      <c r="T51" s="66">
        <f t="shared" ref="T51" si="44">O51-N51</f>
        <v>8.1999999999999851E-3</v>
      </c>
      <c r="U51" s="87">
        <v>-1.2114171921672752E-2</v>
      </c>
      <c r="V51" s="49">
        <v>0</v>
      </c>
      <c r="X51" s="39"/>
      <c r="Y51" s="40"/>
      <c r="Z51" s="41"/>
      <c r="AL51" s="15"/>
      <c r="AM51" s="22"/>
      <c r="AN51" s="62"/>
      <c r="AO51" s="62"/>
      <c r="AP51" s="28"/>
      <c r="AQ51" s="28">
        <v>30</v>
      </c>
    </row>
    <row r="52" spans="1:43" hidden="1" x14ac:dyDescent="0.35">
      <c r="A52" s="11">
        <v>44500</v>
      </c>
      <c r="B52" s="54">
        <v>2196.6566431221818</v>
      </c>
      <c r="C52" s="54">
        <v>2024.8</v>
      </c>
      <c r="D52" s="22">
        <f>155.7/31</f>
        <v>5.0225806451612902</v>
      </c>
      <c r="E52" s="3">
        <v>4.9800000000000004</v>
      </c>
      <c r="F52" s="22">
        <v>5.7806451612903222</v>
      </c>
      <c r="G52" s="3">
        <v>5.58</v>
      </c>
      <c r="H52" s="5">
        <f>B52/F52/L52/31/15</f>
        <v>0.82546320463646206</v>
      </c>
      <c r="I52" s="5">
        <f>C52/G52/M52/31/15</f>
        <v>0.78325801921419957</v>
      </c>
      <c r="J52" s="5">
        <f>B52/24/12/31</f>
        <v>0.24604129067228739</v>
      </c>
      <c r="K52" s="5">
        <f>C52/24/12/31</f>
        <v>0.2267921146953405</v>
      </c>
      <c r="L52" s="5">
        <v>0.99</v>
      </c>
      <c r="M52" s="5">
        <v>0.99629999999999996</v>
      </c>
      <c r="N52" s="6">
        <v>0.99</v>
      </c>
      <c r="O52" s="9">
        <v>0.99880000000000002</v>
      </c>
      <c r="Q52" s="45">
        <f t="shared" si="19"/>
        <v>-7.8235551131885739E-2</v>
      </c>
      <c r="R52" s="47">
        <f t="shared" si="22"/>
        <v>-3.4709821428571375E-2</v>
      </c>
      <c r="S52" s="66">
        <f>M52-L52</f>
        <v>6.2999999999999723E-3</v>
      </c>
      <c r="T52" s="66">
        <f>O52-N52</f>
        <v>8.80000000000003E-3</v>
      </c>
      <c r="U52" s="87">
        <v>-1.4456072036991991E-2</v>
      </c>
      <c r="V52" s="49">
        <v>-7.3000000000000001E-3</v>
      </c>
      <c r="X52" s="39"/>
      <c r="Y52" s="40"/>
      <c r="Z52" s="41"/>
      <c r="AL52" s="15"/>
      <c r="AM52" s="22"/>
      <c r="AN52" s="62"/>
      <c r="AO52" s="62"/>
      <c r="AP52" s="28"/>
      <c r="AQ52" s="28">
        <v>31</v>
      </c>
    </row>
    <row r="53" spans="1:43" hidden="1" x14ac:dyDescent="0.35">
      <c r="A53" s="11">
        <v>44530</v>
      </c>
      <c r="B53" s="4">
        <v>2006.4513478518375</v>
      </c>
      <c r="C53" s="54">
        <v>1747.65</v>
      </c>
      <c r="D53" s="22">
        <f>129.1/30</f>
        <v>4.3033333333333328</v>
      </c>
      <c r="E53" s="3">
        <v>4.2</v>
      </c>
      <c r="F53" s="54">
        <f>159.7/30</f>
        <v>5.3233333333333333</v>
      </c>
      <c r="G53" s="3">
        <v>4.91</v>
      </c>
      <c r="H53" s="5">
        <f>B53/F53/L53/30/15</f>
        <v>0.84605240375022928</v>
      </c>
      <c r="I53" s="5">
        <f>C53/G53/M53/30/15</f>
        <v>0.79160409114800323</v>
      </c>
      <c r="J53" s="5">
        <f>B53/24/12/30</f>
        <v>0.23222816526062931</v>
      </c>
      <c r="K53" s="5">
        <f>C53/24/12/30</f>
        <v>0.20227430555555559</v>
      </c>
      <c r="L53" s="5">
        <v>0.99</v>
      </c>
      <c r="M53" s="5">
        <v>0.99919999999999998</v>
      </c>
      <c r="N53" s="6">
        <v>0.99</v>
      </c>
      <c r="O53" s="9">
        <v>0.99980000000000002</v>
      </c>
      <c r="Q53" s="45">
        <f t="shared" si="19"/>
        <v>-0.12898461162734765</v>
      </c>
      <c r="R53" s="47">
        <f t="shared" si="22"/>
        <v>-7.7645585472761347E-2</v>
      </c>
      <c r="S53" s="48">
        <f>M53-L53</f>
        <v>9.199999999999986E-3</v>
      </c>
      <c r="T53" s="48">
        <f>O53-N53</f>
        <v>9.8000000000000309E-3</v>
      </c>
      <c r="U53" s="84">
        <v>-1.1789652247667464E-2</v>
      </c>
      <c r="V53" s="49">
        <v>-1.01E-2</v>
      </c>
      <c r="X53" s="39"/>
      <c r="Y53" s="40"/>
      <c r="Z53" s="41"/>
      <c r="AL53" s="15"/>
      <c r="AM53" s="22"/>
      <c r="AN53" s="62"/>
      <c r="AO53" s="62"/>
      <c r="AP53" s="28"/>
      <c r="AQ53" s="28">
        <v>30</v>
      </c>
    </row>
    <row r="54" spans="1:43" hidden="1" x14ac:dyDescent="0.35">
      <c r="A54" s="11">
        <v>44561</v>
      </c>
      <c r="B54" s="4">
        <v>1801.9449025611655</v>
      </c>
      <c r="C54" s="54">
        <v>1566.95</v>
      </c>
      <c r="D54" s="22">
        <f>112.3/31</f>
        <v>3.6225806451612903</v>
      </c>
      <c r="E54" s="3">
        <v>3.55</v>
      </c>
      <c r="F54" s="54">
        <f>142.2/31</f>
        <v>4.5870967741935482</v>
      </c>
      <c r="G54" s="3">
        <v>4.1500000000000004</v>
      </c>
      <c r="H54" s="5">
        <f>B54/F54/L54/31/15</f>
        <v>0.85332694150182831</v>
      </c>
      <c r="I54" s="5">
        <f>C54/G54/M54/31/15</f>
        <v>0.81452138889268999</v>
      </c>
      <c r="J54" s="5">
        <f>B54/24/12/31</f>
        <v>0.20183074625461084</v>
      </c>
      <c r="K54" s="5">
        <f>C54/24/12/31</f>
        <v>0.17550963261648747</v>
      </c>
      <c r="L54" s="5">
        <v>0.99</v>
      </c>
      <c r="M54" s="5">
        <v>0.99690000000000001</v>
      </c>
      <c r="N54" s="6">
        <v>0.99</v>
      </c>
      <c r="O54" s="9">
        <v>1</v>
      </c>
      <c r="Q54" s="45">
        <f t="shared" si="19"/>
        <v>-0.13041181349505149</v>
      </c>
      <c r="R54" s="47">
        <f t="shared" si="22"/>
        <v>-9.5288326300984383E-2</v>
      </c>
      <c r="S54" s="48">
        <f>M54-L54</f>
        <v>6.9000000000000172E-3</v>
      </c>
      <c r="T54" s="48">
        <f>O54-N54</f>
        <v>1.0000000000000009E-2</v>
      </c>
      <c r="U54" s="84">
        <v>-1.1731315042573263E-2</v>
      </c>
      <c r="V54" s="49">
        <v>-1.1900000000000001E-2</v>
      </c>
      <c r="X54" s="39"/>
      <c r="Y54" s="40"/>
      <c r="Z54" s="41"/>
      <c r="AL54" s="15"/>
      <c r="AM54" s="22"/>
      <c r="AN54" s="62"/>
      <c r="AO54" s="62"/>
      <c r="AP54" s="28"/>
      <c r="AQ54" s="28">
        <v>31</v>
      </c>
    </row>
    <row r="55" spans="1:43" hidden="1" x14ac:dyDescent="0.35">
      <c r="A55" s="11">
        <v>44592</v>
      </c>
      <c r="B55" s="4">
        <v>1970.82</v>
      </c>
      <c r="C55" s="54">
        <v>1874.8</v>
      </c>
      <c r="D55" s="22">
        <f>124.4/31</f>
        <v>4.0129032258064514</v>
      </c>
      <c r="E55" s="3">
        <v>4.25</v>
      </c>
      <c r="F55" s="22">
        <v>5.0451612903225804</v>
      </c>
      <c r="G55" s="3">
        <v>4.96</v>
      </c>
      <c r="H55" s="5">
        <f>B55/F55/L55/31/15</f>
        <v>0.84856234984112233</v>
      </c>
      <c r="I55" s="5">
        <f>C55/G55/M55/31/15</f>
        <v>0.81637896928349307</v>
      </c>
      <c r="J55" s="5">
        <f>B55/24/12/31</f>
        <v>0.22074596774193547</v>
      </c>
      <c r="K55" s="5">
        <f>C55/24/12/31</f>
        <v>0.20999103942652328</v>
      </c>
      <c r="L55" s="5">
        <v>0.99</v>
      </c>
      <c r="M55" s="5">
        <v>0.99570000000000003</v>
      </c>
      <c r="N55" s="6">
        <v>0.99</v>
      </c>
      <c r="O55" s="9">
        <v>0.99770000000000003</v>
      </c>
      <c r="Q55" s="45">
        <f t="shared" si="19"/>
        <v>-4.8720837012005136E-2</v>
      </c>
      <c r="R55" s="47">
        <f t="shared" si="22"/>
        <v>-1.6879795396419373E-2</v>
      </c>
      <c r="S55" s="48">
        <f>M55-L55</f>
        <v>5.7000000000000384E-3</v>
      </c>
      <c r="T55" s="48">
        <f>O55-N55</f>
        <v>7.7000000000000401E-3</v>
      </c>
      <c r="U55" s="84">
        <v>-1.3652864734045375E-2</v>
      </c>
      <c r="V55" s="49">
        <v>-1.3299999999999999E-2</v>
      </c>
      <c r="X55" s="39"/>
      <c r="Y55" s="40"/>
      <c r="Z55" s="41"/>
      <c r="AL55" s="15"/>
      <c r="AM55" s="22"/>
      <c r="AN55" s="62"/>
      <c r="AO55" s="62"/>
      <c r="AP55" s="28"/>
      <c r="AQ55" s="28"/>
    </row>
    <row r="56" spans="1:43" hidden="1" x14ac:dyDescent="0.35">
      <c r="A56" s="11">
        <v>44620</v>
      </c>
      <c r="B56" s="4">
        <v>1877.86</v>
      </c>
      <c r="C56" s="54">
        <v>2064.15</v>
      </c>
      <c r="D56" s="22">
        <f>130.4/28</f>
        <v>4.6571428571428575</v>
      </c>
      <c r="E56" s="3">
        <v>5.45</v>
      </c>
      <c r="F56" s="22">
        <v>5.4535714285714301</v>
      </c>
      <c r="G56" s="3">
        <v>6.28</v>
      </c>
      <c r="H56" s="5">
        <f>B56/F56/L56/28/15</f>
        <v>0.82812847973293258</v>
      </c>
      <c r="I56" s="5">
        <f>C56/G56/M56/28/15</f>
        <v>0.7826647086910693</v>
      </c>
      <c r="J56" s="5">
        <f>B56/24/12/28</f>
        <v>0.23286954365079363</v>
      </c>
      <c r="K56" s="5">
        <f>C56/24/12/28</f>
        <v>0.25597098214285718</v>
      </c>
      <c r="L56" s="5">
        <v>0.99</v>
      </c>
      <c r="M56" s="5">
        <v>0.99990000000000001</v>
      </c>
      <c r="N56" s="6">
        <v>0.99</v>
      </c>
      <c r="O56" s="9">
        <v>1</v>
      </c>
      <c r="Q56" s="45">
        <f t="shared" si="19"/>
        <v>9.9203348492433063E-2</v>
      </c>
      <c r="R56" s="47">
        <f t="shared" si="22"/>
        <v>0.15153896529142075</v>
      </c>
      <c r="S56" s="48">
        <f>M56-L56</f>
        <v>9.9000000000000199E-3</v>
      </c>
      <c r="T56" s="48">
        <f>O56-N56</f>
        <v>1.0000000000000009E-2</v>
      </c>
      <c r="U56" s="84">
        <v>-1.3807271511155746E-2</v>
      </c>
      <c r="V56" s="49">
        <v>-1.21E-2</v>
      </c>
      <c r="X56" s="39"/>
      <c r="Y56" s="40"/>
      <c r="Z56" s="41"/>
      <c r="AL56" s="15"/>
      <c r="AM56" s="22"/>
      <c r="AN56" s="62"/>
      <c r="AO56" s="62"/>
      <c r="AP56" s="28"/>
      <c r="AQ56" s="28"/>
    </row>
    <row r="57" spans="1:43" hidden="1" x14ac:dyDescent="0.35">
      <c r="A57" s="11">
        <v>44651</v>
      </c>
      <c r="B57" s="4">
        <v>2622.8309137279184</v>
      </c>
      <c r="C57" s="54">
        <v>2343.15</v>
      </c>
      <c r="D57" s="22">
        <f>194.9/31</f>
        <v>6.2870967741935484</v>
      </c>
      <c r="E57" s="4">
        <v>6.13</v>
      </c>
      <c r="F57" s="22">
        <v>6.9129032258064518</v>
      </c>
      <c r="G57" s="4">
        <v>6.66</v>
      </c>
      <c r="H57" s="5">
        <f>B57/F57/L57/31/15</f>
        <v>0.8241792363604683</v>
      </c>
      <c r="I57" s="5">
        <f>C57/G57/M57/31/15</f>
        <v>0.75721722393898849</v>
      </c>
      <c r="J57" s="5">
        <f>B57/24/12/31</f>
        <v>0.29377586399282241</v>
      </c>
      <c r="K57" s="5">
        <f>C57/24/12/31</f>
        <v>0.26244959677419355</v>
      </c>
      <c r="L57" s="5">
        <v>0.99</v>
      </c>
      <c r="M57" s="5">
        <v>0.99919999999999998</v>
      </c>
      <c r="N57" s="6">
        <v>0.99</v>
      </c>
      <c r="O57" s="9">
        <v>1</v>
      </c>
      <c r="P57" s="56">
        <f t="shared" ref="P57:P73" si="45">Q57-R57</f>
        <v>-7.004899528683306E-2</v>
      </c>
      <c r="Q57" s="45">
        <f t="shared" si="19"/>
        <v>-0.10663322300498523</v>
      </c>
      <c r="R57" s="47">
        <f t="shared" si="22"/>
        <v>-3.6584227718152174E-2</v>
      </c>
      <c r="S57" s="48">
        <f t="shared" ref="S57:S63" si="46">M57-L57</f>
        <v>9.199999999999986E-3</v>
      </c>
      <c r="T57" s="48">
        <f t="shared" ref="T57:T63" si="47">O57-N57</f>
        <v>1.0000000000000009E-2</v>
      </c>
      <c r="U57" s="84">
        <v>-1.5152151983860008E-2</v>
      </c>
      <c r="V57" s="49">
        <v>-1.2699999999999999E-2</v>
      </c>
      <c r="X57" s="39"/>
      <c r="Y57" s="40"/>
      <c r="Z57" s="41"/>
      <c r="AL57" s="15"/>
      <c r="AM57" s="22"/>
      <c r="AN57" s="62"/>
      <c r="AO57" s="62"/>
      <c r="AP57" s="28"/>
      <c r="AQ57" s="28"/>
    </row>
    <row r="58" spans="1:43" ht="16.5" hidden="1" customHeight="1" x14ac:dyDescent="0.35">
      <c r="A58" s="30">
        <v>44681</v>
      </c>
      <c r="B58" s="31">
        <v>2444.066538473834</v>
      </c>
      <c r="C58" s="31">
        <v>2241.9</v>
      </c>
      <c r="D58" s="31">
        <f>201.6/30</f>
        <v>6.72</v>
      </c>
      <c r="E58" s="32">
        <v>6.63</v>
      </c>
      <c r="F58" s="31">
        <v>6.8733333333333331</v>
      </c>
      <c r="G58" s="31">
        <v>6.66</v>
      </c>
      <c r="H58" s="79">
        <f>B58/F58/L58/30/15</f>
        <v>0.79817461340656282</v>
      </c>
      <c r="I58" s="79">
        <f>C58/G58/M58/30/15</f>
        <v>0.75982534083092734</v>
      </c>
      <c r="J58" s="33">
        <f>B58/24/12/30</f>
        <v>0.28287807158261968</v>
      </c>
      <c r="K58" s="33">
        <f>C58/(12*30*24)</f>
        <v>0.25947916666666665</v>
      </c>
      <c r="L58" s="33">
        <v>0.99</v>
      </c>
      <c r="M58" s="33">
        <v>0.98450000000000004</v>
      </c>
      <c r="N58" s="34">
        <v>0.99</v>
      </c>
      <c r="O58" s="35">
        <v>0.98719999999999997</v>
      </c>
      <c r="P58" s="88">
        <f t="shared" si="45"/>
        <v>-5.1679453577620604E-2</v>
      </c>
      <c r="Q58" s="50">
        <f t="shared" si="19"/>
        <v>-8.2717280929705872E-2</v>
      </c>
      <c r="R58" s="51">
        <f t="shared" si="22"/>
        <v>-3.1037827352085268E-2</v>
      </c>
      <c r="S58" s="52">
        <f t="shared" si="46"/>
        <v>-5.4999999999999494E-3</v>
      </c>
      <c r="T58" s="52">
        <f t="shared" si="47"/>
        <v>-2.8000000000000247E-3</v>
      </c>
      <c r="U58" s="86">
        <v>-1.5544724015281293E-2</v>
      </c>
      <c r="V58" s="53">
        <v>-1.35E-2</v>
      </c>
      <c r="X58" s="14"/>
      <c r="Y58" s="7"/>
      <c r="Z58" s="8"/>
      <c r="AA58" s="20"/>
      <c r="AB58" s="20"/>
      <c r="AD58" s="42"/>
      <c r="AE58" s="28"/>
      <c r="AF58" s="28"/>
      <c r="AG58" s="28"/>
      <c r="AH58" s="28"/>
      <c r="AI58" s="29"/>
      <c r="AJ58" s="29"/>
      <c r="AM58" s="29">
        <v>30</v>
      </c>
      <c r="AN58" s="29"/>
      <c r="AQ58">
        <v>30</v>
      </c>
    </row>
    <row r="59" spans="1:43" hidden="1" x14ac:dyDescent="0.35">
      <c r="A59" s="11">
        <v>44712</v>
      </c>
      <c r="B59" s="54">
        <v>2459.8000000000002</v>
      </c>
      <c r="C59" s="54">
        <v>2393.9499999999998</v>
      </c>
      <c r="D59" s="60">
        <v>6.8</v>
      </c>
      <c r="E59" s="54">
        <v>7.09</v>
      </c>
      <c r="F59" s="60">
        <v>6.6</v>
      </c>
      <c r="G59" s="68">
        <v>6.72</v>
      </c>
      <c r="H59" s="38">
        <f>B59/F59/L59/31/15</f>
        <v>0.80959480763977354</v>
      </c>
      <c r="I59" s="38">
        <f>C59/G59/M59/31/15</f>
        <v>0.76611303123399899</v>
      </c>
      <c r="J59" s="38">
        <f>B59/24/12/31</f>
        <v>0.27551523297491043</v>
      </c>
      <c r="K59" s="38">
        <f>C59/(12*31*24)</f>
        <v>0.26813956093189961</v>
      </c>
      <c r="L59" s="38">
        <v>0.99</v>
      </c>
      <c r="M59" s="38">
        <v>1</v>
      </c>
      <c r="N59" s="55">
        <v>0.99</v>
      </c>
      <c r="O59" s="44">
        <v>1</v>
      </c>
      <c r="P59" s="56">
        <f t="shared" si="45"/>
        <v>-4.4952287325651263E-2</v>
      </c>
      <c r="Q59" s="69">
        <f t="shared" si="19"/>
        <v>-2.6770469143832964E-2</v>
      </c>
      <c r="R59" s="70">
        <f t="shared" si="22"/>
        <v>1.8181818181818299E-2</v>
      </c>
      <c r="S59" s="71">
        <f>M59-L59</f>
        <v>1.0000000000000009E-2</v>
      </c>
      <c r="T59" s="71">
        <f>O59-N59</f>
        <v>1.0000000000000009E-2</v>
      </c>
      <c r="U59" s="87">
        <v>-1.4817863757974892E-2</v>
      </c>
      <c r="V59" s="83">
        <v>-1.2999999999999999E-2</v>
      </c>
      <c r="X59" s="39"/>
      <c r="Y59" s="40"/>
      <c r="Z59" s="41"/>
      <c r="AL59" s="15"/>
      <c r="AM59" s="22">
        <v>31</v>
      </c>
      <c r="AN59" s="62"/>
      <c r="AO59" s="62"/>
      <c r="AP59" s="28"/>
      <c r="AQ59" s="28">
        <v>31</v>
      </c>
    </row>
    <row r="60" spans="1:43" hidden="1" x14ac:dyDescent="0.35">
      <c r="A60" s="11">
        <v>44742</v>
      </c>
      <c r="B60" s="54">
        <v>2027.9030728823273</v>
      </c>
      <c r="C60" s="54">
        <v>1988.85</v>
      </c>
      <c r="D60" s="21">
        <f>171.9/30</f>
        <v>5.73</v>
      </c>
      <c r="E60" s="3">
        <v>6.03</v>
      </c>
      <c r="F60" s="21">
        <v>5.42</v>
      </c>
      <c r="G60" s="3">
        <v>5.57</v>
      </c>
      <c r="H60" s="5">
        <f>B60/F60/L60/30/15</f>
        <v>0.83984704481565442</v>
      </c>
      <c r="I60" s="5">
        <f>C60/G60/M60/30/15</f>
        <v>0.79450982267372461</v>
      </c>
      <c r="J60" s="5">
        <f>B60/24/12/30</f>
        <v>0.23471100380582491</v>
      </c>
      <c r="K60" s="5">
        <f>C60/24/12/30</f>
        <v>0.23019097222222221</v>
      </c>
      <c r="L60" s="5">
        <v>0.99</v>
      </c>
      <c r="M60" s="5">
        <v>0.99870000000000003</v>
      </c>
      <c r="N60" s="6">
        <v>0.99</v>
      </c>
      <c r="O60" s="9">
        <v>0.99980000000000002</v>
      </c>
      <c r="P60" s="56">
        <f t="shared" si="45"/>
        <v>-4.6933136462413261E-2</v>
      </c>
      <c r="Q60" s="65">
        <f t="shared" si="19"/>
        <v>-1.9257859709645775E-2</v>
      </c>
      <c r="R60" s="66">
        <f t="shared" si="22"/>
        <v>2.7675276752767486E-2</v>
      </c>
      <c r="S60" s="66">
        <f t="shared" si="46"/>
        <v>8.700000000000041E-3</v>
      </c>
      <c r="T60" s="66">
        <f t="shared" si="47"/>
        <v>9.8000000000000309E-3</v>
      </c>
      <c r="U60" s="87">
        <v>-1.1260253542132783E-2</v>
      </c>
      <c r="V60" s="49">
        <v>-8.5000000000000006E-3</v>
      </c>
      <c r="X60" s="39"/>
      <c r="Y60" s="40"/>
      <c r="Z60" s="41"/>
      <c r="AL60" s="15"/>
      <c r="AM60" s="22">
        <v>30</v>
      </c>
      <c r="AN60" s="62"/>
      <c r="AO60" s="62"/>
      <c r="AP60" s="28"/>
      <c r="AQ60" s="28">
        <v>30</v>
      </c>
    </row>
    <row r="61" spans="1:43" hidden="1" x14ac:dyDescent="0.35">
      <c r="A61" s="11">
        <v>44773</v>
      </c>
      <c r="B61" s="4">
        <v>1641.7720223335061</v>
      </c>
      <c r="C61" s="54">
        <v>1419.6</v>
      </c>
      <c r="D61" s="22">
        <f>134.6/31</f>
        <v>4.3419354838709676</v>
      </c>
      <c r="E61" s="3">
        <v>3.93</v>
      </c>
      <c r="F61" s="22">
        <v>4.1225806451612899</v>
      </c>
      <c r="G61" s="3">
        <v>3.71</v>
      </c>
      <c r="H61" s="5">
        <f>B61/F61/L61/31/15</f>
        <v>0.86507854883393476</v>
      </c>
      <c r="I61" s="5">
        <f>C61/G61/M61/31/15</f>
        <v>0.83355446365949148</v>
      </c>
      <c r="J61" s="5">
        <f>B61/24/12/31</f>
        <v>0.18389023547642316</v>
      </c>
      <c r="K61" s="5">
        <f>C61/24/12/31</f>
        <v>0.15900537634408601</v>
      </c>
      <c r="L61" s="5">
        <v>0.99</v>
      </c>
      <c r="M61" s="5">
        <v>0.98719999999999997</v>
      </c>
      <c r="N61" s="6">
        <v>0.99</v>
      </c>
      <c r="O61" s="9">
        <v>0.98770000000000002</v>
      </c>
      <c r="P61" s="56">
        <f t="shared" si="45"/>
        <v>-3.5246279720010376E-2</v>
      </c>
      <c r="Q61" s="65">
        <f t="shared" si="19"/>
        <v>-0.13532452698135611</v>
      </c>
      <c r="R61" s="66">
        <f t="shared" si="22"/>
        <v>-0.10007824726134573</v>
      </c>
      <c r="S61" s="66">
        <f t="shared" si="46"/>
        <v>-2.8000000000000247E-3</v>
      </c>
      <c r="T61" s="66">
        <f t="shared" si="47"/>
        <v>-2.2999999999999687E-3</v>
      </c>
      <c r="U61" s="87">
        <v>-9.8346934505127541E-3</v>
      </c>
      <c r="V61" s="49">
        <v>-5.0000000000000001E-4</v>
      </c>
      <c r="X61" s="39"/>
      <c r="Y61" s="40"/>
      <c r="Z61" s="41"/>
      <c r="AL61" s="15"/>
      <c r="AM61" s="22">
        <v>31</v>
      </c>
      <c r="AN61" s="62"/>
      <c r="AO61" s="62"/>
      <c r="AP61" s="28"/>
      <c r="AQ61" s="28">
        <v>31</v>
      </c>
    </row>
    <row r="62" spans="1:43" hidden="1" x14ac:dyDescent="0.35">
      <c r="A62" s="11">
        <v>44804</v>
      </c>
      <c r="B62" s="54">
        <v>1301.4046518497305</v>
      </c>
      <c r="C62" s="54">
        <v>1580.7</v>
      </c>
      <c r="D62" s="22">
        <f>104.7/31</f>
        <v>3.3774193548387097</v>
      </c>
      <c r="E62" s="3">
        <v>4.24</v>
      </c>
      <c r="F62" s="22">
        <f>101.7/31</f>
        <v>3.2806451612903227</v>
      </c>
      <c r="G62" s="3">
        <v>4.13</v>
      </c>
      <c r="H62" s="5">
        <f>B62/F62/L62/31/15</f>
        <v>0.86171757022849294</v>
      </c>
      <c r="I62" s="5">
        <f>C62/G62/M62/31/15</f>
        <v>0.82399473287678859</v>
      </c>
      <c r="J62" s="5">
        <f>B62/24/12/31</f>
        <v>0.14576665007277448</v>
      </c>
      <c r="K62" s="5">
        <f>C62/24/12/31</f>
        <v>0.17704973118279568</v>
      </c>
      <c r="L62" s="5">
        <v>0.99</v>
      </c>
      <c r="M62" s="5">
        <v>0.99890000000000001</v>
      </c>
      <c r="N62" s="6">
        <v>0.99</v>
      </c>
      <c r="O62" s="9">
        <v>0.99939999999999996</v>
      </c>
      <c r="P62" s="56">
        <f t="shared" si="45"/>
        <v>-4.4288033384493719E-2</v>
      </c>
      <c r="Q62" s="45">
        <f t="shared" si="19"/>
        <v>0.21461068834608632</v>
      </c>
      <c r="R62" s="66">
        <f t="shared" si="22"/>
        <v>0.25889872173058004</v>
      </c>
      <c r="S62" s="66">
        <f t="shared" si="46"/>
        <v>8.900000000000019E-3</v>
      </c>
      <c r="T62" s="66">
        <f t="shared" si="47"/>
        <v>9.3999999999999639E-3</v>
      </c>
      <c r="U62" s="87">
        <v>-1.1630088163571506E-2</v>
      </c>
      <c r="V62" s="49">
        <v>-1.1000000000000001E-3</v>
      </c>
      <c r="X62" s="39"/>
      <c r="Y62" s="40"/>
      <c r="Z62" s="41"/>
      <c r="AL62" s="15"/>
      <c r="AM62" s="22">
        <v>31</v>
      </c>
      <c r="AN62" s="62"/>
      <c r="AO62" s="62"/>
      <c r="AP62" s="28"/>
      <c r="AQ62" s="28">
        <v>31</v>
      </c>
    </row>
    <row r="63" spans="1:43" hidden="1" x14ac:dyDescent="0.35">
      <c r="A63" s="11">
        <v>44834</v>
      </c>
      <c r="B63" s="54">
        <v>2009.0459330845329</v>
      </c>
      <c r="C63" s="54">
        <v>1849.7</v>
      </c>
      <c r="D63" s="22">
        <f>150/30</f>
        <v>5</v>
      </c>
      <c r="E63" s="3">
        <v>5.04</v>
      </c>
      <c r="F63" s="22">
        <f>157.1/30</f>
        <v>5.2366666666666664</v>
      </c>
      <c r="G63" s="3">
        <v>5.17</v>
      </c>
      <c r="H63" s="5">
        <f>B63/F63/L63/30/15</f>
        <v>0.86116669906556897</v>
      </c>
      <c r="I63" s="5">
        <f>C63/G63/M63/30/15</f>
        <v>0.79537510254477894</v>
      </c>
      <c r="J63" s="5">
        <f>B63/24/12/30</f>
        <v>0.23252846447737646</v>
      </c>
      <c r="K63" s="5">
        <f>C63/24/12/30</f>
        <v>0.21408564814814818</v>
      </c>
      <c r="L63" s="5">
        <v>0.99</v>
      </c>
      <c r="M63" s="5">
        <v>0.99960000000000004</v>
      </c>
      <c r="N63" s="6">
        <v>0.99</v>
      </c>
      <c r="O63" s="9">
        <v>1</v>
      </c>
      <c r="P63" s="56">
        <f t="shared" si="45"/>
        <v>-6.658348618087917E-2</v>
      </c>
      <c r="Q63" s="45">
        <f t="shared" si="19"/>
        <v>-7.9314230929446894E-2</v>
      </c>
      <c r="R63" s="47">
        <f t="shared" si="22"/>
        <v>-1.2730744748567724E-2</v>
      </c>
      <c r="S63" s="66">
        <f t="shared" si="46"/>
        <v>9.6000000000000529E-3</v>
      </c>
      <c r="T63" s="66">
        <f t="shared" si="47"/>
        <v>1.0000000000000009E-2</v>
      </c>
      <c r="U63" s="87">
        <v>-1.365114914946937E-2</v>
      </c>
      <c r="V63" s="49">
        <v>-5.4999999999999997E-3</v>
      </c>
      <c r="X63" s="39"/>
      <c r="Y63" s="40"/>
      <c r="Z63" s="41"/>
      <c r="AL63" s="15"/>
      <c r="AM63" s="22"/>
      <c r="AN63" s="62"/>
      <c r="AO63" s="62"/>
      <c r="AP63" s="28"/>
      <c r="AQ63" s="28">
        <v>30</v>
      </c>
    </row>
    <row r="64" spans="1:43" hidden="1" x14ac:dyDescent="0.35">
      <c r="A64" s="11">
        <v>44865</v>
      </c>
      <c r="B64" s="54">
        <v>2185.4777289078193</v>
      </c>
      <c r="C64" s="54">
        <v>2040.2998700000001</v>
      </c>
      <c r="D64" s="22">
        <v>5.0225806451612902</v>
      </c>
      <c r="E64" s="3">
        <v>5.16</v>
      </c>
      <c r="F64" s="22">
        <v>5.7806451612903222</v>
      </c>
      <c r="G64" s="3">
        <v>5.68</v>
      </c>
      <c r="H64" s="5">
        <f>B64/F64/L64/31/15</f>
        <v>0.82126237407851543</v>
      </c>
      <c r="I64" s="5">
        <f>C64/G64/M64/31/15</f>
        <v>0.78385563485932974</v>
      </c>
      <c r="J64" s="5">
        <f>B64/24/12/31</f>
        <v>0.24478917214469301</v>
      </c>
      <c r="K64" s="5">
        <f>C64/24/12/31</f>
        <v>0.22852821124551972</v>
      </c>
      <c r="L64" s="5">
        <v>0.99</v>
      </c>
      <c r="M64" s="5">
        <v>0.98550000000000004</v>
      </c>
      <c r="N64" s="6">
        <v>0.99</v>
      </c>
      <c r="O64" s="9">
        <v>0.99629999999999996</v>
      </c>
      <c r="P64" s="56">
        <f t="shared" si="45"/>
        <v>-4.901771780833919E-2</v>
      </c>
      <c r="Q64" s="45">
        <f t="shared" si="19"/>
        <v>-6.6428432094053469E-2</v>
      </c>
      <c r="R64" s="47">
        <f t="shared" si="22"/>
        <v>-1.7410714285714279E-2</v>
      </c>
      <c r="S64" s="66">
        <f>M64-L64</f>
        <v>-4.4999999999999485E-3</v>
      </c>
      <c r="T64" s="66">
        <f>O64-N64</f>
        <v>6.2999999999999723E-3</v>
      </c>
      <c r="U64" s="87">
        <v>-1.4062109790277392E-2</v>
      </c>
      <c r="V64" s="49">
        <v>-6.4999999999999997E-3</v>
      </c>
      <c r="X64" s="39"/>
      <c r="Y64" s="40"/>
      <c r="Z64" s="41"/>
      <c r="AL64" s="15"/>
      <c r="AM64" s="22"/>
      <c r="AN64" s="62"/>
      <c r="AO64" s="62"/>
      <c r="AP64" s="28"/>
      <c r="AQ64" s="28">
        <v>31</v>
      </c>
    </row>
    <row r="65" spans="1:43" hidden="1" x14ac:dyDescent="0.35">
      <c r="A65" s="11">
        <v>44895</v>
      </c>
      <c r="B65" s="4">
        <v>1996.2403995167135</v>
      </c>
      <c r="C65" s="54">
        <v>1830</v>
      </c>
      <c r="D65" s="22">
        <f>129.1/30</f>
        <v>4.3033333333333328</v>
      </c>
      <c r="E65" s="3">
        <v>4.5</v>
      </c>
      <c r="F65" s="54">
        <f>159.7/30</f>
        <v>5.3233333333333333</v>
      </c>
      <c r="G65" s="3">
        <v>5.22</v>
      </c>
      <c r="H65" s="5">
        <f>B65/F65/L65/30/15</f>
        <v>0.84174679355302706</v>
      </c>
      <c r="I65" s="5">
        <f>C65/G65/M65/30/15</f>
        <v>0.79479179451739612</v>
      </c>
      <c r="J65" s="5">
        <f>B65/24/12/30</f>
        <v>0.23104634253665662</v>
      </c>
      <c r="K65" s="5">
        <f>C65/24/12/30</f>
        <v>0.21180555555555555</v>
      </c>
      <c r="L65" s="5">
        <v>0.99</v>
      </c>
      <c r="M65" s="5">
        <v>0.98019999999999996</v>
      </c>
      <c r="N65" s="6">
        <v>0.99</v>
      </c>
      <c r="O65" s="9">
        <v>0.99560000000000004</v>
      </c>
      <c r="P65" s="56">
        <f t="shared" si="45"/>
        <v>-6.3865347032534325E-2</v>
      </c>
      <c r="Q65" s="45">
        <f t="shared" si="19"/>
        <v>-8.3276743400724662E-2</v>
      </c>
      <c r="R65" s="47">
        <f t="shared" si="22"/>
        <v>-1.9411396368190337E-2</v>
      </c>
      <c r="S65" s="48">
        <f>M65-L65</f>
        <v>-9.8000000000000309E-3</v>
      </c>
      <c r="T65" s="48">
        <f>O65-N65</f>
        <v>5.6000000000000494E-3</v>
      </c>
      <c r="U65" s="84">
        <v>-1.2838493904412534E-2</v>
      </c>
      <c r="V65" s="49">
        <v>-1.3899999999999999E-2</v>
      </c>
      <c r="X65" s="39"/>
      <c r="Y65" s="40"/>
      <c r="Z65" s="41"/>
      <c r="AL65" s="15"/>
      <c r="AM65" s="22"/>
      <c r="AN65" s="62"/>
      <c r="AO65" s="62"/>
      <c r="AP65" s="28"/>
      <c r="AQ65" s="28">
        <v>30</v>
      </c>
    </row>
    <row r="66" spans="1:43" hidden="1" x14ac:dyDescent="0.35">
      <c r="A66" s="11">
        <v>44926</v>
      </c>
      <c r="B66" s="4">
        <v>1792.7746994946963</v>
      </c>
      <c r="C66" s="54">
        <v>1806.90022</v>
      </c>
      <c r="D66" s="22">
        <f>112.3/31</f>
        <v>3.6225806451612903</v>
      </c>
      <c r="E66" s="3">
        <v>4.03</v>
      </c>
      <c r="F66" s="54">
        <f>142.2/31</f>
        <v>4.5870967741935482</v>
      </c>
      <c r="G66" s="3">
        <v>4.76</v>
      </c>
      <c r="H66" s="5">
        <f>B66/F66/L66/31/15</f>
        <v>0.84898431075627168</v>
      </c>
      <c r="I66" s="5">
        <f>C66/G66/M66/31/15</f>
        <v>0.82119101960626162</v>
      </c>
      <c r="J66" s="5">
        <f>B66/24/12/31</f>
        <v>0.20080361777494357</v>
      </c>
      <c r="K66" s="5">
        <f>C66/24/12/31</f>
        <v>0.20238577732974911</v>
      </c>
      <c r="L66" s="5">
        <v>0.99</v>
      </c>
      <c r="M66" s="5">
        <v>0.99409999999999998</v>
      </c>
      <c r="N66" s="6">
        <v>0.99</v>
      </c>
      <c r="O66" s="9">
        <v>0.995</v>
      </c>
      <c r="P66" s="56">
        <f t="shared" si="45"/>
        <v>-2.9814250897626904E-2</v>
      </c>
      <c r="Q66" s="45">
        <f t="shared" si="19"/>
        <v>7.8791386944969677E-3</v>
      </c>
      <c r="R66" s="47">
        <f t="shared" si="22"/>
        <v>3.7693389592123872E-2</v>
      </c>
      <c r="S66" s="48">
        <f>M66-L66</f>
        <v>4.0999999999999925E-3</v>
      </c>
      <c r="T66" s="48">
        <f>O66-N66</f>
        <v>5.0000000000000044E-3</v>
      </c>
      <c r="U66" s="84">
        <v>-1.22450008199854E-2</v>
      </c>
      <c r="V66" s="49">
        <v>-1.2800000000000001E-2</v>
      </c>
      <c r="X66" s="39"/>
      <c r="Y66" s="40"/>
      <c r="Z66" s="41"/>
      <c r="AL66" s="15"/>
      <c r="AM66" s="22"/>
      <c r="AN66" s="62"/>
      <c r="AO66" s="62"/>
      <c r="AP66" s="28"/>
      <c r="AQ66" s="28">
        <v>31</v>
      </c>
    </row>
    <row r="67" spans="1:43" hidden="1" x14ac:dyDescent="0.35">
      <c r="A67" s="11">
        <v>44957</v>
      </c>
      <c r="B67" s="4">
        <v>1960.6694729394371</v>
      </c>
      <c r="C67" s="54">
        <v>1812.5</v>
      </c>
      <c r="D67" s="22">
        <f>124.4/31</f>
        <v>4.0129032258064514</v>
      </c>
      <c r="E67" s="3">
        <v>4.0999999999999996</v>
      </c>
      <c r="F67" s="22">
        <v>5.0451612903225804</v>
      </c>
      <c r="G67" s="3">
        <v>4.78</v>
      </c>
      <c r="H67" s="5">
        <f>B67/F67/L67/31/15</f>
        <v>0.84419190754063966</v>
      </c>
      <c r="I67" s="5">
        <f>C67/G67/M67/31/15</f>
        <v>0.8156128008793373</v>
      </c>
      <c r="J67" s="5">
        <f>B67/24/12/31</f>
        <v>0.2196090359475176</v>
      </c>
      <c r="K67" s="5">
        <f>C67/24/12/31</f>
        <v>0.20301299283154123</v>
      </c>
      <c r="L67" s="5">
        <v>0.99</v>
      </c>
      <c r="M67" s="5">
        <v>0.99980000000000002</v>
      </c>
      <c r="N67" s="6">
        <v>0.99</v>
      </c>
      <c r="O67" s="9">
        <v>1</v>
      </c>
      <c r="P67" s="56">
        <f t="shared" si="45"/>
        <v>-2.301331253657346E-2</v>
      </c>
      <c r="Q67" s="45">
        <f t="shared" si="19"/>
        <v>-7.5570857293606575E-2</v>
      </c>
      <c r="R67" s="47">
        <f t="shared" si="22"/>
        <v>-5.2557544757033114E-2</v>
      </c>
      <c r="S67" s="48">
        <f>M67-L67</f>
        <v>9.8000000000000309E-3</v>
      </c>
      <c r="T67" s="48">
        <f>O67-N67</f>
        <v>1.0000000000000009E-2</v>
      </c>
      <c r="U67" s="84">
        <v>-1.2369224062772841E-2</v>
      </c>
      <c r="V67" s="49">
        <v>-1.18E-2</v>
      </c>
      <c r="X67" s="39"/>
      <c r="Y67" s="40"/>
      <c r="Z67" s="41"/>
      <c r="AL67" s="15"/>
      <c r="AM67" s="22"/>
      <c r="AN67" s="62"/>
      <c r="AO67" s="62"/>
      <c r="AP67" s="28"/>
      <c r="AQ67" s="28"/>
    </row>
    <row r="68" spans="1:43" hidden="1" x14ac:dyDescent="0.35">
      <c r="A68" s="11">
        <v>44985</v>
      </c>
      <c r="B68" s="4">
        <v>1868.185063838521</v>
      </c>
      <c r="C68" s="54">
        <v>2100.3995199999999</v>
      </c>
      <c r="D68" s="22">
        <v>4.6571428571428575</v>
      </c>
      <c r="E68" s="3">
        <v>5.66</v>
      </c>
      <c r="F68" s="22">
        <v>5.4535714285714301</v>
      </c>
      <c r="G68" s="3">
        <v>6.31</v>
      </c>
      <c r="H68" s="5">
        <f>B68/F68/L68/DAY(A68)/15</f>
        <v>0.82386187297049096</v>
      </c>
      <c r="I68" s="5">
        <f>C68/G68/M68/DAY(A68)/15</f>
        <v>0.79389339660231251</v>
      </c>
      <c r="J68" s="5">
        <f>B68/24/12/DAY(A68)</f>
        <v>0.23166977478156262</v>
      </c>
      <c r="K68" s="5">
        <f>C68/24/12/DAY(A68)</f>
        <v>0.26046621031746031</v>
      </c>
      <c r="L68" s="5">
        <v>0.99</v>
      </c>
      <c r="M68" s="5">
        <v>0.99829999999999997</v>
      </c>
      <c r="N68" s="6">
        <v>0.99</v>
      </c>
      <c r="O68" s="9">
        <v>0.99870000000000003</v>
      </c>
      <c r="P68" s="56">
        <f t="shared" si="45"/>
        <v>-3.2740454665265428E-2</v>
      </c>
      <c r="Q68" s="45">
        <f t="shared" si="19"/>
        <v>0.12429949294442633</v>
      </c>
      <c r="R68" s="47">
        <f t="shared" si="22"/>
        <v>0.15703994760969175</v>
      </c>
      <c r="S68" s="48">
        <f>M68-L68</f>
        <v>8.2999999999999741E-3</v>
      </c>
      <c r="T68" s="48">
        <f>O68-N68</f>
        <v>8.700000000000041E-3</v>
      </c>
      <c r="U68" s="84">
        <v>-1.4960596538948667E-2</v>
      </c>
      <c r="V68" s="49">
        <v>-1.1299999999999999E-2</v>
      </c>
      <c r="X68" s="39"/>
      <c r="Y68" s="40"/>
      <c r="Z68" s="41"/>
      <c r="AL68" s="15"/>
      <c r="AM68" s="22"/>
      <c r="AN68" s="62"/>
      <c r="AO68" s="62"/>
      <c r="AP68" s="28"/>
      <c r="AQ68" s="28"/>
    </row>
    <row r="69" spans="1:43" hidden="1" x14ac:dyDescent="0.35">
      <c r="A69" s="11">
        <v>45016</v>
      </c>
      <c r="B69" s="4">
        <v>2609.4831737089471</v>
      </c>
      <c r="C69" s="54">
        <v>2063.30042</v>
      </c>
      <c r="D69" s="22">
        <f>194.9/31</f>
        <v>6.2870967741935484</v>
      </c>
      <c r="E69" s="4">
        <v>5.55</v>
      </c>
      <c r="F69" s="22">
        <v>6.9129032258064518</v>
      </c>
      <c r="G69" s="4">
        <v>5.71</v>
      </c>
      <c r="H69" s="5">
        <f>B69/F69/L69/DAY(A69)/15</f>
        <v>0.81998493999222188</v>
      </c>
      <c r="I69" s="5">
        <f>C69/G69/M69/DAY(A69)/15</f>
        <v>0.77872906208134729</v>
      </c>
      <c r="J69" s="5">
        <f>B69/24/12/DAY(A69)</f>
        <v>0.29228082142797346</v>
      </c>
      <c r="K69" s="5">
        <f>C69/24/12/DAY(A69)</f>
        <v>0.23110443772401434</v>
      </c>
      <c r="L69" s="5">
        <v>0.99</v>
      </c>
      <c r="M69" s="5">
        <v>0.99790000000000001</v>
      </c>
      <c r="N69" s="6">
        <v>0.99</v>
      </c>
      <c r="O69" s="9">
        <v>0.99970000000000003</v>
      </c>
      <c r="P69" s="56">
        <f t="shared" si="45"/>
        <v>-3.5298469909359143E-2</v>
      </c>
      <c r="Q69" s="45">
        <f t="shared" si="19"/>
        <v>-0.20930686934939646</v>
      </c>
      <c r="R69" s="47">
        <f t="shared" si="22"/>
        <v>-0.17400839944003732</v>
      </c>
      <c r="S69" s="48">
        <f t="shared" ref="S69" si="48">M69-L69</f>
        <v>7.9000000000000181E-3</v>
      </c>
      <c r="T69" s="48">
        <f t="shared" ref="T69" si="49">O69-N69</f>
        <v>9.7000000000000419E-3</v>
      </c>
      <c r="U69" s="84">
        <v>-1.3577272075345741E-2</v>
      </c>
      <c r="V69" s="49">
        <v>-9.4999999999999998E-3</v>
      </c>
      <c r="X69" s="39"/>
      <c r="Y69" s="40"/>
      <c r="Z69" s="41"/>
      <c r="AL69" s="15"/>
      <c r="AM69" s="22"/>
      <c r="AN69" s="62"/>
      <c r="AO69" s="62"/>
      <c r="AP69" s="28"/>
      <c r="AQ69" s="28"/>
    </row>
    <row r="70" spans="1:43" hidden="1" x14ac:dyDescent="0.35">
      <c r="A70" s="11">
        <f>EOMONTH(A69,1)</f>
        <v>45046</v>
      </c>
      <c r="B70" s="4">
        <v>2431.6285408225676</v>
      </c>
      <c r="C70" s="54">
        <v>2157.9998099999998</v>
      </c>
      <c r="D70" s="22">
        <f>201.6/30</f>
        <v>6.72</v>
      </c>
      <c r="E70" s="4">
        <v>6.42</v>
      </c>
      <c r="F70" s="22">
        <v>6.8733333333333331</v>
      </c>
      <c r="G70" s="4">
        <v>6.49</v>
      </c>
      <c r="H70" s="5">
        <f>B70/F70/L70/DAY(A70)/15</f>
        <v>0.79411265608642767</v>
      </c>
      <c r="I70" s="5">
        <f>C70/G70/M70/DAY(A70)/15</f>
        <v>0.73987634361238674</v>
      </c>
      <c r="J70" s="5">
        <f>B70/24/12/DAY(A70)</f>
        <v>0.28143848852113051</v>
      </c>
      <c r="K70" s="5">
        <f>C70/24/12/DAY(A70)</f>
        <v>0.24976849652777774</v>
      </c>
      <c r="L70" s="5">
        <v>0.99</v>
      </c>
      <c r="M70" s="5">
        <v>0.99870000000000003</v>
      </c>
      <c r="N70" s="6">
        <v>0.99</v>
      </c>
      <c r="O70" s="9">
        <v>0.99939999999999996</v>
      </c>
      <c r="P70" s="56">
        <f t="shared" si="45"/>
        <v>-5.6757905108615447E-2</v>
      </c>
      <c r="Q70" s="45">
        <f t="shared" ref="Q70:Q82" si="50">C70/B70-1</f>
        <v>-0.11252900113189379</v>
      </c>
      <c r="R70" s="47">
        <f t="shared" ref="R70:R82" si="51">G70/F70-1</f>
        <v>-5.5771096023278344E-2</v>
      </c>
      <c r="S70" s="48">
        <f t="shared" ref="S70:S82" si="52">M70-L70</f>
        <v>8.700000000000041E-3</v>
      </c>
      <c r="T70" s="48">
        <f t="shared" ref="T70:T82" si="53">O70-N70</f>
        <v>9.3999999999999639E-3</v>
      </c>
      <c r="U70" s="84">
        <v>-1.3936572995202286E-2</v>
      </c>
      <c r="V70" s="49">
        <v>-1.26E-2</v>
      </c>
    </row>
    <row r="71" spans="1:43" hidden="1" x14ac:dyDescent="0.35">
      <c r="A71" s="11">
        <f t="shared" ref="A71:A102" si="54">EOMONTH(A70,1)</f>
        <v>45077</v>
      </c>
      <c r="B71" s="4">
        <v>2447.2797485165693</v>
      </c>
      <c r="C71" s="54">
        <v>2237.5007000000001</v>
      </c>
      <c r="D71" s="60">
        <v>6.8</v>
      </c>
      <c r="E71" s="4">
        <v>6.82</v>
      </c>
      <c r="F71" s="60">
        <v>6.6</v>
      </c>
      <c r="G71" s="4">
        <v>6.4766052601446598</v>
      </c>
      <c r="H71" s="5">
        <f t="shared" ref="H71:H102" si="55">B71/F71/L71/DAY(A71)/15</f>
        <v>0.80547401302584976</v>
      </c>
      <c r="I71" s="5">
        <f t="shared" ref="I71:I92" si="56">C71/G71/M71/DAY(A71)/15</f>
        <v>0.7440716016915494</v>
      </c>
      <c r="J71" s="5">
        <f t="shared" ref="J71:J102" si="57">B71/24/12/DAY(A71)</f>
        <v>0.27411287505785947</v>
      </c>
      <c r="K71" s="5">
        <f t="shared" ref="K71:K92" si="58">C71/24/12/DAY(A71)</f>
        <v>0.25061611783154125</v>
      </c>
      <c r="L71" s="5">
        <v>0.99</v>
      </c>
      <c r="M71" s="5">
        <v>0.99850000000000005</v>
      </c>
      <c r="N71" s="6">
        <v>0.99</v>
      </c>
      <c r="O71" s="9">
        <v>0.99919999999999998</v>
      </c>
      <c r="P71" s="56">
        <f t="shared" si="45"/>
        <v>-6.7023103418974106E-2</v>
      </c>
      <c r="Q71" s="45">
        <f t="shared" si="50"/>
        <v>-8.5719276124328614E-2</v>
      </c>
      <c r="R71" s="47">
        <f>G71/F71-1</f>
        <v>-1.8696172705354508E-2</v>
      </c>
      <c r="S71" s="48">
        <f t="shared" si="52"/>
        <v>8.5000000000000631E-3</v>
      </c>
      <c r="T71" s="48">
        <f t="shared" si="53"/>
        <v>9.199999999999986E-3</v>
      </c>
      <c r="U71" s="84">
        <v>-1.3795530677009534E-2</v>
      </c>
      <c r="V71" s="49">
        <v>-1.23E-2</v>
      </c>
    </row>
    <row r="72" spans="1:43" hidden="1" x14ac:dyDescent="0.35">
      <c r="A72" s="11">
        <f t="shared" si="54"/>
        <v>45107</v>
      </c>
      <c r="B72" s="4">
        <v>2017.5829554630786</v>
      </c>
      <c r="C72" s="54">
        <v>1811.6992600000001</v>
      </c>
      <c r="D72" s="21">
        <f>171.9/30</f>
        <v>5.73</v>
      </c>
      <c r="E72" s="4">
        <v>5.5279999999999996</v>
      </c>
      <c r="F72" s="21">
        <v>5.42</v>
      </c>
      <c r="G72" s="4">
        <v>5.1887024523203387</v>
      </c>
      <c r="H72" s="5">
        <f t="shared" si="55"/>
        <v>0.8355730140532337</v>
      </c>
      <c r="I72" s="5">
        <f t="shared" si="56"/>
        <v>0.7766151663350459</v>
      </c>
      <c r="J72" s="5">
        <f t="shared" si="57"/>
        <v>0.23351654577118966</v>
      </c>
      <c r="K72" s="5">
        <f t="shared" si="58"/>
        <v>0.20968741435185184</v>
      </c>
      <c r="L72" s="5">
        <v>0.99</v>
      </c>
      <c r="M72" s="5">
        <v>0.99909999999999999</v>
      </c>
      <c r="N72" s="6">
        <v>0.99</v>
      </c>
      <c r="O72" s="9">
        <v>0.99909999999999999</v>
      </c>
      <c r="P72" s="56">
        <f t="shared" si="45"/>
        <v>-5.9369899519362557E-2</v>
      </c>
      <c r="Q72" s="45">
        <f t="shared" si="50"/>
        <v>-0.10204472381450302</v>
      </c>
      <c r="R72" s="47">
        <f t="shared" si="51"/>
        <v>-4.2674824295140468E-2</v>
      </c>
      <c r="S72" s="48">
        <f t="shared" si="52"/>
        <v>9.099999999999997E-3</v>
      </c>
      <c r="T72" s="48">
        <f t="shared" si="53"/>
        <v>9.099999999999997E-3</v>
      </c>
      <c r="U72" s="81">
        <v>-1.2200000000000001E-2</v>
      </c>
      <c r="V72" s="49">
        <v>-1.0800000000000001E-2</v>
      </c>
    </row>
    <row r="73" spans="1:43" hidden="1" x14ac:dyDescent="0.35">
      <c r="A73" s="11">
        <f t="shared" si="54"/>
        <v>45138</v>
      </c>
      <c r="B73" s="4">
        <v>1633.416948428501</v>
      </c>
      <c r="C73" s="54">
        <v>1535.4</v>
      </c>
      <c r="D73" s="22">
        <f>134.6/31</f>
        <v>4.3419354838709676</v>
      </c>
      <c r="E73" s="4">
        <v>4.3099999999999996</v>
      </c>
      <c r="F73" s="22">
        <v>4.1225806451612899</v>
      </c>
      <c r="G73" s="4">
        <v>4.1500000000000004</v>
      </c>
      <c r="H73" s="5">
        <f t="shared" si="55"/>
        <v>0.86067611347091222</v>
      </c>
      <c r="I73" s="5">
        <f t="shared" si="56"/>
        <v>0.79820134886358451</v>
      </c>
      <c r="J73" s="5">
        <f t="shared" si="57"/>
        <v>0.18295440730605969</v>
      </c>
      <c r="K73" s="5">
        <f t="shared" si="58"/>
        <v>0.17197580645161289</v>
      </c>
      <c r="L73" s="5">
        <v>0.99</v>
      </c>
      <c r="M73" s="5">
        <v>0.99680000000000002</v>
      </c>
      <c r="N73" s="6">
        <v>0.99</v>
      </c>
      <c r="O73" s="9">
        <v>0.99950000000000006</v>
      </c>
      <c r="P73" s="56">
        <f t="shared" si="45"/>
        <v>-6.6658321854405345E-2</v>
      </c>
      <c r="Q73" s="45">
        <f t="shared" si="50"/>
        <v>-6.0007304640007697E-2</v>
      </c>
      <c r="R73" s="47">
        <f t="shared" si="51"/>
        <v>6.6510172143976476E-3</v>
      </c>
      <c r="S73" s="48">
        <f t="shared" si="52"/>
        <v>6.8000000000000282E-3</v>
      </c>
      <c r="T73" s="48">
        <f t="shared" si="53"/>
        <v>9.5000000000000639E-3</v>
      </c>
      <c r="U73" s="81">
        <v>-1.0058027079303601E-2</v>
      </c>
      <c r="V73" s="49">
        <v>-4.0000000000000002E-4</v>
      </c>
    </row>
    <row r="74" spans="1:43" hidden="1" x14ac:dyDescent="0.35">
      <c r="A74" s="11">
        <f t="shared" si="54"/>
        <v>45169</v>
      </c>
      <c r="B74" s="4">
        <v>1294.7817274128358</v>
      </c>
      <c r="C74" s="54">
        <v>1623.59962</v>
      </c>
      <c r="D74" s="22">
        <f>104.7/31</f>
        <v>3.3774193548387097</v>
      </c>
      <c r="E74" s="4">
        <v>4.54</v>
      </c>
      <c r="F74" s="22">
        <f>101.7/31</f>
        <v>3.2806451612903227</v>
      </c>
      <c r="G74" s="4">
        <v>4.47</v>
      </c>
      <c r="H74" s="5">
        <f t="shared" si="55"/>
        <v>0.85733223908229172</v>
      </c>
      <c r="I74" s="5">
        <f t="shared" si="56"/>
        <v>0.78627439658466181</v>
      </c>
      <c r="J74" s="5">
        <f t="shared" si="57"/>
        <v>0.14502483505968142</v>
      </c>
      <c r="K74" s="5">
        <f t="shared" si="58"/>
        <v>0.18185479614695341</v>
      </c>
      <c r="L74" s="5">
        <v>0.99</v>
      </c>
      <c r="M74" s="5">
        <v>0.99344614988553581</v>
      </c>
      <c r="N74" s="6">
        <v>0.99</v>
      </c>
      <c r="O74" s="9">
        <v>0.997</v>
      </c>
      <c r="P74" s="56">
        <f t="shared" ref="P74:P86" si="59">Q74-R74</f>
        <v>-0.10858063819758135</v>
      </c>
      <c r="Q74" s="45">
        <f t="shared" si="50"/>
        <v>0.25395623495876074</v>
      </c>
      <c r="R74" s="47">
        <f t="shared" si="51"/>
        <v>0.36253687315634209</v>
      </c>
      <c r="S74" s="48">
        <f t="shared" si="52"/>
        <v>3.4461498855358208E-3</v>
      </c>
      <c r="T74" s="48">
        <f t="shared" si="53"/>
        <v>7.0000000000000062E-3</v>
      </c>
      <c r="U74" s="81">
        <v>-1.0362294282579501E-2</v>
      </c>
      <c r="V74" s="49">
        <v>-6.1000000000000004E-3</v>
      </c>
    </row>
    <row r="75" spans="1:43" hidden="1" x14ac:dyDescent="0.35">
      <c r="A75" s="11">
        <f t="shared" si="54"/>
        <v>45199</v>
      </c>
      <c r="B75" s="4">
        <v>1998.7694832989341</v>
      </c>
      <c r="C75" s="54">
        <v>1560.7005099999999</v>
      </c>
      <c r="D75" s="22">
        <f>150/30</f>
        <v>5</v>
      </c>
      <c r="E75" s="4">
        <v>4.37</v>
      </c>
      <c r="F75" s="22">
        <f>157.1/30</f>
        <v>5.2366666666666664</v>
      </c>
      <c r="G75" s="4">
        <v>4.51</v>
      </c>
      <c r="H75" s="5">
        <f t="shared" si="55"/>
        <v>0.85676175431331514</v>
      </c>
      <c r="I75" s="5">
        <f t="shared" si="56"/>
        <v>0.77217330646683668</v>
      </c>
      <c r="J75" s="5">
        <f t="shared" si="57"/>
        <v>0.23133906056700626</v>
      </c>
      <c r="K75" s="5">
        <f t="shared" si="58"/>
        <v>0.18063663310185182</v>
      </c>
      <c r="L75" s="5">
        <v>0.99</v>
      </c>
      <c r="M75" s="5">
        <v>0.99590000000000001</v>
      </c>
      <c r="N75" s="6">
        <v>0.99</v>
      </c>
      <c r="O75" s="9">
        <v>0.99880000000000002</v>
      </c>
      <c r="P75" s="56">
        <f t="shared" si="59"/>
        <v>-8.0404214652025074E-2</v>
      </c>
      <c r="Q75" s="45">
        <f>C75/B75-1</f>
        <v>-0.21916933241141401</v>
      </c>
      <c r="R75" s="47">
        <f>G75/F75-1</f>
        <v>-0.13876511775938893</v>
      </c>
      <c r="S75" s="48">
        <f t="shared" si="52"/>
        <v>5.9000000000000163E-3</v>
      </c>
      <c r="T75" s="48">
        <f t="shared" si="53"/>
        <v>8.80000000000003E-3</v>
      </c>
      <c r="U75" s="81">
        <v>-1.17E-2</v>
      </c>
      <c r="V75" s="49">
        <v>-3.3E-3</v>
      </c>
    </row>
    <row r="76" spans="1:43" hidden="1" x14ac:dyDescent="0.35">
      <c r="A76" s="11">
        <f t="shared" si="54"/>
        <v>45230</v>
      </c>
      <c r="B76" s="4">
        <v>2174.2988146934572</v>
      </c>
      <c r="C76" s="54">
        <v>2042.0995800000001</v>
      </c>
      <c r="D76" s="22">
        <v>5.0225806451612902</v>
      </c>
      <c r="E76" s="4">
        <v>5.31</v>
      </c>
      <c r="F76" s="22">
        <v>5.7806451612903222</v>
      </c>
      <c r="G76" s="4">
        <v>5.77</v>
      </c>
      <c r="H76" s="5">
        <f t="shared" si="55"/>
        <v>0.81706154352056926</v>
      </c>
      <c r="I76" s="5">
        <f t="shared" si="56"/>
        <v>0.76401452034194406</v>
      </c>
      <c r="J76" s="5">
        <f t="shared" si="57"/>
        <v>0.24353705361709871</v>
      </c>
      <c r="K76" s="5">
        <f t="shared" si="58"/>
        <v>0.22872979166666668</v>
      </c>
      <c r="L76" s="5">
        <v>0.99</v>
      </c>
      <c r="M76" s="5">
        <v>0.99619999999999997</v>
      </c>
      <c r="N76" s="6">
        <v>0.99</v>
      </c>
      <c r="O76" s="9">
        <v>1</v>
      </c>
      <c r="P76" s="56">
        <f t="shared" si="59"/>
        <v>-5.8959340700145635E-2</v>
      </c>
      <c r="Q76" s="45">
        <f t="shared" si="50"/>
        <v>-6.0800858557288562E-2</v>
      </c>
      <c r="R76" s="47">
        <f t="shared" si="51"/>
        <v>-1.8415178571429269E-3</v>
      </c>
      <c r="S76" s="48">
        <f t="shared" si="52"/>
        <v>6.1999999999999833E-3</v>
      </c>
      <c r="T76" s="48">
        <f t="shared" si="53"/>
        <v>1.0000000000000009E-2</v>
      </c>
      <c r="U76" s="81">
        <v>-1.34E-2</v>
      </c>
      <c r="V76" s="49">
        <v>-1.5699999999999999E-2</v>
      </c>
    </row>
    <row r="77" spans="1:43" hidden="1" x14ac:dyDescent="0.35">
      <c r="A77" s="11">
        <f t="shared" si="54"/>
        <v>45260</v>
      </c>
      <c r="B77" s="4">
        <v>1986.0294511815896</v>
      </c>
      <c r="C77" s="110">
        <v>1580.4998700000001</v>
      </c>
      <c r="D77" s="22">
        <f>129.1/30</f>
        <v>4.3033333333333328</v>
      </c>
      <c r="E77" s="110">
        <v>4.0599999999999996</v>
      </c>
      <c r="F77" s="54">
        <f>159.7/30</f>
        <v>5.3233333333333333</v>
      </c>
      <c r="G77" s="111">
        <v>4.51</v>
      </c>
      <c r="H77" s="5">
        <f t="shared" si="55"/>
        <v>0.83744118335582485</v>
      </c>
      <c r="I77" s="5">
        <f t="shared" si="56"/>
        <v>0.77938668747266859</v>
      </c>
      <c r="J77" s="5">
        <f t="shared" si="57"/>
        <v>0.22986451981268397</v>
      </c>
      <c r="K77" s="5">
        <f t="shared" si="58"/>
        <v>0.18292822569444445</v>
      </c>
      <c r="L77" s="5">
        <v>0.99</v>
      </c>
      <c r="M77" s="112">
        <v>0.99919999999999998</v>
      </c>
      <c r="N77" s="6">
        <v>0.99</v>
      </c>
      <c r="O77" s="113">
        <v>0.99939999999999996</v>
      </c>
      <c r="P77" s="56">
        <f t="shared" si="59"/>
        <v>-5.1404646967194045E-2</v>
      </c>
      <c r="Q77" s="45">
        <f t="shared" si="50"/>
        <v>-0.20419112160714403</v>
      </c>
      <c r="R77" s="47">
        <f t="shared" si="51"/>
        <v>-0.15278647463994999</v>
      </c>
      <c r="S77" s="48">
        <f t="shared" si="52"/>
        <v>9.199999999999986E-3</v>
      </c>
      <c r="T77" s="48">
        <f t="shared" si="53"/>
        <v>9.3999999999999639E-3</v>
      </c>
      <c r="U77" s="81">
        <v>-1.06422910798122E-2</v>
      </c>
      <c r="V77" s="49">
        <v>-1.29E-2</v>
      </c>
    </row>
    <row r="78" spans="1:43" hidden="1" x14ac:dyDescent="0.35">
      <c r="A78" s="11">
        <f t="shared" si="54"/>
        <v>45291</v>
      </c>
      <c r="B78" s="4">
        <v>1783.6044964282271</v>
      </c>
      <c r="C78" s="54">
        <v>1452.0009299999999</v>
      </c>
      <c r="D78" s="22">
        <f>112.3/31</f>
        <v>3.6225806451612903</v>
      </c>
      <c r="E78" s="4">
        <v>3.38</v>
      </c>
      <c r="F78" s="54">
        <f>142.2/31</f>
        <v>4.5870967741935482</v>
      </c>
      <c r="G78" s="4">
        <v>3.88</v>
      </c>
      <c r="H78" s="5">
        <f t="shared" si="55"/>
        <v>0.84464168001071527</v>
      </c>
      <c r="I78" s="5">
        <f t="shared" si="56"/>
        <v>0.80503085079165249</v>
      </c>
      <c r="J78" s="5">
        <f t="shared" si="57"/>
        <v>0.19977648929527633</v>
      </c>
      <c r="K78" s="5">
        <f t="shared" si="58"/>
        <v>0.16263451276881719</v>
      </c>
      <c r="L78" s="5">
        <v>0.99</v>
      </c>
      <c r="M78" s="5">
        <v>0.99970000000000003</v>
      </c>
      <c r="N78" s="6">
        <v>0.99</v>
      </c>
      <c r="O78" s="9">
        <v>1</v>
      </c>
      <c r="P78" s="56">
        <f t="shared" si="59"/>
        <v>-3.1768569768718002E-2</v>
      </c>
      <c r="Q78" s="45">
        <f t="shared" si="50"/>
        <v>-0.18591765556337336</v>
      </c>
      <c r="R78" s="47">
        <f t="shared" si="51"/>
        <v>-0.15414908579465536</v>
      </c>
      <c r="S78" s="48">
        <f t="shared" si="52"/>
        <v>9.7000000000000419E-3</v>
      </c>
      <c r="T78" s="48">
        <f t="shared" si="53"/>
        <v>1.0000000000000009E-2</v>
      </c>
      <c r="U78" s="81">
        <v>-1.0763775718762299E-2</v>
      </c>
      <c r="V78" s="49">
        <v>-1.15E-2</v>
      </c>
    </row>
    <row r="79" spans="1:43" x14ac:dyDescent="0.35">
      <c r="A79" s="11">
        <f t="shared" si="54"/>
        <v>45322</v>
      </c>
      <c r="B79" s="4">
        <v>1950.640473077854</v>
      </c>
      <c r="C79" s="54">
        <v>1442.5996500000001</v>
      </c>
      <c r="D79" s="22">
        <v>4.0129032258064514</v>
      </c>
      <c r="E79" s="4">
        <v>3.48</v>
      </c>
      <c r="F79" s="54">
        <v>5.0451612903225804</v>
      </c>
      <c r="G79" s="4">
        <v>3.9</v>
      </c>
      <c r="H79" s="5">
        <f t="shared" si="55"/>
        <v>0.83987379036651855</v>
      </c>
      <c r="I79" s="5">
        <f t="shared" si="56"/>
        <v>0.79803186574208695</v>
      </c>
      <c r="J79" s="5">
        <f t="shared" si="57"/>
        <v>0.21848571607054817</v>
      </c>
      <c r="K79" s="5">
        <f t="shared" si="58"/>
        <v>0.16158150201612903</v>
      </c>
      <c r="L79" s="5">
        <v>0.99</v>
      </c>
      <c r="M79" s="5">
        <v>0.99680000000000002</v>
      </c>
      <c r="N79" s="6">
        <v>0.99</v>
      </c>
      <c r="O79" s="9">
        <v>1</v>
      </c>
      <c r="P79" s="56">
        <f t="shared" si="59"/>
        <v>-3.346611461330995E-2</v>
      </c>
      <c r="Q79" s="45">
        <f t="shared" si="50"/>
        <v>-0.26044821180001065</v>
      </c>
      <c r="R79" s="47">
        <f t="shared" si="51"/>
        <v>-0.2269820971867007</v>
      </c>
      <c r="S79" s="48">
        <f t="shared" si="52"/>
        <v>6.8000000000000282E-3</v>
      </c>
      <c r="T79" s="48">
        <f t="shared" si="53"/>
        <v>1.0000000000000009E-2</v>
      </c>
      <c r="U79" s="81">
        <v>-1.09018512170062E-2</v>
      </c>
      <c r="V79" s="49">
        <v>-1.06E-2</v>
      </c>
    </row>
    <row r="80" spans="1:43" x14ac:dyDescent="0.35">
      <c r="A80" s="11">
        <f t="shared" si="54"/>
        <v>45351</v>
      </c>
      <c r="B80" s="4">
        <v>1858.6291300081448</v>
      </c>
      <c r="C80" s="54">
        <v>1777.8007399999999</v>
      </c>
      <c r="D80" s="22">
        <v>4.6571428571428575</v>
      </c>
      <c r="E80" s="4">
        <v>4.91</v>
      </c>
      <c r="F80" s="54">
        <v>5.4535714285714301</v>
      </c>
      <c r="G80" s="4">
        <v>5.27</v>
      </c>
      <c r="H80" s="5">
        <f t="shared" si="55"/>
        <v>0.79138403037257143</v>
      </c>
      <c r="I80" s="5">
        <f t="shared" si="56"/>
        <v>0.77565764630602829</v>
      </c>
      <c r="J80" s="5">
        <f t="shared" si="57"/>
        <v>0.22253701269254608</v>
      </c>
      <c r="K80" s="5">
        <f t="shared" si="58"/>
        <v>0.21285928400383139</v>
      </c>
      <c r="L80" s="5">
        <v>0.99</v>
      </c>
      <c r="M80" s="5">
        <v>0.99980000000000002</v>
      </c>
      <c r="N80" s="6">
        <v>0.99</v>
      </c>
      <c r="O80" s="9">
        <v>1</v>
      </c>
      <c r="P80" s="56">
        <f t="shared" si="59"/>
        <v>-9.8274028575271455E-3</v>
      </c>
      <c r="Q80" s="45">
        <f t="shared" si="50"/>
        <v>-4.3488175614567415E-2</v>
      </c>
      <c r="R80" s="47">
        <f t="shared" si="51"/>
        <v>-3.3660772757040269E-2</v>
      </c>
      <c r="S80" s="48">
        <f t="shared" si="52"/>
        <v>9.8000000000000309E-3</v>
      </c>
      <c r="T80" s="48">
        <f t="shared" si="53"/>
        <v>1.0000000000000009E-2</v>
      </c>
      <c r="U80" s="81">
        <v>-1.1783913285158499E-2</v>
      </c>
      <c r="V80" s="49">
        <v>-1.37E-2</v>
      </c>
    </row>
    <row r="81" spans="1:22" x14ac:dyDescent="0.35">
      <c r="A81" s="11">
        <f t="shared" si="54"/>
        <v>45382</v>
      </c>
      <c r="B81" s="4">
        <v>2596.1354336899749</v>
      </c>
      <c r="C81" s="54">
        <v>2179.6015699999998</v>
      </c>
      <c r="D81" s="22">
        <v>6.2870967741935484</v>
      </c>
      <c r="E81" s="4">
        <v>5.99</v>
      </c>
      <c r="F81" s="54">
        <v>6.9129032258064518</v>
      </c>
      <c r="G81" s="4">
        <v>6.35</v>
      </c>
      <c r="H81" s="5">
        <f t="shared" si="55"/>
        <v>0.81579064362397502</v>
      </c>
      <c r="I81" s="5">
        <f t="shared" si="56"/>
        <v>0.73823369806288897</v>
      </c>
      <c r="J81" s="5">
        <f t="shared" si="57"/>
        <v>0.29078577886312446</v>
      </c>
      <c r="K81" s="5">
        <f t="shared" si="58"/>
        <v>0.24413100022401429</v>
      </c>
      <c r="L81" s="5">
        <v>0.99</v>
      </c>
      <c r="M81" s="5">
        <v>0.99990000000000001</v>
      </c>
      <c r="N81" s="6">
        <v>0.99</v>
      </c>
      <c r="O81" s="9">
        <v>1</v>
      </c>
      <c r="P81" s="56">
        <f t="shared" si="59"/>
        <v>-7.9015906515908729E-2</v>
      </c>
      <c r="Q81" s="45">
        <f t="shared" si="50"/>
        <v>-0.16044381132225505</v>
      </c>
      <c r="R81" s="47">
        <f t="shared" si="51"/>
        <v>-8.1427904806346318E-2</v>
      </c>
      <c r="S81" s="48">
        <f t="shared" si="52"/>
        <v>9.9000000000000199E-3</v>
      </c>
      <c r="T81" s="48">
        <f t="shared" si="53"/>
        <v>1.0000000000000009E-2</v>
      </c>
      <c r="U81" s="81">
        <v>-1.3100000000000001E-2</v>
      </c>
      <c r="V81" s="49">
        <v>-1.32E-2</v>
      </c>
    </row>
    <row r="82" spans="1:22" x14ac:dyDescent="0.35">
      <c r="A82" s="11">
        <f t="shared" si="54"/>
        <v>45412</v>
      </c>
      <c r="B82" s="4">
        <v>2419.1905431713012</v>
      </c>
      <c r="C82" s="54">
        <v>2013.3011799999999</v>
      </c>
      <c r="D82" s="22">
        <v>6.72</v>
      </c>
      <c r="E82" s="4">
        <v>6.15</v>
      </c>
      <c r="F82" s="54">
        <v>6.8733333333333331</v>
      </c>
      <c r="G82" s="4">
        <v>6.18</v>
      </c>
      <c r="H82" s="5">
        <f t="shared" si="55"/>
        <v>0.79005069876629241</v>
      </c>
      <c r="I82" s="5">
        <f t="shared" si="56"/>
        <v>0.72641846716087477</v>
      </c>
      <c r="J82" s="5">
        <f t="shared" si="57"/>
        <v>0.27999890545964135</v>
      </c>
      <c r="K82" s="5">
        <f t="shared" si="58"/>
        <v>0.23302096990740739</v>
      </c>
      <c r="L82" s="5">
        <v>0.99</v>
      </c>
      <c r="M82" s="5">
        <v>0.99660000000000004</v>
      </c>
      <c r="N82" s="6">
        <v>0.99</v>
      </c>
      <c r="O82" s="9">
        <v>0.99709999999999999</v>
      </c>
      <c r="P82" s="56">
        <f t="shared" si="59"/>
        <v>-6.6906058223999865E-2</v>
      </c>
      <c r="Q82" s="45">
        <f t="shared" si="50"/>
        <v>-0.16777899711827726</v>
      </c>
      <c r="R82" s="47">
        <f t="shared" si="51"/>
        <v>-0.1008729388942774</v>
      </c>
      <c r="S82" s="48">
        <f t="shared" si="52"/>
        <v>6.6000000000000503E-3</v>
      </c>
      <c r="T82" s="48">
        <f t="shared" si="53"/>
        <v>7.0999999999999952E-3</v>
      </c>
      <c r="U82" s="81">
        <v>-1.29425013482375E-2</v>
      </c>
      <c r="V82" s="49">
        <v>-1.3100000000000001E-2</v>
      </c>
    </row>
    <row r="83" spans="1:22" x14ac:dyDescent="0.35">
      <c r="A83" s="11">
        <f t="shared" si="54"/>
        <v>45443</v>
      </c>
      <c r="B83" s="4">
        <v>2434.7616935369447</v>
      </c>
      <c r="C83" s="54">
        <v>2148.1984000000002</v>
      </c>
      <c r="D83" s="22">
        <v>6.8</v>
      </c>
      <c r="E83" s="4">
        <v>6.7854099999999997</v>
      </c>
      <c r="F83" s="54">
        <v>6.6</v>
      </c>
      <c r="G83" s="4">
        <v>6.258</v>
      </c>
      <c r="H83" s="5">
        <f t="shared" si="55"/>
        <v>0.801353941347968</v>
      </c>
      <c r="I83" s="5">
        <f t="shared" si="56"/>
        <v>0.73984778423307007</v>
      </c>
      <c r="J83" s="5">
        <f t="shared" si="57"/>
        <v>0.27271076316498039</v>
      </c>
      <c r="K83" s="5">
        <f t="shared" si="58"/>
        <v>0.2406136200716846</v>
      </c>
      <c r="L83" s="5">
        <v>0.99</v>
      </c>
      <c r="M83" s="5">
        <v>0.99780000000000002</v>
      </c>
      <c r="N83" s="6">
        <v>0.99</v>
      </c>
      <c r="O83" s="9">
        <v>0.99870000000000003</v>
      </c>
      <c r="P83" s="56">
        <f t="shared" si="59"/>
        <v>-6.5878467631176885E-2</v>
      </c>
      <c r="Q83" s="45">
        <f t="shared" ref="Q83" si="60">C83/B83-1</f>
        <v>-0.11769664944935865</v>
      </c>
      <c r="R83" s="47">
        <f t="shared" ref="R83" si="61">G83/F83-1</f>
        <v>-5.1818181818181763E-2</v>
      </c>
      <c r="S83" s="48">
        <f t="shared" ref="S83" si="62">M83-L83</f>
        <v>7.8000000000000291E-3</v>
      </c>
      <c r="T83" s="48">
        <f t="shared" ref="T83" si="63">O83-N83</f>
        <v>8.700000000000041E-3</v>
      </c>
      <c r="U83" s="81">
        <v>-1.36377244134257E-2</v>
      </c>
      <c r="V83" s="49">
        <v>-1.32E-2</v>
      </c>
    </row>
    <row r="84" spans="1:22" x14ac:dyDescent="0.35">
      <c r="A84" s="11">
        <f t="shared" si="54"/>
        <v>45473</v>
      </c>
      <c r="B84" s="4">
        <v>2007.2628380438298</v>
      </c>
      <c r="C84" s="54">
        <v>1760.0020500000001</v>
      </c>
      <c r="D84" s="22">
        <v>5.73</v>
      </c>
      <c r="E84" s="4">
        <v>5.56</v>
      </c>
      <c r="F84" s="54">
        <v>5.42</v>
      </c>
      <c r="G84" s="4">
        <v>5.08</v>
      </c>
      <c r="H84" s="5">
        <f t="shared" si="55"/>
        <v>0.83129898329081287</v>
      </c>
      <c r="I84" s="5">
        <f t="shared" si="56"/>
        <v>0.77106125066865383</v>
      </c>
      <c r="J84" s="5">
        <f t="shared" si="57"/>
        <v>0.23232208773655438</v>
      </c>
      <c r="K84" s="5">
        <f t="shared" si="58"/>
        <v>0.20370394097222225</v>
      </c>
      <c r="L84" s="5">
        <v>0.99</v>
      </c>
      <c r="M84" s="5">
        <v>0.99850000000000005</v>
      </c>
      <c r="N84" s="6">
        <v>0.99</v>
      </c>
      <c r="O84" s="9">
        <v>0.99990000000000001</v>
      </c>
      <c r="P84" s="56">
        <f t="shared" si="59"/>
        <v>-6.0452437391321223E-2</v>
      </c>
      <c r="Q84" s="45">
        <f t="shared" ref="Q84" si="64">C84/B84-1</f>
        <v>-0.12318306469759421</v>
      </c>
      <c r="R84" s="47">
        <f t="shared" ref="R84" si="65">G84/F84-1</f>
        <v>-6.273062730627299E-2</v>
      </c>
      <c r="S84" s="48">
        <f t="shared" ref="S84" si="66">M84-L84</f>
        <v>8.5000000000000631E-3</v>
      </c>
      <c r="T84" s="48">
        <f t="shared" ref="T84" si="67">O84-N84</f>
        <v>9.9000000000000199E-3</v>
      </c>
      <c r="U84" s="81">
        <v>-1.1401421108801799E-2</v>
      </c>
      <c r="V84" s="49">
        <v>-9.7000000000000003E-3</v>
      </c>
    </row>
    <row r="85" spans="1:22" x14ac:dyDescent="0.35">
      <c r="A85" s="11">
        <f t="shared" si="54"/>
        <v>45504</v>
      </c>
      <c r="B85" s="4">
        <v>1625.0618745234954</v>
      </c>
      <c r="C85" s="54">
        <v>1337</v>
      </c>
      <c r="D85" s="22">
        <v>4.3419354838709676</v>
      </c>
      <c r="E85" s="4">
        <v>3.77</v>
      </c>
      <c r="F85" s="54">
        <v>4.1225806451612899</v>
      </c>
      <c r="G85" s="4">
        <v>3.54</v>
      </c>
      <c r="H85" s="5">
        <f t="shared" si="55"/>
        <v>0.85627367810788935</v>
      </c>
      <c r="I85" s="5">
        <f t="shared" si="56"/>
        <v>0.81376899080125153</v>
      </c>
      <c r="J85" s="5">
        <f t="shared" si="57"/>
        <v>0.18201857913569616</v>
      </c>
      <c r="K85" s="5">
        <f t="shared" si="58"/>
        <v>0.1497535842293907</v>
      </c>
      <c r="L85" s="5">
        <v>0.99</v>
      </c>
      <c r="M85" s="5">
        <v>0.99809999999999999</v>
      </c>
      <c r="N85" s="6">
        <v>0.99</v>
      </c>
      <c r="O85" s="9">
        <v>0.99880000000000002</v>
      </c>
      <c r="P85" s="56">
        <f t="shared" si="59"/>
        <v>-3.594754232677555E-2</v>
      </c>
      <c r="Q85" s="45">
        <f t="shared" ref="Q85" si="68">C85/B85-1</f>
        <v>-0.17726209631738576</v>
      </c>
      <c r="R85" s="47">
        <f t="shared" ref="R85" si="69">G85/F85-1</f>
        <v>-0.14131455399061021</v>
      </c>
      <c r="S85" s="48">
        <f t="shared" ref="S85" si="70">M85-L85</f>
        <v>8.0999999999999961E-3</v>
      </c>
      <c r="T85" s="48">
        <f t="shared" ref="T85" si="71">O85-N85</f>
        <v>8.80000000000003E-3</v>
      </c>
      <c r="U85" s="81">
        <v>-9.7999999999999997E-3</v>
      </c>
      <c r="V85" s="49">
        <v>-1E-3</v>
      </c>
    </row>
    <row r="86" spans="1:22" x14ac:dyDescent="0.35">
      <c r="A86" s="11">
        <f t="shared" si="54"/>
        <v>45535</v>
      </c>
      <c r="B86" s="4">
        <v>1288.1588029759416</v>
      </c>
      <c r="C86" s="54">
        <v>1385.5000640000001</v>
      </c>
      <c r="D86" s="22">
        <v>3.3774193548387097</v>
      </c>
      <c r="E86" s="4">
        <v>3.87</v>
      </c>
      <c r="F86" s="54">
        <v>3.2806451612903227</v>
      </c>
      <c r="G86" s="4">
        <v>3.7</v>
      </c>
      <c r="H86" s="5">
        <f t="shared" si="55"/>
        <v>0.85294690793609085</v>
      </c>
      <c r="I86" s="5">
        <f t="shared" si="56"/>
        <v>0.80811760895771056</v>
      </c>
      <c r="J86" s="5">
        <f t="shared" si="57"/>
        <v>0.14428302004658844</v>
      </c>
      <c r="K86" s="5">
        <f t="shared" si="58"/>
        <v>0.15518593906810035</v>
      </c>
      <c r="L86" s="5">
        <v>0.99</v>
      </c>
      <c r="M86" s="5">
        <v>0.99650000000000005</v>
      </c>
      <c r="N86" s="6">
        <v>0.99</v>
      </c>
      <c r="O86" s="9">
        <v>0.99739999999999995</v>
      </c>
      <c r="P86" s="56">
        <f t="shared" si="59"/>
        <v>-5.226074564524108E-2</v>
      </c>
      <c r="Q86" s="45">
        <f t="shared" ref="Q86" si="72">C86/B86-1</f>
        <v>7.5566196340993042E-2</v>
      </c>
      <c r="R86" s="47">
        <f t="shared" ref="R86" si="73">G86/F86-1</f>
        <v>0.12782694198623412</v>
      </c>
      <c r="S86" s="48">
        <f t="shared" ref="S86" si="74">M86-L86</f>
        <v>6.5000000000000613E-3</v>
      </c>
      <c r="T86" s="48">
        <f t="shared" ref="T86" si="75">O86-N86</f>
        <v>7.3999999999999622E-3</v>
      </c>
      <c r="U86" s="81">
        <v>-9.0830610785274293E-3</v>
      </c>
      <c r="V86" s="49">
        <v>-8.0000000000000004E-4</v>
      </c>
    </row>
    <row r="87" spans="1:22" x14ac:dyDescent="0.35">
      <c r="A87" s="11">
        <f t="shared" si="54"/>
        <v>45565</v>
      </c>
      <c r="B87" s="4">
        <v>1988.4930335133361</v>
      </c>
      <c r="C87" s="54">
        <v>1529.8</v>
      </c>
      <c r="D87" s="22">
        <v>5</v>
      </c>
      <c r="E87" s="4">
        <v>4.3</v>
      </c>
      <c r="F87" s="54">
        <v>5.2366666666666664</v>
      </c>
      <c r="G87" s="4">
        <v>4.3600000000000003</v>
      </c>
      <c r="H87" s="5">
        <f t="shared" si="55"/>
        <v>0.85235680956106208</v>
      </c>
      <c r="I87" s="5">
        <f t="shared" si="56"/>
        <v>0.78268879438093086</v>
      </c>
      <c r="J87" s="5">
        <f t="shared" si="57"/>
        <v>0.23014965665663611</v>
      </c>
      <c r="K87" s="5">
        <f t="shared" si="58"/>
        <v>0.17706018518518521</v>
      </c>
      <c r="L87" s="5">
        <v>0.99</v>
      </c>
      <c r="M87" s="5">
        <v>0.99619999999999997</v>
      </c>
      <c r="N87" s="6">
        <v>0.99</v>
      </c>
      <c r="O87" s="9">
        <v>0.998</v>
      </c>
      <c r="P87" s="56">
        <f t="shared" ref="P87:P91" si="76">Q87-R87</f>
        <v>-6.3264400546048982E-2</v>
      </c>
      <c r="Q87" s="45">
        <f t="shared" ref="Q87:Q90" si="77">C87/B87-1</f>
        <v>-0.23067369398971538</v>
      </c>
      <c r="R87" s="47">
        <f t="shared" ref="R87:R90" si="78">G87/F87-1</f>
        <v>-0.1674092934436664</v>
      </c>
      <c r="S87" s="48">
        <f t="shared" ref="S87:S90" si="79">M87-L87</f>
        <v>6.1999999999999833E-3</v>
      </c>
      <c r="T87" s="48">
        <f t="shared" ref="T87:T90" si="80">O87-N87</f>
        <v>8.0000000000000071E-3</v>
      </c>
      <c r="U87" s="81">
        <v>-1.18E-2</v>
      </c>
      <c r="V87" s="49">
        <v>-1.1999999999999999E-3</v>
      </c>
    </row>
    <row r="88" spans="1:22" x14ac:dyDescent="0.35">
      <c r="A88" s="11">
        <f t="shared" si="54"/>
        <v>45596</v>
      </c>
      <c r="B88" s="4">
        <v>2163.1199004790951</v>
      </c>
      <c r="C88" s="54">
        <v>1880.5</v>
      </c>
      <c r="D88" s="22">
        <v>5.0225806451612902</v>
      </c>
      <c r="E88" s="4">
        <v>4.8571636602129002</v>
      </c>
      <c r="F88" s="54">
        <v>5.7806451612903222</v>
      </c>
      <c r="G88" s="4">
        <v>5.17</v>
      </c>
      <c r="H88" s="5">
        <f t="shared" si="55"/>
        <v>0.81286071296262286</v>
      </c>
      <c r="I88" s="5">
        <f t="shared" si="56"/>
        <v>0.78378924609477685</v>
      </c>
      <c r="J88" s="5">
        <f t="shared" si="57"/>
        <v>0.24228493508950436</v>
      </c>
      <c r="K88" s="5">
        <f t="shared" si="58"/>
        <v>0.21062948028673836</v>
      </c>
      <c r="L88" s="5">
        <v>0.99</v>
      </c>
      <c r="M88" s="5">
        <v>0.998</v>
      </c>
      <c r="N88" s="6">
        <v>0.99</v>
      </c>
      <c r="O88" s="9">
        <v>0.99850000000000005</v>
      </c>
      <c r="P88" s="56">
        <f t="shared" si="76"/>
        <v>-2.5017669624245009E-2</v>
      </c>
      <c r="Q88" s="45">
        <f t="shared" si="77"/>
        <v>-0.13065383033853073</v>
      </c>
      <c r="R88" s="47">
        <f t="shared" si="78"/>
        <v>-0.10563616071428572</v>
      </c>
      <c r="S88" s="48">
        <f t="shared" si="79"/>
        <v>8.0000000000000071E-3</v>
      </c>
      <c r="T88" s="48">
        <f t="shared" si="80"/>
        <v>8.5000000000000631E-3</v>
      </c>
      <c r="U88" s="81">
        <v>-1.2800000000000001E-2</v>
      </c>
      <c r="V88" s="49">
        <v>-1.0999999999999999E-2</v>
      </c>
    </row>
    <row r="89" spans="1:22" x14ac:dyDescent="0.35">
      <c r="A89" s="11">
        <f t="shared" si="54"/>
        <v>45626</v>
      </c>
      <c r="B89" s="4">
        <v>1975.8185028464659</v>
      </c>
      <c r="C89" s="54">
        <v>1766.2</v>
      </c>
      <c r="D89" s="22">
        <v>4.3033333333333328</v>
      </c>
      <c r="E89" s="4">
        <v>4.41</v>
      </c>
      <c r="F89" s="54">
        <v>5.3233333333333333</v>
      </c>
      <c r="G89" s="4">
        <v>5</v>
      </c>
      <c r="H89" s="5">
        <f t="shared" si="55"/>
        <v>0.83313557315862263</v>
      </c>
      <c r="I89" s="5">
        <f t="shared" si="56"/>
        <v>0.78529189453559189</v>
      </c>
      <c r="J89" s="5">
        <f t="shared" si="57"/>
        <v>0.22868269708871133</v>
      </c>
      <c r="K89" s="5">
        <f t="shared" si="58"/>
        <v>0.2044212962962963</v>
      </c>
      <c r="L89" s="5">
        <v>0.99</v>
      </c>
      <c r="M89" s="5">
        <v>0.99960000000000004</v>
      </c>
      <c r="N89" s="6">
        <v>0.99</v>
      </c>
      <c r="O89" s="9">
        <v>1</v>
      </c>
      <c r="P89" s="56">
        <f t="shared" si="76"/>
        <v>-4.5353097504520767E-2</v>
      </c>
      <c r="Q89" s="45">
        <f t="shared" si="77"/>
        <v>-0.10609198291466482</v>
      </c>
      <c r="R89" s="47">
        <f t="shared" si="78"/>
        <v>-6.073888541014405E-2</v>
      </c>
      <c r="S89" s="48">
        <f t="shared" si="79"/>
        <v>9.6000000000000529E-3</v>
      </c>
      <c r="T89" s="48">
        <f t="shared" si="80"/>
        <v>1.0000000000000009E-2</v>
      </c>
      <c r="U89" s="81">
        <v>-1.14E-2</v>
      </c>
      <c r="V89" s="49">
        <v>-1.2999999999999999E-2</v>
      </c>
    </row>
    <row r="90" spans="1:22" x14ac:dyDescent="0.35">
      <c r="A90" s="11">
        <f t="shared" si="54"/>
        <v>45657</v>
      </c>
      <c r="B90" s="4">
        <v>1774.4342933617579</v>
      </c>
      <c r="C90" s="54">
        <v>1636.6</v>
      </c>
      <c r="D90" s="22">
        <v>3.6225806451612903</v>
      </c>
      <c r="E90" s="4">
        <v>3.69</v>
      </c>
      <c r="F90" s="54">
        <v>4.5870967741935482</v>
      </c>
      <c r="G90" s="4">
        <v>4.3499999999999996</v>
      </c>
      <c r="H90" s="5">
        <f t="shared" si="55"/>
        <v>0.84029904926515875</v>
      </c>
      <c r="I90" s="5">
        <f t="shared" si="56"/>
        <v>0.81006860933651847</v>
      </c>
      <c r="J90" s="5">
        <f t="shared" si="57"/>
        <v>0.19874936081560907</v>
      </c>
      <c r="K90" s="5">
        <f t="shared" si="58"/>
        <v>0.18331093189964157</v>
      </c>
      <c r="L90" s="5">
        <v>0.99</v>
      </c>
      <c r="M90" s="5">
        <v>0.99880000000000002</v>
      </c>
      <c r="N90" s="6">
        <v>0.99</v>
      </c>
      <c r="O90" s="9">
        <v>1</v>
      </c>
      <c r="P90" s="56">
        <f t="shared" si="76"/>
        <v>-2.5990115866570851E-2</v>
      </c>
      <c r="Q90" s="45">
        <f t="shared" si="77"/>
        <v>-7.767787957965111E-2</v>
      </c>
      <c r="R90" s="47">
        <f t="shared" si="78"/>
        <v>-5.1687763713080259E-2</v>
      </c>
      <c r="S90" s="48">
        <f t="shared" si="79"/>
        <v>8.80000000000003E-3</v>
      </c>
      <c r="T90" s="48">
        <f t="shared" si="80"/>
        <v>1.0000000000000009E-2</v>
      </c>
      <c r="U90" s="81">
        <v>-1.12E-2</v>
      </c>
      <c r="V90" s="49">
        <v>-8.2000000000000007E-3</v>
      </c>
    </row>
    <row r="91" spans="1:22" x14ac:dyDescent="0.35">
      <c r="A91" s="11">
        <f t="shared" si="54"/>
        <v>45688</v>
      </c>
      <c r="B91" s="4">
        <v>1941.4407384512788</v>
      </c>
      <c r="C91" s="54">
        <v>1818.3</v>
      </c>
      <c r="D91" s="22">
        <v>4.0129032258064514</v>
      </c>
      <c r="E91" s="4">
        <v>4.2569999999999997</v>
      </c>
      <c r="F91" s="54">
        <v>5.0451612903225804</v>
      </c>
      <c r="G91" s="4">
        <v>4.84</v>
      </c>
      <c r="H91" s="5">
        <f t="shared" si="55"/>
        <v>0.83591272419475182</v>
      </c>
      <c r="I91" s="5">
        <f t="shared" si="56"/>
        <v>0.80880757689763727</v>
      </c>
      <c r="J91" s="5">
        <f t="shared" si="57"/>
        <v>0.21745527984445329</v>
      </c>
      <c r="K91" s="5">
        <f t="shared" si="58"/>
        <v>0.20366263440860216</v>
      </c>
      <c r="L91" s="5">
        <v>0.99</v>
      </c>
      <c r="M91" s="5">
        <v>0.99890000000000001</v>
      </c>
      <c r="N91" s="6">
        <v>0.99</v>
      </c>
      <c r="O91" s="9">
        <v>1</v>
      </c>
      <c r="P91" s="56">
        <f t="shared" si="76"/>
        <v>-2.2762541460438324E-2</v>
      </c>
      <c r="Q91" s="45">
        <f t="shared" ref="Q91" si="81">C91/B91-1</f>
        <v>-6.3427503097266968E-2</v>
      </c>
      <c r="R91" s="47">
        <f t="shared" ref="R91" si="82">G91/F91-1</f>
        <v>-4.0664961636828645E-2</v>
      </c>
      <c r="S91" s="48">
        <f t="shared" ref="S91" si="83">M91-L91</f>
        <v>8.900000000000019E-3</v>
      </c>
      <c r="T91" s="48">
        <f t="shared" ref="T91" si="84">O91-N91</f>
        <v>1.0000000000000009E-2</v>
      </c>
      <c r="U91" s="81">
        <v>-1.3100000000000001E-2</v>
      </c>
      <c r="V91" s="117">
        <v>-6.7999999999999996E-3</v>
      </c>
    </row>
    <row r="92" spans="1:22" x14ac:dyDescent="0.35">
      <c r="A92" s="11">
        <f t="shared" si="54"/>
        <v>45716</v>
      </c>
      <c r="B92" s="4">
        <v>1849.8633451281055</v>
      </c>
      <c r="C92" s="54">
        <v>1982.6</v>
      </c>
      <c r="D92" s="22">
        <v>4.66</v>
      </c>
      <c r="E92" s="4">
        <v>5.51</v>
      </c>
      <c r="F92" s="54">
        <v>5.45</v>
      </c>
      <c r="G92" s="4">
        <v>6.13</v>
      </c>
      <c r="H92" s="5">
        <f t="shared" si="55"/>
        <v>0.81631665944199772</v>
      </c>
      <c r="I92" s="5">
        <f t="shared" si="56"/>
        <v>0.77021541183867936</v>
      </c>
      <c r="J92" s="5">
        <f t="shared" si="57"/>
        <v>0.22939773625100515</v>
      </c>
      <c r="K92" s="5">
        <f t="shared" si="58"/>
        <v>0.24585813492063494</v>
      </c>
      <c r="L92" s="5">
        <v>0.99</v>
      </c>
      <c r="M92" s="5">
        <v>0.99980000000000002</v>
      </c>
      <c r="N92" s="6">
        <v>0.99</v>
      </c>
      <c r="O92" s="9">
        <v>1</v>
      </c>
      <c r="P92" s="56">
        <f t="shared" ref="P92" si="85">Q92-R92</f>
        <v>-5.3015798677054304E-2</v>
      </c>
      <c r="Q92" s="45">
        <f t="shared" ref="Q92" si="86">C92/B92-1</f>
        <v>7.1754843524780565E-2</v>
      </c>
      <c r="R92" s="47">
        <f t="shared" ref="R92" si="87">G92/F92-1</f>
        <v>0.12477064220183487</v>
      </c>
      <c r="S92" s="48">
        <f t="shared" ref="S92" si="88">M92-L92</f>
        <v>9.8000000000000309E-3</v>
      </c>
      <c r="T92" s="48">
        <f t="shared" ref="T92" si="89">O92-N92</f>
        <v>1.0000000000000009E-2</v>
      </c>
      <c r="U92" s="81">
        <v>-1.4500000000000001E-2</v>
      </c>
      <c r="V92" s="117">
        <v>-1.2800000000000001E-2</v>
      </c>
    </row>
    <row r="93" spans="1:22" x14ac:dyDescent="0.35">
      <c r="A93" s="11">
        <f t="shared" si="54"/>
        <v>45747</v>
      </c>
      <c r="B93" s="4">
        <v>2583.8913746876965</v>
      </c>
      <c r="C93" s="54"/>
      <c r="D93" s="22">
        <v>6.2870967741935484</v>
      </c>
      <c r="E93" s="4"/>
      <c r="F93" s="54">
        <v>6.9129032258064518</v>
      </c>
      <c r="G93" s="4"/>
      <c r="H93" s="5">
        <f t="shared" si="55"/>
        <v>0.81194315992015242</v>
      </c>
      <c r="I93" s="5"/>
      <c r="J93" s="5">
        <f t="shared" si="57"/>
        <v>0.28941435648383695</v>
      </c>
      <c r="K93" s="5"/>
      <c r="L93" s="5">
        <v>0.99</v>
      </c>
      <c r="M93" s="5"/>
      <c r="N93" s="6">
        <v>0.99</v>
      </c>
      <c r="O93" s="115"/>
      <c r="P93" s="56"/>
      <c r="Q93" s="116"/>
      <c r="R93" s="47"/>
      <c r="S93" s="48"/>
      <c r="T93" s="48"/>
      <c r="U93" s="81"/>
      <c r="V93" s="117"/>
    </row>
    <row r="94" spans="1:22" x14ac:dyDescent="0.35">
      <c r="A94" s="11">
        <f t="shared" si="54"/>
        <v>45777</v>
      </c>
      <c r="B94" s="4">
        <v>2407.7810029123625</v>
      </c>
      <c r="C94" s="54"/>
      <c r="D94" s="22">
        <v>6.72</v>
      </c>
      <c r="E94" s="4"/>
      <c r="F94" s="54">
        <v>6.8733333333333331</v>
      </c>
      <c r="G94" s="4"/>
      <c r="H94" s="5">
        <f t="shared" si="55"/>
        <v>0.78632461142702892</v>
      </c>
      <c r="I94" s="5"/>
      <c r="J94" s="5">
        <f t="shared" si="57"/>
        <v>0.27867835681856046</v>
      </c>
      <c r="K94" s="5"/>
      <c r="L94" s="5">
        <v>0.99</v>
      </c>
      <c r="M94" s="5"/>
      <c r="N94" s="6">
        <v>0.99</v>
      </c>
      <c r="O94" s="115"/>
      <c r="P94" s="56"/>
      <c r="Q94" s="116"/>
      <c r="R94" s="47"/>
      <c r="S94" s="48"/>
      <c r="T94" s="48"/>
      <c r="U94" s="81"/>
      <c r="V94" s="117"/>
    </row>
    <row r="95" spans="1:22" x14ac:dyDescent="0.35">
      <c r="A95" s="11">
        <f t="shared" si="54"/>
        <v>45808</v>
      </c>
      <c r="B95" s="4">
        <v>2423.2787156285917</v>
      </c>
      <c r="C95" s="54"/>
      <c r="D95" s="22">
        <v>6.8</v>
      </c>
      <c r="E95" s="4"/>
      <c r="F95" s="54">
        <v>6.6</v>
      </c>
      <c r="G95" s="4"/>
      <c r="H95" s="5">
        <f t="shared" si="55"/>
        <v>0.79757454493734736</v>
      </c>
      <c r="I95" s="5"/>
      <c r="J95" s="5">
        <f t="shared" si="57"/>
        <v>0.27142458732399105</v>
      </c>
      <c r="K95" s="5"/>
      <c r="L95" s="5">
        <v>0.99</v>
      </c>
      <c r="M95" s="5"/>
      <c r="N95" s="6">
        <v>0.99</v>
      </c>
      <c r="O95" s="115"/>
      <c r="P95" s="56"/>
      <c r="Q95" s="116"/>
      <c r="R95" s="47"/>
      <c r="S95" s="48"/>
      <c r="T95" s="48"/>
      <c r="U95" s="81"/>
      <c r="V95" s="117"/>
    </row>
    <row r="96" spans="1:22" x14ac:dyDescent="0.35">
      <c r="A96" s="11">
        <f t="shared" si="54"/>
        <v>45838</v>
      </c>
      <c r="B96" s="4">
        <v>1997.7960574193855</v>
      </c>
      <c r="C96" s="54"/>
      <c r="D96" s="22">
        <v>5.73</v>
      </c>
      <c r="E96" s="4"/>
      <c r="F96" s="54">
        <v>5.42</v>
      </c>
      <c r="G96" s="4"/>
      <c r="H96" s="5">
        <f t="shared" si="55"/>
        <v>0.82737835816938776</v>
      </c>
      <c r="I96" s="5"/>
      <c r="J96" s="5">
        <f t="shared" si="57"/>
        <v>0.23122639553465113</v>
      </c>
      <c r="K96" s="5"/>
      <c r="L96" s="5">
        <v>0.99</v>
      </c>
      <c r="M96" s="5"/>
      <c r="N96" s="6">
        <v>0.99</v>
      </c>
      <c r="O96" s="115"/>
      <c r="P96" s="56"/>
      <c r="Q96" s="116"/>
      <c r="R96" s="47"/>
      <c r="S96" s="48"/>
      <c r="T96" s="48"/>
      <c r="U96" s="81"/>
      <c r="V96" s="117"/>
    </row>
    <row r="97" spans="1:22" x14ac:dyDescent="0.35">
      <c r="A97" s="11">
        <f t="shared" si="54"/>
        <v>45869</v>
      </c>
      <c r="B97" s="4">
        <v>1617.397654384665</v>
      </c>
      <c r="C97" s="54"/>
      <c r="D97" s="22">
        <v>4.3419354838709676</v>
      </c>
      <c r="E97" s="4"/>
      <c r="F97" s="54">
        <v>4.1225806451612899</v>
      </c>
      <c r="G97" s="4"/>
      <c r="H97" s="5">
        <f t="shared" si="55"/>
        <v>0.85223526574280384</v>
      </c>
      <c r="I97" s="5"/>
      <c r="J97" s="5">
        <f t="shared" si="57"/>
        <v>0.181160131539501</v>
      </c>
      <c r="K97" s="5"/>
      <c r="L97" s="5">
        <v>0.99</v>
      </c>
      <c r="M97" s="5"/>
      <c r="N97" s="6">
        <v>0.99</v>
      </c>
      <c r="O97" s="115"/>
      <c r="P97" s="56"/>
      <c r="Q97" s="116"/>
      <c r="R97" s="47"/>
      <c r="S97" s="48"/>
      <c r="T97" s="48"/>
      <c r="U97" s="81"/>
      <c r="V97" s="117"/>
    </row>
    <row r="98" spans="1:22" x14ac:dyDescent="0.35">
      <c r="A98" s="11">
        <f t="shared" si="54"/>
        <v>45900</v>
      </c>
      <c r="B98" s="4">
        <v>1282.0835065244296</v>
      </c>
      <c r="C98" s="54"/>
      <c r="D98" s="22">
        <v>3.3774193548387097</v>
      </c>
      <c r="E98" s="4"/>
      <c r="F98" s="54">
        <v>3.2806451612903227</v>
      </c>
      <c r="G98" s="4"/>
      <c r="H98" s="5">
        <f t="shared" si="55"/>
        <v>0.84892418549601523</v>
      </c>
      <c r="I98" s="5"/>
      <c r="J98" s="5">
        <f t="shared" si="57"/>
        <v>0.14360254329350688</v>
      </c>
      <c r="K98" s="5"/>
      <c r="L98" s="5">
        <v>0.99</v>
      </c>
      <c r="M98" s="5"/>
      <c r="N98" s="6">
        <v>0.99</v>
      </c>
      <c r="O98" s="115"/>
      <c r="P98" s="56"/>
      <c r="Q98" s="116"/>
      <c r="R98" s="47"/>
      <c r="S98" s="48"/>
      <c r="T98" s="48"/>
      <c r="U98" s="81"/>
      <c r="V98" s="117"/>
    </row>
    <row r="99" spans="1:22" x14ac:dyDescent="0.35">
      <c r="A99" s="11">
        <f t="shared" si="54"/>
        <v>45930</v>
      </c>
      <c r="B99" s="4">
        <v>1979.3960457762994</v>
      </c>
      <c r="C99" s="54"/>
      <c r="D99" s="22">
        <v>5</v>
      </c>
      <c r="E99" s="4"/>
      <c r="F99" s="54">
        <v>5.2366666666666664</v>
      </c>
      <c r="G99" s="4"/>
      <c r="H99" s="5">
        <f t="shared" si="55"/>
        <v>0.84845743485193525</v>
      </c>
      <c r="I99" s="5"/>
      <c r="J99" s="5">
        <f t="shared" si="57"/>
        <v>0.22909676455744205</v>
      </c>
      <c r="K99" s="5"/>
      <c r="L99" s="5">
        <v>0.99</v>
      </c>
      <c r="M99" s="5"/>
      <c r="N99" s="6">
        <v>0.99</v>
      </c>
      <c r="O99" s="115"/>
      <c r="P99" s="56"/>
      <c r="Q99" s="116"/>
      <c r="R99" s="47"/>
      <c r="S99" s="48"/>
      <c r="T99" s="48"/>
      <c r="U99" s="81"/>
      <c r="V99" s="117"/>
    </row>
    <row r="100" spans="1:22" x14ac:dyDescent="0.35">
      <c r="A100" s="11">
        <f t="shared" si="54"/>
        <v>45961</v>
      </c>
      <c r="B100" s="4">
        <v>2153.2240271334235</v>
      </c>
      <c r="C100" s="54"/>
      <c r="D100" s="22">
        <v>5.0225806451612902</v>
      </c>
      <c r="E100" s="4"/>
      <c r="F100" s="54">
        <v>5.7806451612903222</v>
      </c>
      <c r="G100" s="4"/>
      <c r="H100" s="5">
        <f t="shared" si="55"/>
        <v>0.80914202558825754</v>
      </c>
      <c r="I100" s="5"/>
      <c r="J100" s="5">
        <f t="shared" si="57"/>
        <v>0.24117652633662898</v>
      </c>
      <c r="K100" s="5"/>
      <c r="L100" s="5">
        <v>0.99</v>
      </c>
      <c r="M100" s="5"/>
      <c r="N100" s="6">
        <v>0.99</v>
      </c>
      <c r="O100" s="115"/>
      <c r="P100" s="56"/>
      <c r="Q100" s="116"/>
      <c r="R100" s="47"/>
      <c r="S100" s="48"/>
      <c r="T100" s="48"/>
      <c r="U100" s="81"/>
      <c r="V100" s="117"/>
    </row>
    <row r="101" spans="1:22" x14ac:dyDescent="0.35">
      <c r="A101" s="11">
        <f t="shared" si="54"/>
        <v>45991</v>
      </c>
      <c r="B101" s="4">
        <v>1966.7794987423144</v>
      </c>
      <c r="C101" s="54"/>
      <c r="D101" s="22">
        <v>4.3033333333333328</v>
      </c>
      <c r="E101" s="4"/>
      <c r="F101" s="54">
        <v>5.3233333333333333</v>
      </c>
      <c r="G101" s="4"/>
      <c r="H101" s="5">
        <f t="shared" si="55"/>
        <v>0.82932413204991451</v>
      </c>
      <c r="I101" s="5"/>
      <c r="J101" s="5">
        <f t="shared" si="57"/>
        <v>0.22763651605813826</v>
      </c>
      <c r="K101" s="5"/>
      <c r="L101" s="5">
        <v>0.99</v>
      </c>
      <c r="M101" s="5"/>
      <c r="N101" s="6">
        <v>0.99</v>
      </c>
      <c r="O101" s="115"/>
      <c r="P101" s="56"/>
      <c r="Q101" s="116"/>
      <c r="R101" s="47"/>
      <c r="S101" s="48"/>
      <c r="T101" s="48"/>
      <c r="U101" s="81"/>
      <c r="V101" s="117"/>
    </row>
    <row r="102" spans="1:22" x14ac:dyDescent="0.35">
      <c r="A102" s="11">
        <f t="shared" si="54"/>
        <v>46022</v>
      </c>
      <c r="B102" s="4">
        <v>1766.3165847578871</v>
      </c>
      <c r="C102" s="54"/>
      <c r="D102" s="22">
        <v>3.6225806451612903</v>
      </c>
      <c r="E102" s="4"/>
      <c r="F102" s="54">
        <v>4.5870967741935482</v>
      </c>
      <c r="G102" s="4"/>
      <c r="H102" s="5">
        <f t="shared" si="55"/>
        <v>0.83645483657857866</v>
      </c>
      <c r="I102" s="5"/>
      <c r="J102" s="5">
        <f t="shared" si="57"/>
        <v>0.19784011926051603</v>
      </c>
      <c r="K102" s="5"/>
      <c r="L102" s="5">
        <v>0.99</v>
      </c>
      <c r="M102" s="5"/>
      <c r="N102" s="6">
        <v>0.99</v>
      </c>
      <c r="O102" s="115"/>
      <c r="P102" s="56"/>
      <c r="Q102" s="116"/>
      <c r="R102" s="47"/>
      <c r="S102" s="48"/>
      <c r="T102" s="48"/>
      <c r="U102" s="81"/>
      <c r="V102" s="117"/>
    </row>
    <row r="103" spans="1:22" x14ac:dyDescent="0.35">
      <c r="A103" s="67" t="s">
        <v>40</v>
      </c>
      <c r="B103" s="31">
        <f>SUM(B3:B6)</f>
        <v>7207.9209449778937</v>
      </c>
      <c r="C103" s="31">
        <f>SUM(C3:C6)</f>
        <v>1375.6</v>
      </c>
      <c r="D103" s="31">
        <f t="shared" ref="D103:O103" si="90">AVERAGE(D3:D6)</f>
        <v>4.559166666666667</v>
      </c>
      <c r="E103" s="31" t="e">
        <f t="shared" si="90"/>
        <v>#DIV/0!</v>
      </c>
      <c r="F103" s="31">
        <f t="shared" si="90"/>
        <v>5.2319354838709673</v>
      </c>
      <c r="G103" s="31" t="e">
        <f t="shared" si="90"/>
        <v>#DIV/0!</v>
      </c>
      <c r="H103" s="58" t="e">
        <f t="shared" si="90"/>
        <v>#DIV/0!</v>
      </c>
      <c r="I103" s="58" t="e">
        <f t="shared" si="90"/>
        <v>#DIV/0!</v>
      </c>
      <c r="J103" s="58">
        <f t="shared" si="90"/>
        <v>0.23648026394928062</v>
      </c>
      <c r="K103" s="58">
        <f t="shared" si="90"/>
        <v>4.0355902777777779E-2</v>
      </c>
      <c r="L103" s="58">
        <f t="shared" si="90"/>
        <v>0.99</v>
      </c>
      <c r="M103" s="58" t="e">
        <f t="shared" si="90"/>
        <v>#DIV/0!</v>
      </c>
      <c r="N103" s="58">
        <f t="shared" si="90"/>
        <v>0.99</v>
      </c>
      <c r="O103" s="58" t="e">
        <f t="shared" si="90"/>
        <v>#DIV/0!</v>
      </c>
      <c r="P103" s="15" t="e">
        <f t="shared" ref="P103:P105" si="91">Q103-R103</f>
        <v>#DIV/0!</v>
      </c>
      <c r="Q103" s="114">
        <f t="shared" ref="Q103:Q109" si="92">C103/B103-1</f>
        <v>-0.80915439965272551</v>
      </c>
      <c r="R103" s="51" t="e">
        <f t="shared" ref="R103:R109" si="93">G103/F103-1</f>
        <v>#DIV/0!</v>
      </c>
      <c r="S103" s="52" t="e">
        <f t="shared" ref="S103:S109" si="94">M103-L103</f>
        <v>#DIV/0!</v>
      </c>
      <c r="T103" s="52" t="e">
        <f t="shared" ref="T103:T109" si="95">O103-N103</f>
        <v>#DIV/0!</v>
      </c>
      <c r="U103" s="82"/>
      <c r="V103" s="17">
        <f>AVERAGE(V15:V26)</f>
        <v>-1.3300000000000001E-2</v>
      </c>
    </row>
    <row r="104" spans="1:22" x14ac:dyDescent="0.35">
      <c r="A104" s="67" t="s">
        <v>41</v>
      </c>
      <c r="B104" s="31">
        <f>SUM(B7:B18)</f>
        <v>24783.683546596731</v>
      </c>
      <c r="C104" s="31">
        <f>SUM(C7:C18)</f>
        <v>22778.35</v>
      </c>
      <c r="D104" s="31">
        <f t="shared" ref="D104:O104" si="96">AVERAGE(D7:D18)</f>
        <v>4.9898515104966723</v>
      </c>
      <c r="E104" s="31">
        <f t="shared" si="96"/>
        <v>5.0397344982078849</v>
      </c>
      <c r="F104" s="31">
        <f t="shared" si="96"/>
        <v>5.38632808499744</v>
      </c>
      <c r="G104" s="31">
        <f t="shared" si="96"/>
        <v>5.4355729838709683</v>
      </c>
      <c r="H104" s="58">
        <f t="shared" si="96"/>
        <v>0.84511046160506231</v>
      </c>
      <c r="I104" s="58">
        <f t="shared" si="96"/>
        <v>0.8120490229743248</v>
      </c>
      <c r="J104" s="58">
        <f t="shared" si="96"/>
        <v>0.23592819701065451</v>
      </c>
      <c r="K104" s="58">
        <f t="shared" si="96"/>
        <v>0.21689737587650057</v>
      </c>
      <c r="L104" s="58">
        <f t="shared" si="96"/>
        <v>0.9900000000000001</v>
      </c>
      <c r="M104" s="58">
        <f t="shared" si="96"/>
        <v>0.95477500000000004</v>
      </c>
      <c r="N104" s="58">
        <f t="shared" si="96"/>
        <v>0.9900000000000001</v>
      </c>
      <c r="O104" s="58">
        <f t="shared" si="96"/>
        <v>0.99509166666666682</v>
      </c>
      <c r="P104" s="15">
        <f t="shared" si="91"/>
        <v>-9.0056031571986939E-2</v>
      </c>
      <c r="Q104" s="51">
        <f t="shared" si="92"/>
        <v>-8.091345835765007E-2</v>
      </c>
      <c r="R104" s="51">
        <f t="shared" si="93"/>
        <v>9.1425732143368688E-3</v>
      </c>
      <c r="S104" s="52">
        <f t="shared" si="94"/>
        <v>-3.5225000000000062E-2</v>
      </c>
      <c r="T104" s="52">
        <f t="shared" si="95"/>
        <v>5.0916666666667165E-3</v>
      </c>
      <c r="U104" s="82"/>
      <c r="V104" s="58">
        <f>AVERAGE(V27:V38)</f>
        <v>-1.0533333333333334E-2</v>
      </c>
    </row>
    <row r="105" spans="1:22" x14ac:dyDescent="0.35">
      <c r="A105" s="67" t="s">
        <v>42</v>
      </c>
      <c r="B105" s="31">
        <f>SUM(B19:B30)</f>
        <v>24701.824572916579</v>
      </c>
      <c r="C105" s="31">
        <f>SUM(C19:C30)</f>
        <v>22288.099999999995</v>
      </c>
      <c r="D105" s="31">
        <f t="shared" ref="D105:O105" si="97">AVERAGE(D19:D30)</f>
        <v>4.9898515104966723</v>
      </c>
      <c r="E105" s="31">
        <f t="shared" si="97"/>
        <v>5.006515448028674</v>
      </c>
      <c r="F105" s="31">
        <f t="shared" si="97"/>
        <v>5.38632808499744</v>
      </c>
      <c r="G105" s="31">
        <f t="shared" si="97"/>
        <v>5.315728906810036</v>
      </c>
      <c r="H105" s="58">
        <f t="shared" si="97"/>
        <v>0.85024307635537844</v>
      </c>
      <c r="I105" s="58">
        <f t="shared" si="97"/>
        <v>0.79905997824481323</v>
      </c>
      <c r="J105" s="58">
        <f t="shared" si="97"/>
        <v>0.23514955098025467</v>
      </c>
      <c r="K105" s="58">
        <f t="shared" si="97"/>
        <v>0.21228784197744213</v>
      </c>
      <c r="L105" s="58">
        <f t="shared" si="97"/>
        <v>0.9900000000000001</v>
      </c>
      <c r="M105" s="58">
        <f t="shared" si="97"/>
        <v>0.97102500000000003</v>
      </c>
      <c r="N105" s="58">
        <f t="shared" si="97"/>
        <v>0.9900000000000001</v>
      </c>
      <c r="O105" s="58">
        <f t="shared" si="97"/>
        <v>0.99494999999999978</v>
      </c>
      <c r="P105" s="15">
        <f t="shared" si="91"/>
        <v>-8.4607317594080578E-2</v>
      </c>
      <c r="Q105" s="51">
        <f t="shared" si="92"/>
        <v>-9.7714424527288735E-2</v>
      </c>
      <c r="R105" s="51">
        <f t="shared" si="93"/>
        <v>-1.3107106933208157E-2</v>
      </c>
      <c r="S105" s="52">
        <f t="shared" si="94"/>
        <v>-1.8975000000000075E-2</v>
      </c>
      <c r="T105" s="52">
        <f t="shared" si="95"/>
        <v>4.9499999999996769E-3</v>
      </c>
      <c r="U105" s="82"/>
      <c r="V105" s="58">
        <f>AVERAGE(V39:V50)</f>
        <v>-1.025E-2</v>
      </c>
    </row>
    <row r="106" spans="1:22" x14ac:dyDescent="0.35">
      <c r="A106" s="67" t="s">
        <v>43</v>
      </c>
      <c r="B106" s="31">
        <f>SUM(B31:B42)</f>
        <v>24577.804549179822</v>
      </c>
      <c r="C106" s="31">
        <f>SUM(C31:C42)</f>
        <v>24036.600000000002</v>
      </c>
      <c r="D106" s="31">
        <f t="shared" ref="D106:O106" si="98">AVERAGE(D31:D42)</f>
        <v>4.9898515104966723</v>
      </c>
      <c r="E106" s="31">
        <f t="shared" si="98"/>
        <v>5.246666666666667</v>
      </c>
      <c r="F106" s="31">
        <f t="shared" si="98"/>
        <v>5.3860304659498217</v>
      </c>
      <c r="G106" s="31">
        <f t="shared" si="98"/>
        <v>5.538333333333334</v>
      </c>
      <c r="H106" s="58">
        <f t="shared" si="98"/>
        <v>0.84353934859256574</v>
      </c>
      <c r="I106" s="58">
        <f t="shared" si="98"/>
        <v>0.79820415169343706</v>
      </c>
      <c r="J106" s="58">
        <f t="shared" si="98"/>
        <v>0.23329301202260236</v>
      </c>
      <c r="K106" s="58">
        <f t="shared" si="98"/>
        <v>0.2282535233979113</v>
      </c>
      <c r="L106" s="58">
        <f t="shared" si="98"/>
        <v>0.9900000000000001</v>
      </c>
      <c r="M106" s="58">
        <f t="shared" si="98"/>
        <v>0.99518336583333333</v>
      </c>
      <c r="N106" s="58">
        <f t="shared" si="98"/>
        <v>0.9900000000000001</v>
      </c>
      <c r="O106" s="58">
        <f t="shared" si="98"/>
        <v>0.99630833333333335</v>
      </c>
      <c r="P106" s="15">
        <f t="shared" ref="P106:P111" si="99">Q106-R106</f>
        <v>-5.0297439516642672E-2</v>
      </c>
      <c r="Q106" s="51">
        <f t="shared" si="92"/>
        <v>-2.2020052608721752E-2</v>
      </c>
      <c r="R106" s="51">
        <f t="shared" si="93"/>
        <v>2.8277386907920921E-2</v>
      </c>
      <c r="S106" s="52">
        <f t="shared" si="94"/>
        <v>5.1833658333332311E-3</v>
      </c>
      <c r="T106" s="52">
        <f t="shared" si="95"/>
        <v>6.3083333333332492E-3</v>
      </c>
      <c r="U106" s="82"/>
      <c r="V106" s="58">
        <f>AVERAGE(V51:V62)</f>
        <v>-8.6666666666666663E-3</v>
      </c>
    </row>
    <row r="107" spans="1:22" x14ac:dyDescent="0.35">
      <c r="A107" s="67" t="s">
        <v>44</v>
      </c>
      <c r="B107" s="31">
        <f>SUM(B43:B54)</f>
        <v>24454.011769076526</v>
      </c>
      <c r="C107" s="31">
        <f>SUM(C43:C54)</f>
        <v>22396.5</v>
      </c>
      <c r="D107" s="31">
        <f t="shared" ref="D107:O107" si="100">AVERAGE(D43:D54)</f>
        <v>4.9898515104966723</v>
      </c>
      <c r="E107" s="31">
        <f t="shared" si="100"/>
        <v>4.9247396589481189</v>
      </c>
      <c r="F107" s="31">
        <f t="shared" si="100"/>
        <v>5.3863280849974409</v>
      </c>
      <c r="G107" s="31">
        <f t="shared" si="100"/>
        <v>5.1749189646932789</v>
      </c>
      <c r="H107" s="58">
        <f t="shared" si="100"/>
        <v>0.84163815131296982</v>
      </c>
      <c r="I107" s="58">
        <f t="shared" si="100"/>
        <v>0.79785515249528316</v>
      </c>
      <c r="J107" s="58">
        <f t="shared" si="100"/>
        <v>0.23279051497428535</v>
      </c>
      <c r="K107" s="58">
        <f t="shared" si="100"/>
        <v>0.21340642356666384</v>
      </c>
      <c r="L107" s="58">
        <f t="shared" si="100"/>
        <v>0.9900000000000001</v>
      </c>
      <c r="M107" s="58">
        <f t="shared" si="100"/>
        <v>0.99596666666666656</v>
      </c>
      <c r="N107" s="58">
        <f t="shared" si="100"/>
        <v>0.9900000000000001</v>
      </c>
      <c r="O107" s="58">
        <f t="shared" si="100"/>
        <v>0.99869166666666664</v>
      </c>
      <c r="P107" s="15">
        <f t="shared" si="99"/>
        <v>-4.4888795527555536E-2</v>
      </c>
      <c r="Q107" s="51">
        <f t="shared" si="92"/>
        <v>-8.4138005187286535E-2</v>
      </c>
      <c r="R107" s="51">
        <f t="shared" si="93"/>
        <v>-3.9249209659730999E-2</v>
      </c>
      <c r="S107" s="52">
        <f t="shared" si="94"/>
        <v>5.9666666666664536E-3</v>
      </c>
      <c r="T107" s="52">
        <f t="shared" si="95"/>
        <v>8.6916666666665421E-3</v>
      </c>
      <c r="U107" s="82"/>
      <c r="V107" s="58">
        <f>AVERAGE(V52:V63)</f>
        <v>-9.1249999999999994E-3</v>
      </c>
    </row>
    <row r="108" spans="1:22" x14ac:dyDescent="0.35">
      <c r="A108" s="67" t="s">
        <v>45</v>
      </c>
      <c r="B108" s="31">
        <f>SUM(B55:B66)</f>
        <v>24329.995960271081</v>
      </c>
      <c r="C108" s="31">
        <f>SUM(C55:C66)</f>
        <v>23434.000090000001</v>
      </c>
      <c r="D108" s="31">
        <f t="shared" ref="D108:O108" si="101">AVERAGE(D55:D66)</f>
        <v>4.9895826932923706</v>
      </c>
      <c r="E108" s="31">
        <f t="shared" si="101"/>
        <v>5.206666666666667</v>
      </c>
      <c r="F108" s="31">
        <f t="shared" si="101"/>
        <v>5.3863280849974409</v>
      </c>
      <c r="G108" s="31">
        <f t="shared" si="101"/>
        <v>5.46</v>
      </c>
      <c r="H108" s="58">
        <f t="shared" si="101"/>
        <v>0.83737023569269364</v>
      </c>
      <c r="I108" s="58">
        <f t="shared" si="101"/>
        <v>0.79412265372635404</v>
      </c>
      <c r="J108" s="58">
        <f t="shared" si="101"/>
        <v>0.23161001385264782</v>
      </c>
      <c r="K108" s="58">
        <f t="shared" si="101"/>
        <v>0.22325680149751803</v>
      </c>
      <c r="L108" s="58">
        <f t="shared" si="101"/>
        <v>0.9900000000000001</v>
      </c>
      <c r="M108" s="58">
        <f t="shared" si="101"/>
        <v>0.99362499999999987</v>
      </c>
      <c r="N108" s="58">
        <f t="shared" si="101"/>
        <v>0.9900000000000001</v>
      </c>
      <c r="O108" s="58">
        <f t="shared" si="101"/>
        <v>0.99655833333333321</v>
      </c>
      <c r="P108" s="15">
        <f t="shared" si="99"/>
        <v>-5.0504375579225935E-2</v>
      </c>
      <c r="Q108" s="51">
        <f t="shared" si="92"/>
        <v>-3.6826798974162078E-2</v>
      </c>
      <c r="R108" s="51">
        <f t="shared" si="93"/>
        <v>1.3677576605063857E-2</v>
      </c>
      <c r="S108" s="52">
        <f t="shared" si="94"/>
        <v>3.6249999999997673E-3</v>
      </c>
      <c r="T108" s="52">
        <f t="shared" si="95"/>
        <v>6.5583333333331106E-3</v>
      </c>
      <c r="U108" s="82"/>
      <c r="V108" s="58">
        <f>AVERAGE(V53:V64)</f>
        <v>-9.0583333333333332E-3</v>
      </c>
    </row>
    <row r="109" spans="1:22" x14ac:dyDescent="0.35">
      <c r="A109" s="67" t="s">
        <v>46</v>
      </c>
      <c r="B109" s="31">
        <f>SUM(B67:B78)</f>
        <v>24205.729876732665</v>
      </c>
      <c r="C109" s="31">
        <f>SUM(C67:C78)</f>
        <v>21977.700219999995</v>
      </c>
      <c r="D109" s="31">
        <f t="shared" ref="D109:O109" si="102">AVERAGE(D67:D78)</f>
        <v>4.9895826932923706</v>
      </c>
      <c r="E109" s="31">
        <f t="shared" si="102"/>
        <v>5.0040000000000004</v>
      </c>
      <c r="F109" s="31">
        <f t="shared" si="102"/>
        <v>5.3863280849974409</v>
      </c>
      <c r="G109" s="31">
        <f t="shared" si="102"/>
        <v>5.1871089760387497</v>
      </c>
      <c r="H109" s="58">
        <f t="shared" si="102"/>
        <v>0.83309274311854098</v>
      </c>
      <c r="I109" s="58">
        <f t="shared" si="102"/>
        <v>0.77948995681027722</v>
      </c>
      <c r="J109" s="58">
        <f t="shared" si="102"/>
        <v>0.23042699226375329</v>
      </c>
      <c r="K109" s="58">
        <f t="shared" si="102"/>
        <v>0.20945128628454446</v>
      </c>
      <c r="L109" s="58">
        <f t="shared" si="102"/>
        <v>0.9900000000000001</v>
      </c>
      <c r="M109" s="58">
        <f t="shared" si="102"/>
        <v>0.9977955124904615</v>
      </c>
      <c r="N109" s="58">
        <f t="shared" si="102"/>
        <v>0.9900000000000001</v>
      </c>
      <c r="O109" s="58">
        <f t="shared" si="102"/>
        <v>0.99923333333333331</v>
      </c>
      <c r="P109" s="15">
        <f t="shared" si="99"/>
        <v>-5.5059477147271663E-2</v>
      </c>
      <c r="Q109" s="51">
        <f t="shared" si="92"/>
        <v>-9.2045547400507188E-2</v>
      </c>
      <c r="R109" s="51">
        <f t="shared" si="93"/>
        <v>-3.6986070253235526E-2</v>
      </c>
      <c r="S109" s="52">
        <f t="shared" si="94"/>
        <v>7.7955124904613982E-3</v>
      </c>
      <c r="T109" s="52">
        <f t="shared" si="95"/>
        <v>9.2333333333332046E-3</v>
      </c>
      <c r="U109" s="58">
        <f>AVERAGE(U67:U78)</f>
        <v>-1.2313798709144723E-2</v>
      </c>
      <c r="V109" s="58">
        <f>AVERAGE(V67:V78)</f>
        <v>-9.8499999999999994E-3</v>
      </c>
    </row>
    <row r="110" spans="1:22" x14ac:dyDescent="0.35">
      <c r="A110" s="67" t="s">
        <v>72</v>
      </c>
      <c r="B110" s="31">
        <f>SUM(B79:B90)</f>
        <v>24081.706519228141</v>
      </c>
      <c r="C110" s="31">
        <f>SUM(C79:C90)</f>
        <v>20857.103653999999</v>
      </c>
      <c r="D110" s="31">
        <f t="shared" ref="D110:O110" si="103">AVERAGE(D79:D90)</f>
        <v>4.9895826932923706</v>
      </c>
      <c r="E110" s="31">
        <f t="shared" si="103"/>
        <v>4.8143811383510746</v>
      </c>
      <c r="F110" s="31">
        <f t="shared" si="103"/>
        <v>5.3863280849974409</v>
      </c>
      <c r="G110" s="31">
        <f t="shared" si="103"/>
        <v>4.9298333333333337</v>
      </c>
      <c r="H110" s="58">
        <f t="shared" si="103"/>
        <v>0.8264687348966322</v>
      </c>
      <c r="I110" s="58">
        <f t="shared" si="103"/>
        <v>0.7777479880233652</v>
      </c>
      <c r="J110" s="58">
        <f t="shared" si="103"/>
        <v>0.22858404273501165</v>
      </c>
      <c r="K110" s="58">
        <f t="shared" si="103"/>
        <v>0.19802264451338678</v>
      </c>
      <c r="L110" s="58">
        <f t="shared" si="103"/>
        <v>0.9900000000000001</v>
      </c>
      <c r="M110" s="58">
        <f t="shared" si="103"/>
        <v>0.99804999999999977</v>
      </c>
      <c r="N110" s="58">
        <f t="shared" si="103"/>
        <v>0.9900000000000001</v>
      </c>
      <c r="O110" s="58">
        <f t="shared" si="103"/>
        <v>0.99903333333333333</v>
      </c>
      <c r="P110" s="15">
        <f t="shared" si="99"/>
        <v>-4.9151949759690394E-2</v>
      </c>
      <c r="Q110" s="51">
        <f t="shared" ref="Q110" si="104">C110/B110-1</f>
        <v>-0.13390258961313406</v>
      </c>
      <c r="R110" s="51">
        <f t="shared" ref="R110" si="105">G110/F110-1</f>
        <v>-8.4750639853443666E-2</v>
      </c>
      <c r="S110" s="52">
        <f t="shared" ref="S110" si="106">M110-L110</f>
        <v>8.0499999999996685E-3</v>
      </c>
      <c r="T110" s="52">
        <f t="shared" ref="T110" si="107">O110-N110</f>
        <v>9.0333333333332266E-3</v>
      </c>
      <c r="U110" s="58">
        <f>AVERAGE(U79:U90)</f>
        <v>-1.1654206037596426E-2</v>
      </c>
      <c r="V110" s="58">
        <f>AVERAGE(V79:V90)</f>
        <v>-9.0583333333333332E-3</v>
      </c>
    </row>
    <row r="111" spans="1:22" x14ac:dyDescent="0.35">
      <c r="A111" s="67" t="s">
        <v>75</v>
      </c>
      <c r="B111" s="31">
        <f>SUM(B91:B92)</f>
        <v>3791.3040835793845</v>
      </c>
      <c r="C111" s="31">
        <f>SUM(C91:C92)</f>
        <v>3800.8999999999996</v>
      </c>
      <c r="D111" s="31">
        <f>AVERAGE(D91:D92)</f>
        <v>4.3364516129032253</v>
      </c>
      <c r="E111" s="31">
        <f t="shared" ref="E111:G111" si="108">AVERAGE(E91:E92)</f>
        <v>4.8834999999999997</v>
      </c>
      <c r="F111" s="31">
        <f t="shared" si="108"/>
        <v>5.2475806451612907</v>
      </c>
      <c r="G111" s="31">
        <f t="shared" si="108"/>
        <v>5.4849999999999994</v>
      </c>
      <c r="H111" s="58">
        <f>AVERAGE(H91:H92)</f>
        <v>0.82611469181837482</v>
      </c>
      <c r="I111" s="58">
        <f t="shared" ref="I111:O111" si="109">AVERAGE(I91:I92)</f>
        <v>0.78951149436815826</v>
      </c>
      <c r="J111" s="58">
        <f t="shared" si="109"/>
        <v>0.22342650804772923</v>
      </c>
      <c r="K111" s="58">
        <f t="shared" si="109"/>
        <v>0.22476038466461856</v>
      </c>
      <c r="L111" s="58">
        <f t="shared" si="109"/>
        <v>0.99</v>
      </c>
      <c r="M111" s="58">
        <f t="shared" si="109"/>
        <v>0.99934999999999996</v>
      </c>
      <c r="N111" s="58">
        <f t="shared" si="109"/>
        <v>0.99</v>
      </c>
      <c r="O111" s="58">
        <f t="shared" si="109"/>
        <v>1</v>
      </c>
      <c r="P111" s="15">
        <f t="shared" si="99"/>
        <v>-4.2712550655536807E-2</v>
      </c>
      <c r="Q111" s="51">
        <f t="shared" ref="Q111" si="110">C111/B111-1</f>
        <v>2.531033177258557E-3</v>
      </c>
      <c r="R111" s="51">
        <f t="shared" ref="R111" si="111">G111/F111-1</f>
        <v>4.5243583832795364E-2</v>
      </c>
      <c r="S111" s="52">
        <f t="shared" ref="S111" si="112">M111-L111</f>
        <v>9.3499999999999694E-3</v>
      </c>
      <c r="T111" s="52">
        <f t="shared" ref="T111" si="113">O111-N111</f>
        <v>1.0000000000000009E-2</v>
      </c>
      <c r="U111" s="58">
        <f>AVERAGE(U91:U91)</f>
        <v>-1.3100000000000001E-2</v>
      </c>
      <c r="V111" s="58">
        <f>AVERAGE(V91:V91)</f>
        <v>-6.7999999999999996E-3</v>
      </c>
    </row>
    <row r="112" spans="1:22" x14ac:dyDescent="0.35">
      <c r="B112" s="15"/>
      <c r="D112" s="109"/>
      <c r="H112" s="15"/>
      <c r="U112" s="85"/>
    </row>
    <row r="113" spans="1:26" hidden="1" x14ac:dyDescent="0.35">
      <c r="A113" s="67" t="s">
        <v>73</v>
      </c>
      <c r="B113" s="31">
        <f>SUM(B10:B21)</f>
        <v>24767.44274579961</v>
      </c>
      <c r="C113" s="31">
        <f>SUM(C10:C21)</f>
        <v>22396.2</v>
      </c>
      <c r="D113" s="31">
        <f t="shared" ref="D113:O113" si="114">AVERAGE(D10:D21)</f>
        <v>4.9898515104966723</v>
      </c>
      <c r="E113" s="31">
        <f t="shared" si="114"/>
        <v>5.0896513799283154</v>
      </c>
      <c r="F113" s="31">
        <f t="shared" si="114"/>
        <v>5.38632808499744</v>
      </c>
      <c r="G113" s="31">
        <f t="shared" si="114"/>
        <v>5.5408950806451607</v>
      </c>
      <c r="H113" s="58">
        <f t="shared" si="114"/>
        <v>0.84517452723632525</v>
      </c>
      <c r="I113" s="58">
        <f t="shared" si="114"/>
        <v>0.80069695942330688</v>
      </c>
      <c r="J113" s="58">
        <f t="shared" si="114"/>
        <v>0.23577189367572474</v>
      </c>
      <c r="K113" s="58">
        <f t="shared" si="114"/>
        <v>0.21333666465764914</v>
      </c>
      <c r="L113" s="58">
        <f t="shared" si="114"/>
        <v>0.9900000000000001</v>
      </c>
      <c r="M113" s="58">
        <f t="shared" si="114"/>
        <v>0.93755000000000022</v>
      </c>
      <c r="N113" s="58">
        <f t="shared" si="114"/>
        <v>0.9900000000000001</v>
      </c>
      <c r="O113" s="58">
        <f t="shared" si="114"/>
        <v>0.99509166666666671</v>
      </c>
      <c r="P113" s="15">
        <f t="shared" ref="P113" si="115">Q113-R113</f>
        <v>-0.12443648573007338</v>
      </c>
      <c r="Q113" s="51">
        <f t="shared" ref="Q113:Q118" si="116">C113/B113-1</f>
        <v>-9.5740314013716854E-2</v>
      </c>
      <c r="R113" s="51">
        <f t="shared" ref="R113:R118" si="117">G113/F113-1</f>
        <v>2.8696171716356522E-2</v>
      </c>
      <c r="S113" s="52">
        <f t="shared" ref="S113:S118" si="118">M113-L113</f>
        <v>-5.2449999999999886E-2</v>
      </c>
      <c r="T113" s="52">
        <f t="shared" ref="T113:T118" si="119">O113-N113</f>
        <v>5.0916666666666055E-3</v>
      </c>
      <c r="U113" s="82"/>
      <c r="V113" s="58">
        <f>AVERAGE(V10:V21)</f>
        <v>-1.66E-2</v>
      </c>
      <c r="X113" s="17"/>
      <c r="Y113" s="17"/>
      <c r="Z113" s="17"/>
    </row>
    <row r="114" spans="1:26" hidden="1" x14ac:dyDescent="0.35">
      <c r="A114" s="67" t="s">
        <v>34</v>
      </c>
      <c r="B114" s="31">
        <f>SUM(B22:B33)</f>
        <v>24668.8990329156</v>
      </c>
      <c r="C114" s="31">
        <f>SUM(C22:C33)</f>
        <v>22659.9</v>
      </c>
      <c r="D114" s="31">
        <f t="shared" ref="D114:O114" si="120">AVERAGE(D22:D33)</f>
        <v>4.9898515104966723</v>
      </c>
      <c r="E114" s="31">
        <f t="shared" si="120"/>
        <v>4.971598566308244</v>
      </c>
      <c r="F114" s="31">
        <f t="shared" si="120"/>
        <v>5.3860304659498199</v>
      </c>
      <c r="G114" s="31">
        <f t="shared" si="120"/>
        <v>5.2512401433691762</v>
      </c>
      <c r="H114" s="58">
        <f t="shared" si="120"/>
        <v>0.84842111789874242</v>
      </c>
      <c r="I114" s="58">
        <f t="shared" si="120"/>
        <v>0.79971614251939149</v>
      </c>
      <c r="J114" s="58">
        <f t="shared" si="120"/>
        <v>0.23415673636484055</v>
      </c>
      <c r="K114" s="58">
        <f t="shared" si="120"/>
        <v>0.21518654933379341</v>
      </c>
      <c r="L114" s="58">
        <f t="shared" si="120"/>
        <v>0.9900000000000001</v>
      </c>
      <c r="M114" s="58">
        <f t="shared" si="120"/>
        <v>0.98951666666666671</v>
      </c>
      <c r="N114" s="58">
        <f t="shared" si="120"/>
        <v>0.9900000000000001</v>
      </c>
      <c r="O114" s="58">
        <f t="shared" si="120"/>
        <v>0.99464166666666654</v>
      </c>
      <c r="P114" s="15">
        <f t="shared" ref="P114:P116" si="121">Q114-R114</f>
        <v>-5.6412624794422106E-2</v>
      </c>
      <c r="Q114" s="51">
        <f t="shared" si="116"/>
        <v>-8.1438536443600551E-2</v>
      </c>
      <c r="R114" s="51">
        <f t="shared" si="117"/>
        <v>-2.5025911649178445E-2</v>
      </c>
      <c r="S114" s="52">
        <f t="shared" si="118"/>
        <v>-4.8333333333339112E-4</v>
      </c>
      <c r="T114" s="52">
        <f t="shared" si="119"/>
        <v>4.641666666666433E-3</v>
      </c>
      <c r="U114" s="82"/>
      <c r="V114" s="58">
        <f>AVERAGE(V22:V33)</f>
        <v>-1.1341666666666667E-2</v>
      </c>
      <c r="X114" s="17"/>
      <c r="Y114" s="17"/>
      <c r="Z114" s="17"/>
    </row>
    <row r="115" spans="1:26" hidden="1" x14ac:dyDescent="0.35">
      <c r="A115" s="67" t="s">
        <v>35</v>
      </c>
      <c r="B115" s="31">
        <f>SUM(B34:B45)</f>
        <v>24544.864741758938</v>
      </c>
      <c r="C115" s="31">
        <f>SUM(C34:C45)</f>
        <v>23838.250000000004</v>
      </c>
      <c r="D115" s="31">
        <f t="shared" ref="D115:O115" si="122">AVERAGE(D34:D45)</f>
        <v>4.9898515104966723</v>
      </c>
      <c r="E115" s="31">
        <f t="shared" si="122"/>
        <v>5.2372396589481189</v>
      </c>
      <c r="F115" s="31">
        <f t="shared" si="122"/>
        <v>5.38632808499744</v>
      </c>
      <c r="G115" s="31">
        <f t="shared" si="122"/>
        <v>5.5065856313599468</v>
      </c>
      <c r="H115" s="58">
        <f t="shared" si="122"/>
        <v>0.84483822492152472</v>
      </c>
      <c r="I115" s="58">
        <f t="shared" si="122"/>
        <v>0.79807872563566129</v>
      </c>
      <c r="J115" s="58">
        <f t="shared" si="122"/>
        <v>0.23365193095842826</v>
      </c>
      <c r="K115" s="58">
        <f t="shared" si="122"/>
        <v>0.2270284398201485</v>
      </c>
      <c r="L115" s="58">
        <f t="shared" si="122"/>
        <v>0.9900000000000001</v>
      </c>
      <c r="M115" s="58">
        <f t="shared" si="122"/>
        <v>0.99539169916666659</v>
      </c>
      <c r="N115" s="58">
        <f t="shared" si="122"/>
        <v>0.9900000000000001</v>
      </c>
      <c r="O115" s="58">
        <f t="shared" si="122"/>
        <v>0.99660833333333321</v>
      </c>
      <c r="P115" s="15">
        <f t="shared" si="121"/>
        <v>-5.111514264979089E-2</v>
      </c>
      <c r="Q115" s="51">
        <f t="shared" si="116"/>
        <v>-2.8788699762388514E-2</v>
      </c>
      <c r="R115" s="51">
        <f t="shared" si="117"/>
        <v>2.2326442887402376E-2</v>
      </c>
      <c r="S115" s="52">
        <f t="shared" si="118"/>
        <v>5.391699166666486E-3</v>
      </c>
      <c r="T115" s="52">
        <f t="shared" si="119"/>
        <v>6.6083333333331051E-3</v>
      </c>
      <c r="U115" s="82"/>
      <c r="V115" s="58">
        <f>AVERAGE(V34:V45)</f>
        <v>-9.7416666666666676E-3</v>
      </c>
      <c r="X115" s="17"/>
      <c r="Y115" s="17"/>
      <c r="Z115" s="17"/>
    </row>
    <row r="116" spans="1:26" hidden="1" x14ac:dyDescent="0.35">
      <c r="A116" s="67" t="s">
        <v>36</v>
      </c>
      <c r="B116" s="31">
        <f>SUM(B46:B57)</f>
        <v>24421.319624895677</v>
      </c>
      <c r="C116" s="31">
        <f>SUM(C46:C57)</f>
        <v>22528.850000000002</v>
      </c>
      <c r="D116" s="31">
        <f t="shared" ref="D116:O116" si="123">AVERAGE(D46:D57)</f>
        <v>4.9898515104966723</v>
      </c>
      <c r="E116" s="31">
        <f t="shared" si="123"/>
        <v>4.9583333333333339</v>
      </c>
      <c r="F116" s="31">
        <f t="shared" si="123"/>
        <v>5.38632808499744</v>
      </c>
      <c r="G116" s="31">
        <f t="shared" si="123"/>
        <v>5.2074999999999996</v>
      </c>
      <c r="H116" s="58">
        <f t="shared" si="123"/>
        <v>0.84058633997059407</v>
      </c>
      <c r="I116" s="58">
        <f t="shared" si="123"/>
        <v>0.7975315529889615</v>
      </c>
      <c r="J116" s="58">
        <f t="shared" si="123"/>
        <v>0.23247593123040522</v>
      </c>
      <c r="K116" s="58">
        <f t="shared" si="123"/>
        <v>0.2146774715804034</v>
      </c>
      <c r="L116" s="58">
        <f t="shared" si="123"/>
        <v>0.9900000000000001</v>
      </c>
      <c r="M116" s="58">
        <f t="shared" si="123"/>
        <v>0.99658333333333327</v>
      </c>
      <c r="N116" s="58">
        <f t="shared" si="123"/>
        <v>0.9900000000000001</v>
      </c>
      <c r="O116" s="58">
        <f t="shared" si="123"/>
        <v>0.99925833333333325</v>
      </c>
      <c r="P116" s="15">
        <f t="shared" si="121"/>
        <v>-4.4292151109517008E-2</v>
      </c>
      <c r="Q116" s="51">
        <f t="shared" si="116"/>
        <v>-7.74925210415921E-2</v>
      </c>
      <c r="R116" s="51">
        <f t="shared" si="117"/>
        <v>-3.3200369932075091E-2</v>
      </c>
      <c r="S116" s="52">
        <f t="shared" si="118"/>
        <v>6.5833333333331634E-3</v>
      </c>
      <c r="T116" s="52">
        <f t="shared" si="119"/>
        <v>9.2583333333331463E-3</v>
      </c>
      <c r="U116" s="82"/>
      <c r="V116" s="58">
        <f>AVERAGE(V46:V57)</f>
        <v>-9.2833333333333344E-3</v>
      </c>
      <c r="X116" s="17"/>
      <c r="Y116" s="17"/>
      <c r="Z116" s="17"/>
    </row>
    <row r="117" spans="1:26" hidden="1" x14ac:dyDescent="0.35">
      <c r="A117" s="67" t="s">
        <v>37</v>
      </c>
      <c r="B117" s="31">
        <f>SUM(B58:B69)</f>
        <v>24296.822757030066</v>
      </c>
      <c r="C117" s="31">
        <f>SUM(C58:C69)</f>
        <v>23128.100030000001</v>
      </c>
      <c r="D117" s="31">
        <f t="shared" ref="D117:O117" si="124">AVERAGE(D58:D69)</f>
        <v>4.9895826932923715</v>
      </c>
      <c r="E117" s="31">
        <f t="shared" si="124"/>
        <v>5.163333333333334</v>
      </c>
      <c r="F117" s="31">
        <f t="shared" si="124"/>
        <v>5.38632808499744</v>
      </c>
      <c r="G117" s="31">
        <f t="shared" si="124"/>
        <v>5.3683333333333332</v>
      </c>
      <c r="H117" s="58">
        <f t="shared" si="124"/>
        <v>0.83630095690676309</v>
      </c>
      <c r="I117" s="58">
        <f t="shared" si="124"/>
        <v>0.7967871835304744</v>
      </c>
      <c r="J117" s="58">
        <f t="shared" si="124"/>
        <v>0.23129070191693968</v>
      </c>
      <c r="K117" s="58">
        <f t="shared" si="124"/>
        <v>0.22043780337497157</v>
      </c>
      <c r="L117" s="58">
        <f t="shared" si="124"/>
        <v>0.9900000000000001</v>
      </c>
      <c r="M117" s="58">
        <f t="shared" si="124"/>
        <v>0.99372500000000008</v>
      </c>
      <c r="N117" s="58">
        <f t="shared" si="124"/>
        <v>0.9900000000000001</v>
      </c>
      <c r="O117" s="58">
        <f t="shared" si="124"/>
        <v>0.9966166666666666</v>
      </c>
      <c r="P117" s="15">
        <f>Q117-R117</f>
        <v>-4.4761055002633054E-2</v>
      </c>
      <c r="Q117" s="51">
        <f t="shared" si="116"/>
        <v>-4.8101874830193792E-2</v>
      </c>
      <c r="R117" s="51">
        <f t="shared" si="117"/>
        <v>-3.340819827560737E-3</v>
      </c>
      <c r="S117" s="52">
        <f t="shared" si="118"/>
        <v>3.7249999999999783E-3</v>
      </c>
      <c r="T117" s="52">
        <f t="shared" si="119"/>
        <v>6.6166666666664931E-3</v>
      </c>
      <c r="U117" s="58">
        <f>AVERAGE(U58:U69)</f>
        <v>-1.3065955772557094E-2</v>
      </c>
      <c r="V117" s="58">
        <f>AVERAGE(V58:V69)</f>
        <v>-8.9916666666666669E-3</v>
      </c>
      <c r="X117" s="17"/>
      <c r="Y117" s="17"/>
      <c r="Z117" s="17"/>
    </row>
    <row r="118" spans="1:26" hidden="1" x14ac:dyDescent="0.35">
      <c r="A118" s="67" t="s">
        <v>54</v>
      </c>
      <c r="B118" s="31">
        <f>SUM(B70:B81)</f>
        <v>24172.797203021735</v>
      </c>
      <c r="C118" s="31">
        <f>SUM(C70:C81)</f>
        <v>21401.502240000002</v>
      </c>
      <c r="D118" s="31">
        <f t="shared" ref="D118:O118" si="125">AVERAGE(D70:D81)</f>
        <v>4.9895826932923715</v>
      </c>
      <c r="E118" s="31">
        <f t="shared" si="125"/>
        <v>4.9264999999999999</v>
      </c>
      <c r="F118" s="31">
        <f t="shared" si="125"/>
        <v>5.38632808499744</v>
      </c>
      <c r="G118" s="31">
        <f t="shared" si="125"/>
        <v>5.0804423093720832</v>
      </c>
      <c r="H118" s="58">
        <f t="shared" si="125"/>
        <v>0.82967688844018372</v>
      </c>
      <c r="I118" s="58">
        <f t="shared" si="125"/>
        <v>0.77313061935594452</v>
      </c>
      <c r="J118" s="58">
        <f t="shared" si="125"/>
        <v>0.2294477318861837</v>
      </c>
      <c r="K118" s="58">
        <f t="shared" si="125"/>
        <v>0.20311696506545765</v>
      </c>
      <c r="L118" s="58">
        <f t="shared" si="125"/>
        <v>0.9900000000000001</v>
      </c>
      <c r="M118" s="58">
        <f t="shared" si="125"/>
        <v>0.997837179157128</v>
      </c>
      <c r="N118" s="58">
        <f t="shared" si="125"/>
        <v>0.9900000000000001</v>
      </c>
      <c r="O118" s="58">
        <f t="shared" si="125"/>
        <v>0.99936666666666663</v>
      </c>
      <c r="P118" s="15">
        <f>Q118-R118</f>
        <v>-5.7855896248679595E-2</v>
      </c>
      <c r="Q118" s="51">
        <f t="shared" si="116"/>
        <v>-0.11464519144169649</v>
      </c>
      <c r="R118" s="51">
        <f t="shared" si="117"/>
        <v>-5.6789295193016898E-2</v>
      </c>
      <c r="S118" s="52">
        <f t="shared" si="118"/>
        <v>7.8371791571278937E-3</v>
      </c>
      <c r="T118" s="52">
        <f t="shared" si="119"/>
        <v>9.3666666666665233E-3</v>
      </c>
      <c r="U118" s="58">
        <f>AVERAGE(U59:U70)</f>
        <v>-1.2931943187550513E-2</v>
      </c>
      <c r="V118" s="58">
        <f>AVERAGE(V59:V70)</f>
        <v>-8.9166666666666665E-3</v>
      </c>
      <c r="X118" s="17"/>
      <c r="Y118" s="17"/>
      <c r="Z118" s="17"/>
    </row>
    <row r="119" spans="1:26" x14ac:dyDescent="0.35">
      <c r="A119" s="67" t="s">
        <v>74</v>
      </c>
      <c r="B119" s="31">
        <f>SUM(B82:B92)</f>
        <v>21467.605566031554</v>
      </c>
      <c r="C119" s="31">
        <f>SUM(C82:C92)</f>
        <v>19258.001693999999</v>
      </c>
      <c r="D119" s="31">
        <f>AVERAGE(D82:D92)</f>
        <v>4.8718866080156404</v>
      </c>
      <c r="E119" s="31">
        <f>AVERAGE(E82:E92)</f>
        <v>4.8326885145648086</v>
      </c>
      <c r="F119" s="31">
        <f>AVERAGE(F82:F92)</f>
        <v>5.2472238514173997</v>
      </c>
      <c r="G119" s="31">
        <f>AVERAGE(G82:G92)</f>
        <v>4.9643636363636361</v>
      </c>
      <c r="H119" s="58">
        <f>AVERAGE(H82:H92)</f>
        <v>0.82934597618484274</v>
      </c>
      <c r="I119" s="58">
        <f>AVERAGE(I82:I92)</f>
        <v>0.7818250577186997</v>
      </c>
      <c r="J119" s="58">
        <f>AVERAGE(J82:J92)</f>
        <v>0.22345936557176183</v>
      </c>
      <c r="K119" s="58">
        <f>AVERAGE(K82:K92)</f>
        <v>0.20065642884053669</v>
      </c>
      <c r="L119" s="58">
        <f>AVERAGE(L82:L92)</f>
        <v>0.9900000000000001</v>
      </c>
      <c r="M119" s="58">
        <f>AVERAGE(M82:M92)</f>
        <v>0.99807272727272744</v>
      </c>
      <c r="N119" s="58">
        <f>AVERAGE(N82:N92)</f>
        <v>0.9900000000000001</v>
      </c>
      <c r="O119" s="58">
        <f>AVERAGE(O82:O92)</f>
        <v>0.99894545454545458</v>
      </c>
      <c r="P119" s="15">
        <f>Q119-R119</f>
        <v>-4.9020714097818274E-2</v>
      </c>
      <c r="Q119" s="51">
        <f t="shared" ref="Q119" si="126">C119/B119-1</f>
        <v>-0.10292735560261257</v>
      </c>
      <c r="R119" s="51">
        <f t="shared" ref="R119" si="127">G119/F119-1</f>
        <v>-5.3906641504794295E-2</v>
      </c>
      <c r="S119" s="52">
        <f t="shared" ref="S119" si="128">M119-L119</f>
        <v>8.0727272727273425E-3</v>
      </c>
      <c r="T119" s="52">
        <f t="shared" ref="T119" si="129">O119-N119</f>
        <v>8.9454545454544787E-3</v>
      </c>
      <c r="U119" s="58">
        <f>AVERAGE(U60:U92)</f>
        <v>-1.2143571084280469E-2</v>
      </c>
      <c r="V119" s="58">
        <f>AVERAGE(V60:V92)</f>
        <v>-8.9484848484848462E-3</v>
      </c>
      <c r="X119" s="17"/>
      <c r="Y119" s="17"/>
      <c r="Z119" s="17"/>
    </row>
    <row r="121" spans="1:26" x14ac:dyDescent="0.35">
      <c r="J121" s="29"/>
      <c r="K121" s="29"/>
    </row>
    <row r="122" spans="1:26" x14ac:dyDescent="0.35">
      <c r="G122" s="29"/>
      <c r="J122" s="15"/>
      <c r="K122" s="15"/>
      <c r="L122" s="15"/>
    </row>
    <row r="123" spans="1:26" x14ac:dyDescent="0.35">
      <c r="D123" s="29"/>
      <c r="G123" s="29"/>
    </row>
    <row r="124" spans="1:26" x14ac:dyDescent="0.35">
      <c r="G124" s="29"/>
    </row>
    <row r="125" spans="1:26" x14ac:dyDescent="0.35">
      <c r="G125" s="29"/>
    </row>
    <row r="126" spans="1:26" x14ac:dyDescent="0.35">
      <c r="G126" s="29"/>
    </row>
    <row r="127" spans="1:26" x14ac:dyDescent="0.35">
      <c r="G127" s="29"/>
    </row>
    <row r="152" spans="5:5" x14ac:dyDescent="0.35">
      <c r="E152" t="s">
        <v>71</v>
      </c>
    </row>
  </sheetData>
  <autoFilter ref="A2:AQ110" xr:uid="{00000000-0001-0000-0000-000000000000}"/>
  <mergeCells count="3">
    <mergeCell ref="A1:O1"/>
    <mergeCell ref="X1:Z1"/>
    <mergeCell ref="Q1:V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3245-2B96-4C89-9E52-E154479378A5}">
  <dimension ref="A1:U92"/>
  <sheetViews>
    <sheetView topLeftCell="A74" zoomScale="70" zoomScaleNormal="70" workbookViewId="0">
      <selection activeCell="D95" sqref="D95"/>
    </sheetView>
  </sheetViews>
  <sheetFormatPr defaultRowHeight="14.5" x14ac:dyDescent="0.35"/>
  <cols>
    <col min="4" max="4" width="11.1796875" customWidth="1"/>
    <col min="5" max="5" width="10.453125" customWidth="1"/>
    <col min="6" max="6" width="10.54296875" style="57" customWidth="1"/>
    <col min="7" max="7" width="10.54296875" style="43" customWidth="1"/>
    <col min="8" max="10" width="10.54296875" customWidth="1"/>
    <col min="11" max="11" width="11" customWidth="1"/>
    <col min="12" max="20" width="10.54296875" customWidth="1"/>
    <col min="21" max="21" width="8.81640625" style="43" customWidth="1"/>
  </cols>
  <sheetData>
    <row r="1" spans="1:21" ht="25.5" customHeight="1" x14ac:dyDescent="0.35">
      <c r="E1" s="118" t="s">
        <v>10</v>
      </c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20"/>
    </row>
    <row r="2" spans="1:21" ht="43.5" x14ac:dyDescent="0.35">
      <c r="A2" s="72" t="s">
        <v>47</v>
      </c>
      <c r="B2" s="72" t="s">
        <v>48</v>
      </c>
      <c r="C2" s="2" t="s">
        <v>49</v>
      </c>
      <c r="D2" s="19" t="s">
        <v>50</v>
      </c>
      <c r="E2" s="16" t="s">
        <v>1</v>
      </c>
      <c r="F2" s="2" t="s">
        <v>19</v>
      </c>
      <c r="G2" s="2" t="s">
        <v>20</v>
      </c>
      <c r="H2" s="2" t="s">
        <v>38</v>
      </c>
      <c r="I2" s="2" t="s">
        <v>18</v>
      </c>
      <c r="J2" s="2" t="s">
        <v>17</v>
      </c>
      <c r="K2" s="2" t="s">
        <v>39</v>
      </c>
      <c r="L2" s="2" t="s">
        <v>9</v>
      </c>
      <c r="M2" s="2" t="s">
        <v>7</v>
      </c>
      <c r="N2" s="2" t="s">
        <v>8</v>
      </c>
      <c r="O2" s="2" t="s">
        <v>6</v>
      </c>
      <c r="P2" s="2" t="s">
        <v>4</v>
      </c>
      <c r="Q2" s="2" t="s">
        <v>2</v>
      </c>
      <c r="R2" s="2" t="s">
        <v>5</v>
      </c>
      <c r="S2" s="19" t="s">
        <v>3</v>
      </c>
      <c r="T2" s="19" t="s">
        <v>53</v>
      </c>
      <c r="U2" s="19" t="s">
        <v>23</v>
      </c>
    </row>
    <row r="3" spans="1:21" x14ac:dyDescent="0.35">
      <c r="A3" s="23" t="s">
        <v>51</v>
      </c>
      <c r="B3" s="23" t="s">
        <v>52</v>
      </c>
      <c r="C3" s="23">
        <v>12</v>
      </c>
      <c r="D3" s="23"/>
      <c r="E3" s="73">
        <v>43008</v>
      </c>
      <c r="F3" s="4">
        <f>SEMLI!B3</f>
        <v>1096.1171092805739</v>
      </c>
      <c r="G3" s="4">
        <f>SEMLI!C3</f>
        <v>19.100000000000001</v>
      </c>
      <c r="H3" s="4">
        <f>SEMLI!D3</f>
        <v>5</v>
      </c>
      <c r="I3" s="4" t="str">
        <f>SEMLI!E3</f>
        <v>NA</v>
      </c>
      <c r="J3" s="4">
        <f>SEMLI!F3</f>
        <v>5.2366666666666664</v>
      </c>
      <c r="K3" s="4" t="str">
        <f>SEMLI!G3</f>
        <v>NA</v>
      </c>
      <c r="L3" s="74"/>
      <c r="M3" s="23"/>
      <c r="N3" s="74">
        <f>F3/24/12/15</f>
        <v>0.25373081233346617</v>
      </c>
      <c r="O3" s="74">
        <f>G3/24/12/15</f>
        <v>4.4212962962962964E-3</v>
      </c>
      <c r="P3" s="74">
        <v>0.99</v>
      </c>
      <c r="Q3" s="74">
        <f>SEMLI!M3</f>
        <v>0</v>
      </c>
      <c r="R3" s="75">
        <v>0.99</v>
      </c>
      <c r="S3" s="76">
        <f>SEMLI!O3</f>
        <v>0</v>
      </c>
      <c r="T3" s="76">
        <f>SEMLI!U3</f>
        <v>-5.232862375718478E-4</v>
      </c>
      <c r="U3" s="76">
        <f>SEMLI!V3</f>
        <v>0</v>
      </c>
    </row>
    <row r="4" spans="1:21" x14ac:dyDescent="0.35">
      <c r="A4" s="23" t="s">
        <v>51</v>
      </c>
      <c r="B4" s="23" t="s">
        <v>52</v>
      </c>
      <c r="C4" s="23">
        <v>12</v>
      </c>
      <c r="D4" s="23"/>
      <c r="E4" s="73">
        <v>43039</v>
      </c>
      <c r="F4" s="4">
        <f>SEMLI!B4</f>
        <v>2235.7062852181666</v>
      </c>
      <c r="G4" s="4">
        <f>SEMLI!C4</f>
        <v>40</v>
      </c>
      <c r="H4" s="4">
        <f>SEMLI!D4</f>
        <v>5.19</v>
      </c>
      <c r="I4" s="4" t="str">
        <f>SEMLI!E4</f>
        <v>NA</v>
      </c>
      <c r="J4" s="4">
        <f>SEMLI!F4</f>
        <v>5.7806451612903222</v>
      </c>
      <c r="K4" s="4" t="str">
        <f>SEMLI!G4</f>
        <v>NA</v>
      </c>
      <c r="L4" s="74"/>
      <c r="M4" s="77"/>
      <c r="N4" s="74">
        <f>F4/24/12/31</f>
        <v>0.25041513051278746</v>
      </c>
      <c r="O4" s="74">
        <f>G4/24/12/30</f>
        <v>4.6296296296296302E-3</v>
      </c>
      <c r="P4" s="74">
        <v>0.99</v>
      </c>
      <c r="Q4" s="74">
        <f>SEMLI!M4</f>
        <v>0</v>
      </c>
      <c r="R4" s="75">
        <v>0.99</v>
      </c>
      <c r="S4" s="76">
        <f>SEMLI!O4</f>
        <v>0</v>
      </c>
      <c r="T4" s="76">
        <f>SEMLI!U4</f>
        <v>-2.2449488650537141E-3</v>
      </c>
      <c r="U4" s="76">
        <f>SEMLI!V4</f>
        <v>0</v>
      </c>
    </row>
    <row r="5" spans="1:21" x14ac:dyDescent="0.35">
      <c r="A5" s="23" t="s">
        <v>51</v>
      </c>
      <c r="B5" s="23" t="s">
        <v>52</v>
      </c>
      <c r="C5" s="23">
        <v>12</v>
      </c>
      <c r="D5" s="23"/>
      <c r="E5" s="73">
        <v>43069</v>
      </c>
      <c r="F5" s="4">
        <f>SEMLI!B5</f>
        <v>2042.1197383861258</v>
      </c>
      <c r="G5" s="4">
        <f>SEMLI!C5</f>
        <v>504.15</v>
      </c>
      <c r="H5" s="4">
        <f>SEMLI!D5</f>
        <v>4.3033333333333328</v>
      </c>
      <c r="I5" s="4" t="str">
        <f>SEMLI!E5</f>
        <v>NA</v>
      </c>
      <c r="J5" s="4">
        <f>SEMLI!F5</f>
        <v>5.3233333333333333</v>
      </c>
      <c r="K5" s="4" t="str">
        <f>SEMLI!G5</f>
        <v>NA</v>
      </c>
      <c r="L5" s="74"/>
      <c r="M5" s="77"/>
      <c r="N5" s="74">
        <f>F5/24/12/30</f>
        <v>0.23635645120209789</v>
      </c>
      <c r="O5" s="74">
        <f>G5/24/12/30</f>
        <v>5.8350694444444434E-2</v>
      </c>
      <c r="P5" s="74">
        <v>0.99</v>
      </c>
      <c r="Q5" s="74">
        <f>SEMLI!M5</f>
        <v>0</v>
      </c>
      <c r="R5" s="75">
        <v>0.99</v>
      </c>
      <c r="S5" s="76">
        <f>SEMLI!O5</f>
        <v>0</v>
      </c>
      <c r="T5" s="76">
        <f>SEMLI!U5</f>
        <v>-3.2621589561092016E-3</v>
      </c>
      <c r="U5" s="76">
        <f>SEMLI!V5</f>
        <v>0</v>
      </c>
    </row>
    <row r="6" spans="1:21" x14ac:dyDescent="0.35">
      <c r="A6" s="23" t="s">
        <v>51</v>
      </c>
      <c r="B6" s="23" t="s">
        <v>52</v>
      </c>
      <c r="C6" s="23">
        <v>12</v>
      </c>
      <c r="D6" s="23"/>
      <c r="E6" s="73">
        <v>43100</v>
      </c>
      <c r="F6" s="4">
        <f>SEMLI!B6</f>
        <v>1833.977812093028</v>
      </c>
      <c r="G6" s="4">
        <f>SEMLI!C6</f>
        <v>812.35</v>
      </c>
      <c r="H6" s="4">
        <f>SEMLI!D6</f>
        <v>3.7433333333333332</v>
      </c>
      <c r="I6" s="4" t="str">
        <f>SEMLI!E6</f>
        <v>NA</v>
      </c>
      <c r="J6" s="4">
        <f>SEMLI!F6</f>
        <v>4.5870967741935482</v>
      </c>
      <c r="K6" s="4" t="str">
        <f>SEMLI!G6</f>
        <v>NA</v>
      </c>
      <c r="L6" s="74"/>
      <c r="M6" s="77"/>
      <c r="N6" s="74">
        <f>F6/24/12/31</f>
        <v>0.20541866174877105</v>
      </c>
      <c r="O6" s="74">
        <f>G6/24/12/30</f>
        <v>9.4021990740740746E-2</v>
      </c>
      <c r="P6" s="74">
        <v>0.99</v>
      </c>
      <c r="Q6" s="74">
        <f>SEMLI!M6</f>
        <v>0</v>
      </c>
      <c r="R6" s="75">
        <v>0.99</v>
      </c>
      <c r="S6" s="76">
        <f>SEMLI!O6</f>
        <v>0</v>
      </c>
      <c r="T6" s="76">
        <f>SEMLI!U6</f>
        <v>-5.5698371893744087E-3</v>
      </c>
      <c r="U6" s="76">
        <f>SEMLI!V6</f>
        <v>0</v>
      </c>
    </row>
    <row r="7" spans="1:21" x14ac:dyDescent="0.35">
      <c r="A7" s="23" t="s">
        <v>51</v>
      </c>
      <c r="B7" s="23" t="s">
        <v>52</v>
      </c>
      <c r="C7" s="23">
        <v>12</v>
      </c>
      <c r="D7" s="78">
        <v>12.481783900128816</v>
      </c>
      <c r="E7" s="73">
        <v>43131</v>
      </c>
      <c r="F7" s="4">
        <f>SEMLI!B7</f>
        <v>2005.7312897334857</v>
      </c>
      <c r="G7" s="4">
        <f>SEMLI!C7</f>
        <v>1669.45</v>
      </c>
      <c r="H7" s="4">
        <f>SEMLI!D7</f>
        <v>4.0129032258064514</v>
      </c>
      <c r="I7" s="4">
        <f>SEMLI!E7</f>
        <v>4.3</v>
      </c>
      <c r="J7" s="4">
        <f>SEMLI!F7</f>
        <v>5.0451612903225804</v>
      </c>
      <c r="K7" s="4">
        <f>SEMLI!G7</f>
        <v>5.08</v>
      </c>
      <c r="L7" s="74">
        <v>0.85499999999999998</v>
      </c>
      <c r="M7" s="74">
        <v>0.85</v>
      </c>
      <c r="N7" s="74">
        <f>F7/24/12/31</f>
        <v>0.22465628245222735</v>
      </c>
      <c r="O7" s="74">
        <f>G7/24/12/31</f>
        <v>0.18699036738351255</v>
      </c>
      <c r="P7" s="74">
        <v>0.99</v>
      </c>
      <c r="Q7" s="74">
        <f>SEMLI!M7</f>
        <v>0.99919999999999998</v>
      </c>
      <c r="R7" s="75">
        <v>0.99</v>
      </c>
      <c r="S7" s="76">
        <f>SEMLI!O7</f>
        <v>0.99870000000000003</v>
      </c>
      <c r="T7" s="76">
        <f>SEMLI!U7</f>
        <v>-1.0461739078892694E-2</v>
      </c>
      <c r="U7" s="76">
        <f>SEMLI!V7</f>
        <v>0</v>
      </c>
    </row>
    <row r="8" spans="1:21" x14ac:dyDescent="0.35">
      <c r="A8" s="23" t="s">
        <v>51</v>
      </c>
      <c r="B8" s="23" t="s">
        <v>52</v>
      </c>
      <c r="C8" s="23">
        <v>12</v>
      </c>
      <c r="D8" s="78">
        <v>14.920150747400555</v>
      </c>
      <c r="E8" s="73">
        <v>43159</v>
      </c>
      <c r="F8" s="4">
        <f>SEMLI!B8</f>
        <v>1911.1213232366235</v>
      </c>
      <c r="G8" s="4">
        <f>SEMLI!C8</f>
        <v>1967.55</v>
      </c>
      <c r="H8" s="4">
        <f>SEMLI!D8</f>
        <v>4.6571428571428575</v>
      </c>
      <c r="I8" s="4">
        <f>SEMLI!E8</f>
        <v>4.9800000000000004</v>
      </c>
      <c r="J8" s="4">
        <f>SEMLI!F8</f>
        <v>5.4535714285714283</v>
      </c>
      <c r="K8" s="4">
        <f>SEMLI!G8</f>
        <v>5.68</v>
      </c>
      <c r="L8" s="74">
        <v>0.83399999999999996</v>
      </c>
      <c r="M8" s="74">
        <v>0.85</v>
      </c>
      <c r="N8" s="74">
        <f>F8/24/12/28</f>
        <v>0.23699421171089083</v>
      </c>
      <c r="O8" s="74">
        <f>G8/24/12/28</f>
        <v>0.24399181547619048</v>
      </c>
      <c r="P8" s="74">
        <v>0.99</v>
      </c>
      <c r="Q8" s="74">
        <f>SEMLI!M8</f>
        <v>0.97550000000000003</v>
      </c>
      <c r="R8" s="75">
        <v>0.99</v>
      </c>
      <c r="S8" s="76">
        <f>SEMLI!O8</f>
        <v>1</v>
      </c>
      <c r="T8" s="76">
        <f>SEMLI!U8</f>
        <v>-1.242282788736636E-2</v>
      </c>
      <c r="U8" s="76">
        <f>SEMLI!V8</f>
        <v>0</v>
      </c>
    </row>
    <row r="9" spans="1:21" x14ac:dyDescent="0.35">
      <c r="A9" s="23" t="s">
        <v>51</v>
      </c>
      <c r="B9" s="23" t="s">
        <v>52</v>
      </c>
      <c r="C9" s="23">
        <v>12</v>
      </c>
      <c r="D9" s="78">
        <v>16.819784004171257</v>
      </c>
      <c r="E9" s="73">
        <v>43190</v>
      </c>
      <c r="F9" s="4">
        <f>SEMLI!B9</f>
        <v>2669.4565931576294</v>
      </c>
      <c r="G9" s="4">
        <f>SEMLI!C9</f>
        <v>2721.45</v>
      </c>
      <c r="H9" s="4">
        <f>SEMLI!D9</f>
        <v>6.2870967741935484</v>
      </c>
      <c r="I9" s="4">
        <f>SEMLI!E9</f>
        <v>6.08</v>
      </c>
      <c r="J9" s="4">
        <f>SEMLI!F9</f>
        <v>6.9129032258064518</v>
      </c>
      <c r="K9" s="4">
        <f>SEMLI!G9</f>
        <v>6.64</v>
      </c>
      <c r="L9" s="74">
        <v>0.83</v>
      </c>
      <c r="M9" s="74">
        <v>0.79</v>
      </c>
      <c r="N9" s="74">
        <f>F9/24/12/31</f>
        <v>0.29899827432321119</v>
      </c>
      <c r="O9" s="74">
        <f>G9/24/12/31</f>
        <v>0.30482190860215053</v>
      </c>
      <c r="P9" s="74">
        <v>0.99</v>
      </c>
      <c r="Q9" s="74">
        <f>SEMLI!M9</f>
        <v>0.995</v>
      </c>
      <c r="R9" s="75">
        <v>0.99</v>
      </c>
      <c r="S9" s="76">
        <f>SEMLI!O9</f>
        <v>0.99229999999999996</v>
      </c>
      <c r="T9" s="76">
        <f>SEMLI!U9</f>
        <v>-1.5608044563408354E-2</v>
      </c>
      <c r="U9" s="76">
        <f>SEMLI!V9</f>
        <v>0</v>
      </c>
    </row>
    <row r="10" spans="1:21" x14ac:dyDescent="0.35">
      <c r="A10" s="23" t="s">
        <v>51</v>
      </c>
      <c r="B10" s="23" t="s">
        <v>52</v>
      </c>
      <c r="C10" s="23">
        <v>12</v>
      </c>
      <c r="D10" s="78">
        <v>14.78234221993397</v>
      </c>
      <c r="E10" s="73">
        <v>43220</v>
      </c>
      <c r="F10" s="4">
        <f>SEMLI!B10</f>
        <v>2487.5143498944299</v>
      </c>
      <c r="G10" s="4">
        <f>SEMLI!C10</f>
        <v>1946.3</v>
      </c>
      <c r="H10" s="4">
        <f>SEMLI!D10</f>
        <v>6.72</v>
      </c>
      <c r="I10" s="4">
        <f>SEMLI!E10</f>
        <v>6.57</v>
      </c>
      <c r="J10" s="4">
        <f>SEMLI!F10</f>
        <v>6.8733333333333331</v>
      </c>
      <c r="K10" s="4">
        <f>SEMLI!G10</f>
        <v>6.7</v>
      </c>
      <c r="L10" s="74">
        <v>0.80400000000000005</v>
      </c>
      <c r="M10" s="74">
        <v>0.78</v>
      </c>
      <c r="N10" s="74">
        <f>F10/24/12/30</f>
        <v>0.28790675346000344</v>
      </c>
      <c r="O10" s="74">
        <f>G10/24/12/30</f>
        <v>0.2252662037037037</v>
      </c>
      <c r="P10" s="74">
        <v>0.99</v>
      </c>
      <c r="Q10" s="74">
        <f>SEMLI!M10</f>
        <v>0.83979999999999999</v>
      </c>
      <c r="R10" s="75">
        <v>0.99</v>
      </c>
      <c r="S10" s="76">
        <f>SEMLI!O10</f>
        <v>0.98250000000000004</v>
      </c>
      <c r="T10" s="76">
        <f>SEMLI!U10</f>
        <v>-1.2281146917026961E-2</v>
      </c>
      <c r="U10" s="76">
        <f>SEMLI!V10</f>
        <v>0</v>
      </c>
    </row>
    <row r="11" spans="1:21" x14ac:dyDescent="0.35">
      <c r="A11" s="23" t="s">
        <v>51</v>
      </c>
      <c r="B11" s="23" t="s">
        <v>52</v>
      </c>
      <c r="C11" s="23">
        <v>12</v>
      </c>
      <c r="D11" s="78">
        <v>15.208949297188823</v>
      </c>
      <c r="E11" s="73">
        <v>43251</v>
      </c>
      <c r="F11" s="4">
        <f>SEMLI!B11</f>
        <v>2503.5252673015934</v>
      </c>
      <c r="G11" s="4">
        <f>SEMLI!C11</f>
        <v>2344.1999999999998</v>
      </c>
      <c r="H11" s="4">
        <f>SEMLI!D11</f>
        <v>6.8032258064516133</v>
      </c>
      <c r="I11" s="4">
        <f>SEMLI!E11</f>
        <v>6.86</v>
      </c>
      <c r="J11" s="4">
        <f>SEMLI!F11</f>
        <v>6.6</v>
      </c>
      <c r="K11" s="4">
        <f>SEMLI!G11</f>
        <v>6.62</v>
      </c>
      <c r="L11" s="74">
        <v>0.81599999999999995</v>
      </c>
      <c r="M11" s="74">
        <v>0.76780000000000004</v>
      </c>
      <c r="N11" s="74">
        <f>F11/24/12/31</f>
        <v>0.28041277635546519</v>
      </c>
      <c r="O11" s="74">
        <f>G11/24/12/31</f>
        <v>0.26256720430107522</v>
      </c>
      <c r="P11" s="74">
        <v>0.99</v>
      </c>
      <c r="Q11" s="74">
        <f>SEMLI!M11</f>
        <v>0.97819999999999996</v>
      </c>
      <c r="R11" s="75">
        <v>0.99</v>
      </c>
      <c r="S11" s="76">
        <f>SEMLI!O11</f>
        <v>0.99170000000000003</v>
      </c>
      <c r="T11" s="76">
        <f>SEMLI!U11</f>
        <v>-1.3964835534617193E-2</v>
      </c>
      <c r="U11" s="76">
        <f>SEMLI!V11</f>
        <v>0</v>
      </c>
    </row>
    <row r="12" spans="1:21" x14ac:dyDescent="0.35">
      <c r="A12" s="23" t="s">
        <v>51</v>
      </c>
      <c r="B12" s="23" t="s">
        <v>52</v>
      </c>
      <c r="C12" s="23">
        <v>12</v>
      </c>
      <c r="D12" s="78">
        <f>G12/K12/DAY(E12)/Q12/M12</f>
        <v>14.799418699534987</v>
      </c>
      <c r="E12" s="73">
        <v>43281</v>
      </c>
      <c r="F12" s="4">
        <f>SEMLI!B12</f>
        <v>2063.9528075777089</v>
      </c>
      <c r="G12" s="4">
        <f>SEMLI!C12</f>
        <v>1983.75</v>
      </c>
      <c r="H12" s="4">
        <f>SEMLI!D12</f>
        <v>5.73</v>
      </c>
      <c r="I12" s="4">
        <f>SEMLI!E12</f>
        <v>5.8120000000000003</v>
      </c>
      <c r="J12" s="4">
        <f>SEMLI!F12</f>
        <v>5.42</v>
      </c>
      <c r="K12" s="4">
        <f>SEMLI!G12</f>
        <v>5.5060000000000002</v>
      </c>
      <c r="L12" s="74">
        <v>0.84622911339799467</v>
      </c>
      <c r="M12" s="74">
        <v>0.8236</v>
      </c>
      <c r="N12" s="74">
        <f>F12/24/12/30</f>
        <v>0.23888342680297556</v>
      </c>
      <c r="O12" s="74">
        <f>G12/(12*30*24)</f>
        <v>0.22960069444444445</v>
      </c>
      <c r="P12" s="74">
        <v>0.99</v>
      </c>
      <c r="Q12" s="74">
        <f>SEMLI!M12</f>
        <v>0.98529999999999995</v>
      </c>
      <c r="R12" s="75">
        <v>0.99</v>
      </c>
      <c r="S12" s="76">
        <f>SEMLI!O12</f>
        <v>0.98919999999999997</v>
      </c>
      <c r="T12" s="76">
        <f>SEMLI!U12</f>
        <v>-1.3354222620113577E-2</v>
      </c>
      <c r="U12" s="76">
        <f>SEMLI!V12</f>
        <v>-1.7500000000000002E-2</v>
      </c>
    </row>
    <row r="13" spans="1:21" x14ac:dyDescent="0.35">
      <c r="A13" s="23" t="s">
        <v>51</v>
      </c>
      <c r="B13" s="23" t="s">
        <v>52</v>
      </c>
      <c r="C13" s="23">
        <v>12</v>
      </c>
      <c r="D13" s="78">
        <v>14.949</v>
      </c>
      <c r="E13" s="73">
        <v>43312</v>
      </c>
      <c r="F13" s="4">
        <f>SEMLI!B13</f>
        <v>1670.9575621292031</v>
      </c>
      <c r="G13" s="4">
        <f>SEMLI!C13</f>
        <v>1434.15</v>
      </c>
      <c r="H13" s="4">
        <f>SEMLI!D13</f>
        <v>4.3419354838709676</v>
      </c>
      <c r="I13" s="4">
        <f>SEMLI!E13</f>
        <v>4.0529999999999999</v>
      </c>
      <c r="J13" s="4">
        <f>SEMLI!F13</f>
        <v>4.1225806451612899</v>
      </c>
      <c r="K13" s="4">
        <f>SEMLI!G13</f>
        <v>3.8860000000000001</v>
      </c>
      <c r="L13" s="74">
        <v>0.87165235374501993</v>
      </c>
      <c r="M13" s="74">
        <f>G13/K13/Q13/31/14.949</f>
        <v>0.80719197236894435</v>
      </c>
      <c r="N13" s="74">
        <f>F13/24/12/31</f>
        <v>0.18715922514888025</v>
      </c>
      <c r="O13" s="74">
        <f>G13/(12*31*24)</f>
        <v>0.1606350806451613</v>
      </c>
      <c r="P13" s="74">
        <v>0.99</v>
      </c>
      <c r="Q13" s="74">
        <f>SEMLI!M13</f>
        <v>0.98660000000000003</v>
      </c>
      <c r="R13" s="75">
        <v>0.99</v>
      </c>
      <c r="S13" s="76">
        <f>SEMLI!O13</f>
        <v>0.99919999999999998</v>
      </c>
      <c r="T13" s="76">
        <f>SEMLI!U13</f>
        <v>-9.7700752606501712E-3</v>
      </c>
      <c r="U13" s="76">
        <f>SEMLI!V13</f>
        <v>0</v>
      </c>
    </row>
    <row r="14" spans="1:21" x14ac:dyDescent="0.35">
      <c r="A14" s="23" t="s">
        <v>51</v>
      </c>
      <c r="B14" s="23" t="s">
        <v>52</v>
      </c>
      <c r="C14" s="23">
        <v>12</v>
      </c>
      <c r="D14" s="78">
        <v>14.949</v>
      </c>
      <c r="E14" s="73">
        <v>43343</v>
      </c>
      <c r="F14" s="4">
        <f>SEMLI!B14</f>
        <v>1324.5395309560756</v>
      </c>
      <c r="G14" s="4">
        <f>SEMLI!C14</f>
        <v>1369.25</v>
      </c>
      <c r="H14" s="4">
        <f>SEMLI!D14</f>
        <v>3.3774193548387097</v>
      </c>
      <c r="I14" s="4">
        <f>SEMLI!E14</f>
        <v>3.387</v>
      </c>
      <c r="J14" s="4">
        <f>SEMLI!F14</f>
        <v>3.2806451612903227</v>
      </c>
      <c r="K14" s="4">
        <f>SEMLI!G14</f>
        <v>3.4529999999999998</v>
      </c>
      <c r="L14" s="74">
        <v>0.86826583477946606</v>
      </c>
      <c r="M14" s="74">
        <f>G14/K14/Q14/31/14.949</f>
        <v>0.85705316526247388</v>
      </c>
      <c r="N14" s="74">
        <f>F14/24/12/31</f>
        <v>0.14835792237411241</v>
      </c>
      <c r="O14" s="74">
        <f>G14/(12*31*24)</f>
        <v>0.15336581541218638</v>
      </c>
      <c r="P14" s="74">
        <v>0.99</v>
      </c>
      <c r="Q14" s="74">
        <f>SEMLI!M14</f>
        <v>0.99839999999999995</v>
      </c>
      <c r="R14" s="75">
        <v>0.99</v>
      </c>
      <c r="S14" s="76">
        <f>SEMLI!O14</f>
        <v>0.99850000000000005</v>
      </c>
      <c r="T14" s="76">
        <f>SEMLI!U14</f>
        <v>-9.3691216900598472E-3</v>
      </c>
      <c r="U14" s="76">
        <f>SEMLI!V14</f>
        <v>0</v>
      </c>
    </row>
    <row r="15" spans="1:21" x14ac:dyDescent="0.35">
      <c r="A15" s="23" t="s">
        <v>51</v>
      </c>
      <c r="B15" s="23" t="s">
        <v>52</v>
      </c>
      <c r="C15" s="23">
        <v>12</v>
      </c>
      <c r="D15" s="78">
        <v>14.949</v>
      </c>
      <c r="E15" s="73">
        <v>43373</v>
      </c>
      <c r="F15" s="4">
        <f>SEMLI!B15</f>
        <v>2050.1517322269274</v>
      </c>
      <c r="G15" s="4">
        <f>SEMLI!C15</f>
        <v>1759.7</v>
      </c>
      <c r="H15" s="4">
        <f>SEMLI!D15</f>
        <v>5</v>
      </c>
      <c r="I15" s="4">
        <f>SEMLI!E15</f>
        <v>4.5010000000000003</v>
      </c>
      <c r="J15" s="4">
        <f>SEMLI!F15</f>
        <v>5.2366666666666664</v>
      </c>
      <c r="K15" s="4">
        <f>SEMLI!G15</f>
        <v>4.8259999999999996</v>
      </c>
      <c r="L15" s="74">
        <v>0.87214919579931094</v>
      </c>
      <c r="M15" s="74">
        <f>G15/K15/Q15/30/14.949</f>
        <v>0.81705481486590392</v>
      </c>
      <c r="N15" s="74">
        <f>F15/24/12/30</f>
        <v>0.23728608011885735</v>
      </c>
      <c r="O15" s="74">
        <f>G15/(12*30*24)</f>
        <v>0.20366898148148149</v>
      </c>
      <c r="P15" s="74">
        <v>0.99</v>
      </c>
      <c r="Q15" s="74">
        <f>SEMLI!M15</f>
        <v>0.99509999999999998</v>
      </c>
      <c r="R15" s="75">
        <v>0.99</v>
      </c>
      <c r="S15" s="76">
        <f>SEMLI!O15</f>
        <v>0.99750000000000005</v>
      </c>
      <c r="T15" s="76">
        <f>SEMLI!U15</f>
        <v>-1.3178555406011663E-2</v>
      </c>
      <c r="U15" s="76">
        <f>SEMLI!V15</f>
        <v>0</v>
      </c>
    </row>
    <row r="16" spans="1:21" x14ac:dyDescent="0.35">
      <c r="A16" s="23" t="s">
        <v>51</v>
      </c>
      <c r="B16" s="23" t="s">
        <v>52</v>
      </c>
      <c r="C16" s="23">
        <v>12</v>
      </c>
      <c r="D16" s="78">
        <v>14.949</v>
      </c>
      <c r="E16" s="73">
        <v>43404</v>
      </c>
      <c r="F16" s="4">
        <f>SEMLI!B16</f>
        <v>2230.1933857652689</v>
      </c>
      <c r="G16" s="4">
        <f>SEMLI!C16</f>
        <v>2162.35</v>
      </c>
      <c r="H16" s="4">
        <f>SEMLI!D16</f>
        <v>5.0225806451612902</v>
      </c>
      <c r="I16" s="4">
        <f>SEMLI!E16</f>
        <v>5.303359354838709</v>
      </c>
      <c r="J16" s="4">
        <f>SEMLI!F16</f>
        <v>5.7806451612903222</v>
      </c>
      <c r="K16" s="4">
        <f>SEMLI!G16</f>
        <v>5.9501903225806458</v>
      </c>
      <c r="L16" s="74">
        <v>0.83173596920318704</v>
      </c>
      <c r="M16" s="74">
        <f>G16/K16/Q16/31/14.949</f>
        <v>0.7945187395407719</v>
      </c>
      <c r="N16" s="74">
        <f>F16/24/12/31</f>
        <v>0.24979764625507045</v>
      </c>
      <c r="O16" s="74">
        <f>G16/(12*31*24)</f>
        <v>0.24219870071684588</v>
      </c>
      <c r="P16" s="74">
        <v>0.99</v>
      </c>
      <c r="Q16" s="74">
        <f>SEMLI!M16</f>
        <v>0.98699999999999999</v>
      </c>
      <c r="R16" s="75">
        <v>0.99</v>
      </c>
      <c r="S16" s="76">
        <f>SEMLI!O16</f>
        <v>0.99809999999999999</v>
      </c>
      <c r="T16" s="76">
        <f>SEMLI!U16</f>
        <v>-1.4156104677669454E-2</v>
      </c>
      <c r="U16" s="76">
        <f>SEMLI!V16</f>
        <v>-2.5999999999999999E-2</v>
      </c>
    </row>
    <row r="17" spans="1:21" x14ac:dyDescent="0.35">
      <c r="A17" s="23" t="s">
        <v>51</v>
      </c>
      <c r="B17" s="23" t="s">
        <v>52</v>
      </c>
      <c r="C17" s="23">
        <v>12</v>
      </c>
      <c r="D17" s="78">
        <v>14.949</v>
      </c>
      <c r="E17" s="73">
        <v>43434</v>
      </c>
      <c r="F17" s="4">
        <f>SEMLI!B17</f>
        <v>2037.084192857209</v>
      </c>
      <c r="G17" s="4">
        <f>SEMLI!C17</f>
        <v>1761</v>
      </c>
      <c r="H17" s="4">
        <f>SEMLI!D17</f>
        <v>4.3033333333333328</v>
      </c>
      <c r="I17" s="4">
        <f>SEMLI!E17</f>
        <v>4.5443333333333333</v>
      </c>
      <c r="J17" s="4">
        <f>SEMLI!F17</f>
        <v>5.3233333333333333</v>
      </c>
      <c r="K17" s="4">
        <f>SEMLI!G17</f>
        <v>5.6139999999999999</v>
      </c>
      <c r="L17" s="74">
        <v>0.85248162737888789</v>
      </c>
      <c r="M17" s="74">
        <f>G17/K17/Q17/30/14.949</f>
        <v>0.78263955417295861</v>
      </c>
      <c r="N17" s="74">
        <f>F17/24/12/30</f>
        <v>0.23577363343254734</v>
      </c>
      <c r="O17" s="74">
        <f>G17/(12*30*24)</f>
        <v>0.20381944444444444</v>
      </c>
      <c r="P17" s="74">
        <v>0.99</v>
      </c>
      <c r="Q17" s="74">
        <f>SEMLI!M17</f>
        <v>0.89370000000000005</v>
      </c>
      <c r="R17" s="75">
        <v>0.99</v>
      </c>
      <c r="S17" s="76">
        <f>SEMLI!O17</f>
        <v>0.99450000000000005</v>
      </c>
      <c r="T17" s="76">
        <f>SEMLI!U17</f>
        <v>-1.2449528936742959E-2</v>
      </c>
      <c r="U17" s="76">
        <f>SEMLI!V17</f>
        <v>-1.4999999999999999E-2</v>
      </c>
    </row>
    <row r="18" spans="1:21" x14ac:dyDescent="0.35">
      <c r="A18" s="23" t="s">
        <v>51</v>
      </c>
      <c r="B18" s="23" t="s">
        <v>52</v>
      </c>
      <c r="C18" s="23">
        <v>12</v>
      </c>
      <c r="D18" s="78">
        <v>14.949</v>
      </c>
      <c r="E18" s="73">
        <v>43465</v>
      </c>
      <c r="F18" s="4">
        <f>SEMLI!B18</f>
        <v>1829.4555117605723</v>
      </c>
      <c r="G18" s="4">
        <f>SEMLI!C18</f>
        <v>1659.2</v>
      </c>
      <c r="H18" s="4">
        <f>SEMLI!D18</f>
        <v>3.6225806451612903</v>
      </c>
      <c r="I18" s="4">
        <f>SEMLI!E18</f>
        <v>4.0861212903225796</v>
      </c>
      <c r="J18" s="4">
        <f>SEMLI!F18</f>
        <v>4.5870967741935482</v>
      </c>
      <c r="K18" s="4">
        <f>SEMLI!G18</f>
        <v>5.271685483870967</v>
      </c>
      <c r="L18" s="74">
        <v>0.85981144495688133</v>
      </c>
      <c r="M18" s="74">
        <f>G18/K18/Q18/31/14.949</f>
        <v>0.82473002948084573</v>
      </c>
      <c r="N18" s="74">
        <f>F18/24/12/31</f>
        <v>0.2049121316936125</v>
      </c>
      <c r="O18" s="74">
        <f>G18/(12*31*24)</f>
        <v>0.18584229390681004</v>
      </c>
      <c r="P18" s="74">
        <v>0.99</v>
      </c>
      <c r="Q18" s="74">
        <f>SEMLI!M18</f>
        <v>0.82350000000000001</v>
      </c>
      <c r="R18" s="75">
        <v>0.99</v>
      </c>
      <c r="S18" s="76">
        <f>SEMLI!O18</f>
        <v>0.99890000000000001</v>
      </c>
      <c r="T18" s="76">
        <f>SEMLI!U18</f>
        <v>-1.1027001251714057E-2</v>
      </c>
      <c r="U18" s="76">
        <f>SEMLI!V18</f>
        <v>-1.7000000000000001E-2</v>
      </c>
    </row>
    <row r="19" spans="1:21" x14ac:dyDescent="0.35">
      <c r="A19" s="23" t="s">
        <v>51</v>
      </c>
      <c r="B19" s="23" t="s">
        <v>52</v>
      </c>
      <c r="C19" s="23">
        <v>12</v>
      </c>
      <c r="D19" s="78">
        <v>14.949</v>
      </c>
      <c r="E19" s="73">
        <v>43496</v>
      </c>
      <c r="F19" s="4">
        <f>SEMLI!B19</f>
        <v>2000.7854723857686</v>
      </c>
      <c r="G19" s="4">
        <f>SEMLI!C19</f>
        <v>2088.65</v>
      </c>
      <c r="H19" s="4">
        <f>SEMLI!D19</f>
        <v>4.0129032258064514</v>
      </c>
      <c r="I19" s="4">
        <f>SEMLI!E19</f>
        <v>4.517002580645161</v>
      </c>
      <c r="J19" s="4">
        <f>SEMLI!F19</f>
        <v>5.0451612903225804</v>
      </c>
      <c r="K19" s="4">
        <f>SEMLI!G19</f>
        <v>5.6638651612903228</v>
      </c>
      <c r="L19" s="74">
        <v>0.85495792401256854</v>
      </c>
      <c r="M19" s="74">
        <f>G19/K19/Q19/31/14.949</f>
        <v>0.79599297859094353</v>
      </c>
      <c r="N19" s="74">
        <f>F19/24/12/31</f>
        <v>0.22410231545539522</v>
      </c>
      <c r="O19" s="74">
        <f>G19/(12*31*24)</f>
        <v>0.23394377240143371</v>
      </c>
      <c r="P19" s="74">
        <v>0.99</v>
      </c>
      <c r="Q19" s="74">
        <f>SEMLI!M19</f>
        <v>0.99970000000000003</v>
      </c>
      <c r="R19" s="75">
        <v>0.99</v>
      </c>
      <c r="S19" s="76">
        <f>SEMLI!O19</f>
        <v>1</v>
      </c>
      <c r="T19" s="76">
        <f>SEMLI!U19</f>
        <v>-1.3717712612740109E-2</v>
      </c>
      <c r="U19" s="76">
        <f>SEMLI!V19</f>
        <v>-1.2E-2</v>
      </c>
    </row>
    <row r="20" spans="1:21" x14ac:dyDescent="0.35">
      <c r="A20" s="23" t="s">
        <v>51</v>
      </c>
      <c r="B20" s="23" t="s">
        <v>52</v>
      </c>
      <c r="C20" s="23">
        <v>12</v>
      </c>
      <c r="D20" s="78">
        <v>14.949</v>
      </c>
      <c r="E20" s="73">
        <v>43524</v>
      </c>
      <c r="F20" s="4">
        <f>SEMLI!B20</f>
        <v>1906.4087991600252</v>
      </c>
      <c r="G20" s="4">
        <f>SEMLI!C20</f>
        <v>1973.8</v>
      </c>
      <c r="H20" s="4">
        <f>SEMLI!D20</f>
        <v>4.6571428571428575</v>
      </c>
      <c r="I20" s="4">
        <f>SEMLI!E20</f>
        <v>5.0979999999999999</v>
      </c>
      <c r="J20" s="4">
        <f>SEMLI!F20</f>
        <v>5.4535714285714283</v>
      </c>
      <c r="K20" s="4">
        <f>SEMLI!G20</f>
        <v>5.9889999999999999</v>
      </c>
      <c r="L20" s="74">
        <v>0.83436861961869624</v>
      </c>
      <c r="M20" s="74">
        <f>G20/K20/Q20/28/14.949</f>
        <v>0.79228177504193886</v>
      </c>
      <c r="N20" s="74">
        <f>F20/24/12/28</f>
        <v>0.23640982132440791</v>
      </c>
      <c r="O20" s="74">
        <f>G20/(12*28*24)</f>
        <v>0.24476686507936507</v>
      </c>
      <c r="P20" s="74">
        <v>0.99</v>
      </c>
      <c r="Q20" s="74">
        <f>SEMLI!M20</f>
        <v>0.99380000000000002</v>
      </c>
      <c r="R20" s="75">
        <v>0.99</v>
      </c>
      <c r="S20" s="76">
        <f>SEMLI!O20</f>
        <v>0.99380000000000002</v>
      </c>
      <c r="T20" s="76">
        <f>SEMLI!U20</f>
        <v>-1.4454763331336152E-2</v>
      </c>
      <c r="U20" s="76">
        <f>SEMLI!V20</f>
        <v>-1.4200000000000001E-2</v>
      </c>
    </row>
    <row r="21" spans="1:21" x14ac:dyDescent="0.35">
      <c r="A21" s="23" t="s">
        <v>51</v>
      </c>
      <c r="B21" s="23" t="s">
        <v>52</v>
      </c>
      <c r="C21" s="23">
        <v>12</v>
      </c>
      <c r="D21" s="78">
        <v>14.949</v>
      </c>
      <c r="E21" s="73">
        <v>43555</v>
      </c>
      <c r="F21" s="4">
        <f>SEMLI!B21</f>
        <v>2662.8741337848301</v>
      </c>
      <c r="G21" s="4">
        <f>SEMLI!C21</f>
        <v>1913.85</v>
      </c>
      <c r="H21" s="4">
        <f>SEMLI!D21</f>
        <v>6.2870967741935484</v>
      </c>
      <c r="I21" s="4">
        <f>SEMLI!E21</f>
        <v>6.3440000000000003</v>
      </c>
      <c r="J21" s="4">
        <f>SEMLI!F21</f>
        <v>6.9129032258064518</v>
      </c>
      <c r="K21" s="4">
        <f>SEMLI!G21</f>
        <v>7.0110000000000001</v>
      </c>
      <c r="L21" s="74">
        <v>0.83044224394388844</v>
      </c>
      <c r="M21" s="74">
        <f>G21/K21/Q21/31/14.949</f>
        <v>0.76550048375489976</v>
      </c>
      <c r="N21" s="74">
        <f>F21/24/12/31</f>
        <v>0.29826099168736897</v>
      </c>
      <c r="O21" s="74">
        <f>G21/(12*31*24)</f>
        <v>0.2143649193548387</v>
      </c>
      <c r="P21" s="74">
        <v>0.99</v>
      </c>
      <c r="Q21" s="74">
        <f>SEMLI!M21</f>
        <v>0.76949999999999996</v>
      </c>
      <c r="R21" s="75">
        <v>0.99</v>
      </c>
      <c r="S21" s="76">
        <f>SEMLI!O21</f>
        <v>0.99719999999999998</v>
      </c>
      <c r="T21" s="76">
        <f>SEMLI!U21</f>
        <v>-1.113464916812955E-2</v>
      </c>
      <c r="U21" s="76">
        <f>SEMLI!V21</f>
        <v>-1.4500000000000001E-2</v>
      </c>
    </row>
    <row r="22" spans="1:21" x14ac:dyDescent="0.35">
      <c r="A22" s="23" t="s">
        <v>51</v>
      </c>
      <c r="B22" s="23" t="s">
        <v>52</v>
      </c>
      <c r="C22" s="23">
        <v>12</v>
      </c>
      <c r="D22" s="78">
        <v>14.949</v>
      </c>
      <c r="E22" s="73">
        <v>43585</v>
      </c>
      <c r="F22" s="4">
        <f>SEMLI!B22</f>
        <v>2481.3805314276301</v>
      </c>
      <c r="G22" s="4">
        <f>SEMLI!C22</f>
        <v>2443.75</v>
      </c>
      <c r="H22" s="4">
        <f>SEMLI!D22</f>
        <v>6.72</v>
      </c>
      <c r="I22" s="4">
        <f>SEMLI!E22</f>
        <v>6.7480000000000002</v>
      </c>
      <c r="J22" s="4">
        <f>SEMLI!F22</f>
        <v>6.8733333333333331</v>
      </c>
      <c r="K22" s="4">
        <f>SEMLI!G22</f>
        <v>7.14</v>
      </c>
      <c r="L22" s="74">
        <v>0.83044224394388844</v>
      </c>
      <c r="M22" s="74">
        <f>G22/K22/Q22/30/14.949</f>
        <v>0.76616485467516626</v>
      </c>
      <c r="N22" s="74">
        <f>F22/24/12/30</f>
        <v>0.28719682076708686</v>
      </c>
      <c r="O22" s="74">
        <f>G22/(12*30*24)</f>
        <v>0.28284143518518517</v>
      </c>
      <c r="P22" s="74">
        <v>0.99</v>
      </c>
      <c r="Q22" s="74">
        <f>SEMLI!M22</f>
        <v>0.99609999999999999</v>
      </c>
      <c r="R22" s="75">
        <v>0.99</v>
      </c>
      <c r="S22" s="76">
        <f>SEMLI!O22</f>
        <v>0.99809999999999999</v>
      </c>
      <c r="T22" s="76">
        <f>SEMLI!U22</f>
        <v>-1.5787989850578603E-2</v>
      </c>
      <c r="U22" s="76">
        <f>SEMLI!V22</f>
        <v>-1.41E-2</v>
      </c>
    </row>
    <row r="23" spans="1:21" x14ac:dyDescent="0.35">
      <c r="A23" s="23" t="s">
        <v>51</v>
      </c>
      <c r="B23" s="23" t="s">
        <v>52</v>
      </c>
      <c r="C23" s="23">
        <v>12</v>
      </c>
      <c r="D23" s="23">
        <v>15</v>
      </c>
      <c r="E23" s="73">
        <v>43616</v>
      </c>
      <c r="F23" s="4">
        <f>SEMLI!B23</f>
        <v>2497.3519684350672</v>
      </c>
      <c r="G23" s="4">
        <f>SEMLI!C23</f>
        <v>2366.25</v>
      </c>
      <c r="H23" s="4">
        <f>SEMLI!D23</f>
        <v>6.8032258064516133</v>
      </c>
      <c r="I23" s="4">
        <f>SEMLI!E23</f>
        <v>6.81</v>
      </c>
      <c r="J23" s="4">
        <f>SEMLI!F23</f>
        <v>6.6</v>
      </c>
      <c r="K23" s="4">
        <f>SEMLI!G23</f>
        <v>6.734</v>
      </c>
      <c r="L23" s="74">
        <f>F23/J23/P23/31/15</f>
        <v>0.8219542997373761</v>
      </c>
      <c r="M23" s="74">
        <f>G23/K23/Q23/31/15</f>
        <v>0.76780546918402448</v>
      </c>
      <c r="N23" s="74">
        <f>F23/24/12/31</f>
        <v>0.27972132262937582</v>
      </c>
      <c r="O23" s="74">
        <f>G23/(12*31*24)</f>
        <v>0.26503696236559138</v>
      </c>
      <c r="P23" s="74">
        <v>0.99</v>
      </c>
      <c r="Q23" s="74">
        <f>SEMLI!M23</f>
        <v>0.98419999999999996</v>
      </c>
      <c r="R23" s="75">
        <v>0.99</v>
      </c>
      <c r="S23" s="76">
        <f>SEMLI!O23</f>
        <v>0.99150000000000005</v>
      </c>
      <c r="T23" s="76">
        <f>SEMLI!U23</f>
        <v>-1.4473136193252811E-2</v>
      </c>
      <c r="U23" s="76">
        <f>SEMLI!V23</f>
        <v>-1.52E-2</v>
      </c>
    </row>
    <row r="24" spans="1:21" x14ac:dyDescent="0.35">
      <c r="A24" s="23" t="s">
        <v>51</v>
      </c>
      <c r="B24" s="23" t="s">
        <v>52</v>
      </c>
      <c r="C24" s="23">
        <v>12</v>
      </c>
      <c r="D24" s="23">
        <v>15</v>
      </c>
      <c r="E24" s="73">
        <v>43646</v>
      </c>
      <c r="F24" s="4">
        <f>SEMLI!B24</f>
        <v>2058.86</v>
      </c>
      <c r="G24" s="4">
        <f>SEMLI!C24</f>
        <v>2042.35</v>
      </c>
      <c r="H24" s="4">
        <f>SEMLI!D24</f>
        <v>5.73</v>
      </c>
      <c r="I24" s="4">
        <f>SEMLI!E24</f>
        <v>6.34</v>
      </c>
      <c r="J24" s="4">
        <f>SEMLI!F24</f>
        <v>5.42</v>
      </c>
      <c r="K24" s="4">
        <f>SEMLI!G24</f>
        <v>5.63</v>
      </c>
      <c r="L24" s="74">
        <f>F24/J24/P24/30/15</f>
        <v>0.85266771859637802</v>
      </c>
      <c r="M24" s="74">
        <f>G24/K24/Q24/30/15</f>
        <v>0.80751052198249551</v>
      </c>
      <c r="N24" s="74">
        <f>F24/24/12/30</f>
        <v>0.23829398148148151</v>
      </c>
      <c r="O24" s="74">
        <f>G24/(12*30*24)</f>
        <v>0.23638310185185185</v>
      </c>
      <c r="P24" s="74">
        <v>0.99</v>
      </c>
      <c r="Q24" s="74">
        <f>SEMLI!M24</f>
        <v>0.99829999999999997</v>
      </c>
      <c r="R24" s="75">
        <v>0.99</v>
      </c>
      <c r="S24" s="76">
        <f>SEMLI!O24</f>
        <v>0.99850000000000005</v>
      </c>
      <c r="T24" s="76">
        <f>SEMLI!U24</f>
        <v>-1.4595194441763319E-2</v>
      </c>
      <c r="U24" s="76">
        <f>SEMLI!V24</f>
        <v>-1.2500000000000001E-2</v>
      </c>
    </row>
    <row r="25" spans="1:21" x14ac:dyDescent="0.35">
      <c r="A25" s="23" t="s">
        <v>51</v>
      </c>
      <c r="B25" s="23" t="s">
        <v>52</v>
      </c>
      <c r="C25" s="23">
        <v>12</v>
      </c>
      <c r="D25" s="23">
        <v>15</v>
      </c>
      <c r="E25" s="73">
        <v>43677</v>
      </c>
      <c r="F25" s="4">
        <f>SEMLI!B25</f>
        <v>1666.8372440485211</v>
      </c>
      <c r="G25" s="4">
        <f>SEMLI!C25</f>
        <v>1726.55</v>
      </c>
      <c r="H25" s="4">
        <f>SEMLI!D25</f>
        <v>4.3419354838709676</v>
      </c>
      <c r="I25" s="4">
        <f>SEMLI!E25</f>
        <v>4.79</v>
      </c>
      <c r="J25" s="4">
        <f>SEMLI!F25</f>
        <v>4.1225806451612899</v>
      </c>
      <c r="K25" s="4">
        <f>SEMLI!G25</f>
        <v>4.47</v>
      </c>
      <c r="L25" s="74">
        <f>F25/J25/P25/31/15</f>
        <v>0.87828585492300226</v>
      </c>
      <c r="M25" s="74">
        <f>G25/K25/Q25/31/15</f>
        <v>0.83566516609459263</v>
      </c>
      <c r="N25" s="74">
        <f>F25/24/12/31</f>
        <v>0.18669771998751358</v>
      </c>
      <c r="O25" s="74">
        <f>G25/(12*31*24)</f>
        <v>0.19338597670250895</v>
      </c>
      <c r="P25" s="74">
        <v>0.99</v>
      </c>
      <c r="Q25" s="74">
        <f>SEMLI!M25</f>
        <v>0.99399999999999999</v>
      </c>
      <c r="R25" s="75">
        <v>0.99</v>
      </c>
      <c r="S25" s="76">
        <f>SEMLI!O25</f>
        <v>0.99399999999999999</v>
      </c>
      <c r="T25" s="76">
        <f>SEMLI!U25</f>
        <v>-1.1932013276868568E-2</v>
      </c>
      <c r="U25" s="76">
        <f>SEMLI!V25</f>
        <v>-4.8999999999999998E-3</v>
      </c>
    </row>
    <row r="26" spans="1:21" x14ac:dyDescent="0.35">
      <c r="A26" s="23" t="s">
        <v>51</v>
      </c>
      <c r="B26" s="23" t="s">
        <v>52</v>
      </c>
      <c r="C26" s="23">
        <v>12</v>
      </c>
      <c r="D26" s="23">
        <v>15</v>
      </c>
      <c r="E26" s="73">
        <v>43708</v>
      </c>
      <c r="F26" s="4">
        <f>SEMLI!B26</f>
        <v>1321.2734251604131</v>
      </c>
      <c r="G26" s="4">
        <f>SEMLI!C26</f>
        <v>1338.8</v>
      </c>
      <c r="H26" s="4">
        <f>SEMLI!D26</f>
        <v>3.3774193548387097</v>
      </c>
      <c r="I26" s="4">
        <f>SEMLI!E26</f>
        <v>3.63</v>
      </c>
      <c r="J26" s="4">
        <f>SEMLI!F26</f>
        <v>3.2806451612903227</v>
      </c>
      <c r="K26" s="4">
        <f>SEMLI!G26</f>
        <v>3.51</v>
      </c>
      <c r="L26" s="74">
        <f>F26/J26/P26/31/15</f>
        <v>0.87487356366709579</v>
      </c>
      <c r="M26" s="74">
        <f>G26/K26/Q26/31/15</f>
        <v>0.83140862051381292</v>
      </c>
      <c r="N26" s="74">
        <f>F26/24/12/31</f>
        <v>0.14799209511205344</v>
      </c>
      <c r="O26" s="74">
        <f>G26/(12*31*24)</f>
        <v>0.14995519713261649</v>
      </c>
      <c r="P26" s="74">
        <v>0.99</v>
      </c>
      <c r="Q26" s="74">
        <f>SEMLI!M26</f>
        <v>0.98660000000000003</v>
      </c>
      <c r="R26" s="75">
        <v>0.99</v>
      </c>
      <c r="S26" s="76">
        <f>SEMLI!O26</f>
        <v>0.99019999999999997</v>
      </c>
      <c r="T26" s="76">
        <f>SEMLI!U26</f>
        <v>-1.0568324587983118E-2</v>
      </c>
      <c r="U26" s="76">
        <f>SEMLI!V26</f>
        <v>-8.9999999999999998E-4</v>
      </c>
    </row>
    <row r="27" spans="1:21" x14ac:dyDescent="0.35">
      <c r="A27" s="23" t="s">
        <v>51</v>
      </c>
      <c r="B27" s="23" t="s">
        <v>52</v>
      </c>
      <c r="C27" s="23">
        <v>12</v>
      </c>
      <c r="D27" s="23">
        <v>15</v>
      </c>
      <c r="E27" s="73">
        <v>43738</v>
      </c>
      <c r="F27" s="4">
        <f>SEMLI!B27</f>
        <v>2039.87528244133</v>
      </c>
      <c r="G27" s="4">
        <f>SEMLI!C27</f>
        <v>1197.55</v>
      </c>
      <c r="H27" s="4">
        <f>SEMLI!D27</f>
        <v>5</v>
      </c>
      <c r="I27" s="4">
        <f>SEMLI!E27</f>
        <v>3.3616666666666664</v>
      </c>
      <c r="J27" s="4">
        <f>SEMLI!F27</f>
        <v>5.2366666666666664</v>
      </c>
      <c r="K27" s="4">
        <f>SEMLI!G27</f>
        <v>3.3296666666666668</v>
      </c>
      <c r="L27" s="74">
        <f>F27/J27/P27/30/15</f>
        <v>0.87438153332233015</v>
      </c>
      <c r="M27" s="74">
        <f>G27/K27/Q27/30/15</f>
        <v>0.82438972365906438</v>
      </c>
      <c r="N27" s="74">
        <f>F27/24/12/30</f>
        <v>0.23609667620848726</v>
      </c>
      <c r="O27" s="74">
        <f>G27/(12*30*24)</f>
        <v>0.13860532407407408</v>
      </c>
      <c r="P27" s="74">
        <v>0.99</v>
      </c>
      <c r="Q27" s="74">
        <f>SEMLI!M27</f>
        <v>0.96950000000000003</v>
      </c>
      <c r="R27" s="75">
        <v>0.99</v>
      </c>
      <c r="S27" s="76">
        <f>SEMLI!O27</f>
        <v>0.99760000000000004</v>
      </c>
      <c r="T27" s="76">
        <f>SEMLI!U27</f>
        <v>-9.5931194177968169E-3</v>
      </c>
      <c r="U27" s="76">
        <f>SEMLI!V27</f>
        <v>-8.0000000000000002E-3</v>
      </c>
    </row>
    <row r="28" spans="1:21" x14ac:dyDescent="0.35">
      <c r="A28" s="23" t="s">
        <v>51</v>
      </c>
      <c r="B28" s="23" t="s">
        <v>52</v>
      </c>
      <c r="C28" s="23">
        <v>12</v>
      </c>
      <c r="D28" s="23">
        <v>15</v>
      </c>
      <c r="E28" s="73">
        <v>43769</v>
      </c>
      <c r="F28" s="4">
        <f>SEMLI!B28</f>
        <v>2219.0144715509059</v>
      </c>
      <c r="G28" s="4">
        <f>SEMLI!C28</f>
        <v>1910.85</v>
      </c>
      <c r="H28" s="4">
        <f>SEMLI!D28</f>
        <v>5.0225806451612902</v>
      </c>
      <c r="I28" s="4">
        <f>SEMLI!E28</f>
        <v>4.7560967741935478</v>
      </c>
      <c r="J28" s="4">
        <f>SEMLI!F28</f>
        <v>5.7806451612903222</v>
      </c>
      <c r="K28" s="4">
        <f>SEMLI!G28</f>
        <v>5.3114193548387094</v>
      </c>
      <c r="L28" s="74">
        <f>F28/J28/P28/31/15</f>
        <v>0.83386486575235474</v>
      </c>
      <c r="M28" s="74">
        <f>G28/K28/Q28/31/15</f>
        <v>0.77671217333398357</v>
      </c>
      <c r="N28" s="74">
        <f>F28/24/12/31</f>
        <v>0.24854552772747604</v>
      </c>
      <c r="O28" s="74">
        <f>G28/(12*31*24)</f>
        <v>0.21402889784946236</v>
      </c>
      <c r="P28" s="74">
        <v>0.99</v>
      </c>
      <c r="Q28" s="74">
        <f>SEMLI!M28</f>
        <v>0.99609999999999999</v>
      </c>
      <c r="R28" s="75">
        <v>0.99</v>
      </c>
      <c r="S28" s="76">
        <f>SEMLI!O28</f>
        <v>0.99850000000000005</v>
      </c>
      <c r="T28" s="76">
        <f>SEMLI!U28</f>
        <v>-1.299070247933889E-2</v>
      </c>
      <c r="U28" s="76">
        <f>SEMLI!V28</f>
        <v>-1.43E-2</v>
      </c>
    </row>
    <row r="29" spans="1:21" x14ac:dyDescent="0.35">
      <c r="A29" s="23" t="s">
        <v>51</v>
      </c>
      <c r="B29" s="23" t="s">
        <v>52</v>
      </c>
      <c r="C29" s="23">
        <v>12</v>
      </c>
      <c r="D29" s="23">
        <v>15</v>
      </c>
      <c r="E29" s="73">
        <v>43799</v>
      </c>
      <c r="F29" s="4">
        <f>SEMLI!B29</f>
        <v>2026.8732445220851</v>
      </c>
      <c r="G29" s="4">
        <f>SEMLI!C29</f>
        <v>1639.1</v>
      </c>
      <c r="H29" s="4">
        <f>SEMLI!D29</f>
        <v>4.3033333333333328</v>
      </c>
      <c r="I29" s="4">
        <f>SEMLI!E29</f>
        <v>3.9560000000000004</v>
      </c>
      <c r="J29" s="4">
        <f>SEMLI!F29</f>
        <v>5.3233333333333333</v>
      </c>
      <c r="K29" s="4">
        <f>SEMLI!G29</f>
        <v>4.573666666666667</v>
      </c>
      <c r="L29" s="74">
        <f>F29/J29/P29/30/15</f>
        <v>0.8546636241446337</v>
      </c>
      <c r="M29" s="74">
        <f>G29/K29/Q29/30/15</f>
        <v>0.81347785555802632</v>
      </c>
      <c r="N29" s="74">
        <f>F29/24/12/30</f>
        <v>0.23459181070857466</v>
      </c>
      <c r="O29" s="74">
        <f>G29/(12*30*24)</f>
        <v>0.18971064814814814</v>
      </c>
      <c r="P29" s="74">
        <v>0.99</v>
      </c>
      <c r="Q29" s="74">
        <f>SEMLI!M29</f>
        <v>0.97899999999999998</v>
      </c>
      <c r="R29" s="75">
        <v>0.99</v>
      </c>
      <c r="S29" s="76">
        <f>SEMLI!O29</f>
        <v>0.98119999999999996</v>
      </c>
      <c r="T29" s="76">
        <f>SEMLI!U29</f>
        <v>-1.1458898739521139E-2</v>
      </c>
      <c r="U29" s="76">
        <f>SEMLI!V29</f>
        <v>-1.47E-2</v>
      </c>
    </row>
    <row r="30" spans="1:21" x14ac:dyDescent="0.35">
      <c r="A30" s="23" t="s">
        <v>51</v>
      </c>
      <c r="B30" s="23" t="s">
        <v>52</v>
      </c>
      <c r="C30" s="23">
        <v>12</v>
      </c>
      <c r="D30" s="23">
        <v>15</v>
      </c>
      <c r="E30" s="73">
        <v>43830</v>
      </c>
      <c r="F30" s="4">
        <f>SEMLI!B30</f>
        <v>1820.29</v>
      </c>
      <c r="G30" s="4">
        <f>SEMLI!C30</f>
        <v>1646.6</v>
      </c>
      <c r="H30" s="4">
        <f>SEMLI!D30</f>
        <v>3.6225806451612903</v>
      </c>
      <c r="I30" s="4">
        <f>SEMLI!E30</f>
        <v>3.7274193548387098</v>
      </c>
      <c r="J30" s="4">
        <f>SEMLI!F30</f>
        <v>4.5870967741935482</v>
      </c>
      <c r="K30" s="4">
        <f>SEMLI!G30</f>
        <v>4.4261290322580651</v>
      </c>
      <c r="L30" s="74">
        <f>F30/J30/P30/31/15</f>
        <v>0.86201442460232902</v>
      </c>
      <c r="M30" s="74">
        <f>G30/K30/Q30/31/15</f>
        <v>0.8118101165488113</v>
      </c>
      <c r="N30" s="74">
        <f>F30/24/12/31</f>
        <v>0.20388552867383511</v>
      </c>
      <c r="O30" s="74">
        <f>G30/(12*31*24)</f>
        <v>0.18443100358422937</v>
      </c>
      <c r="P30" s="74">
        <v>0.99</v>
      </c>
      <c r="Q30" s="74">
        <f>SEMLI!M30</f>
        <v>0.98550000000000004</v>
      </c>
      <c r="R30" s="75">
        <v>0.99</v>
      </c>
      <c r="S30" s="76">
        <f>SEMLI!O30</f>
        <v>0.99880000000000002</v>
      </c>
      <c r="T30" s="76">
        <f>SEMLI!U30</f>
        <v>-1.1288579320283524E-2</v>
      </c>
      <c r="U30" s="76">
        <f>SEMLI!V30</f>
        <v>-1.44E-2</v>
      </c>
    </row>
    <row r="31" spans="1:21" x14ac:dyDescent="0.35">
      <c r="A31" s="23" t="s">
        <v>51</v>
      </c>
      <c r="B31" s="23" t="s">
        <v>52</v>
      </c>
      <c r="C31" s="23">
        <v>12</v>
      </c>
      <c r="D31" s="23">
        <v>15</v>
      </c>
      <c r="E31" s="73">
        <v>43861</v>
      </c>
      <c r="F31" s="4">
        <f>SEMLI!B31</f>
        <v>1990.76</v>
      </c>
      <c r="G31" s="4">
        <f>SEMLI!C31</f>
        <v>1823.25</v>
      </c>
      <c r="H31" s="4">
        <f>SEMLI!D31</f>
        <v>4.0129032258064514</v>
      </c>
      <c r="I31" s="4">
        <f>SEMLI!E31</f>
        <v>4.07</v>
      </c>
      <c r="J31" s="4">
        <f>SEMLI!F31</f>
        <v>5.0451612903225804</v>
      </c>
      <c r="K31" s="4">
        <f>SEMLI!G31</f>
        <v>4.87</v>
      </c>
      <c r="L31" s="74">
        <f>F31/J31/P31/31/15</f>
        <v>0.8571477778638904</v>
      </c>
      <c r="M31" s="74">
        <f>G31/K31/Q31/31/15</f>
        <v>0.81383487960509782</v>
      </c>
      <c r="N31" s="74">
        <f>F31/24/12/31</f>
        <v>0.22297939068100359</v>
      </c>
      <c r="O31" s="74">
        <f>G31/(12*31*24)</f>
        <v>0.20421706989247312</v>
      </c>
      <c r="P31" s="74">
        <v>0.99</v>
      </c>
      <c r="Q31" s="74">
        <f>SEMLI!M31</f>
        <v>0.98929999999999996</v>
      </c>
      <c r="R31" s="75">
        <v>0.99</v>
      </c>
      <c r="S31" s="76">
        <f>SEMLI!O31</f>
        <v>0.98939999999999995</v>
      </c>
      <c r="T31" s="76">
        <f>SEMLI!U31</f>
        <v>-1.3633412681237852E-2</v>
      </c>
      <c r="U31" s="76">
        <f>SEMLI!V31</f>
        <v>-1.46E-2</v>
      </c>
    </row>
    <row r="32" spans="1:21" x14ac:dyDescent="0.35">
      <c r="A32" s="23" t="s">
        <v>51</v>
      </c>
      <c r="B32" s="23" t="s">
        <v>52</v>
      </c>
      <c r="C32" s="23">
        <v>12</v>
      </c>
      <c r="D32" s="23">
        <v>15</v>
      </c>
      <c r="E32" s="73">
        <v>43890</v>
      </c>
      <c r="F32" s="4">
        <f>SEMLI!B32</f>
        <v>1896.8528653296491</v>
      </c>
      <c r="G32" s="4">
        <f>SEMLI!C32</f>
        <v>2178.4</v>
      </c>
      <c r="H32" s="4">
        <f>SEMLI!D32</f>
        <v>4.6571428571428575</v>
      </c>
      <c r="I32" s="4">
        <f>SEMLI!E32</f>
        <v>5.47</v>
      </c>
      <c r="J32" s="4">
        <f>SEMLI!F32</f>
        <v>5.45</v>
      </c>
      <c r="K32" s="4">
        <f>SEMLI!G32</f>
        <v>6.53</v>
      </c>
      <c r="L32" s="74">
        <f>F32/J32/P32/29/15</f>
        <v>0.80818854593798328</v>
      </c>
      <c r="M32" s="74">
        <f>G32/K32/Q32/29/15</f>
        <v>0.76927849871416454</v>
      </c>
      <c r="N32" s="74">
        <f>F32/24/12/29</f>
        <v>0.22711360935460359</v>
      </c>
      <c r="O32" s="74">
        <f>G32/(12*29*24)</f>
        <v>0.26082375478927206</v>
      </c>
      <c r="P32" s="74">
        <v>0.99</v>
      </c>
      <c r="Q32" s="74">
        <f>SEMLI!M32</f>
        <v>0.99690000000000001</v>
      </c>
      <c r="R32" s="75">
        <v>0.99</v>
      </c>
      <c r="S32" s="76">
        <f>SEMLI!O32</f>
        <v>0.99790000000000001</v>
      </c>
      <c r="T32" s="76">
        <f>SEMLI!U32</f>
        <v>-1.6235379126586402E-2</v>
      </c>
      <c r="U32" s="76">
        <f>SEMLI!V32</f>
        <v>-1.11E-2</v>
      </c>
    </row>
    <row r="33" spans="1:21" ht="14.15" customHeight="1" x14ac:dyDescent="0.35">
      <c r="A33" s="23" t="s">
        <v>51</v>
      </c>
      <c r="B33" s="23" t="s">
        <v>52</v>
      </c>
      <c r="C33" s="23">
        <v>12</v>
      </c>
      <c r="D33" s="23">
        <v>15</v>
      </c>
      <c r="E33" s="73">
        <v>43921</v>
      </c>
      <c r="F33" s="4">
        <f>SEMLI!B33</f>
        <v>2649.53</v>
      </c>
      <c r="G33" s="4">
        <f>SEMLI!C33</f>
        <v>2346.4499999999998</v>
      </c>
      <c r="H33" s="4">
        <f>SEMLI!D33</f>
        <v>6.2870967741935484</v>
      </c>
      <c r="I33" s="4">
        <f>SEMLI!E33</f>
        <v>6</v>
      </c>
      <c r="J33" s="4">
        <f>SEMLI!F33</f>
        <v>6.9129032258064518</v>
      </c>
      <c r="K33" s="4">
        <f>SEMLI!G33</f>
        <v>6.49</v>
      </c>
      <c r="L33" s="74">
        <f>F33/J33/P33/31/15</f>
        <v>0.8325689622936473</v>
      </c>
      <c r="M33" s="74">
        <f>G33/K33/Q33/31/15</f>
        <v>0.77853583036345764</v>
      </c>
      <c r="N33" s="74">
        <f>F33/24/12/31</f>
        <v>0.29676635304659499</v>
      </c>
      <c r="O33" s="74">
        <f>G33/(12*31*24)</f>
        <v>0.26281922043010753</v>
      </c>
      <c r="P33" s="74">
        <v>0.99</v>
      </c>
      <c r="Q33" s="74">
        <f>SEMLI!M33</f>
        <v>0.99870000000000003</v>
      </c>
      <c r="R33" s="75">
        <v>0.99</v>
      </c>
      <c r="S33" s="76">
        <f>SEMLI!O33</f>
        <v>1</v>
      </c>
      <c r="T33" s="76">
        <f>SEMLI!U33</f>
        <v>-1.517250062956438E-2</v>
      </c>
      <c r="U33" s="76">
        <f>SEMLI!V33</f>
        <v>-1.14E-2</v>
      </c>
    </row>
    <row r="34" spans="1:21" x14ac:dyDescent="0.35">
      <c r="A34" s="23" t="s">
        <v>51</v>
      </c>
      <c r="B34" s="23" t="s">
        <v>52</v>
      </c>
      <c r="C34" s="23">
        <v>12</v>
      </c>
      <c r="D34" s="23">
        <v>15</v>
      </c>
      <c r="E34" s="73">
        <v>43951</v>
      </c>
      <c r="F34" s="4">
        <f>SEMLI!B34</f>
        <v>2468.94</v>
      </c>
      <c r="G34" s="4">
        <f>SEMLI!C34</f>
        <v>2341.85</v>
      </c>
      <c r="H34" s="4">
        <f>SEMLI!D34</f>
        <v>6.72</v>
      </c>
      <c r="I34" s="4">
        <f>SEMLI!E34</f>
        <v>6.65</v>
      </c>
      <c r="J34" s="4">
        <f>SEMLI!F34</f>
        <v>6.8733333333333331</v>
      </c>
      <c r="K34" s="4">
        <f>SEMLI!G34</f>
        <v>6.7</v>
      </c>
      <c r="L34" s="74">
        <f>F34/J34/P34/30/15</f>
        <v>0.80629770057510119</v>
      </c>
      <c r="M34" s="74">
        <f>G34/K34/Q34/30/15</f>
        <v>0.78568986613228264</v>
      </c>
      <c r="N34" s="74">
        <f>F34/24/12/30</f>
        <v>0.28575694444444444</v>
      </c>
      <c r="O34" s="74">
        <f>G34/(12*30*24)</f>
        <v>0.2710474537037037</v>
      </c>
      <c r="P34" s="74">
        <v>0.99</v>
      </c>
      <c r="Q34" s="74">
        <f>SEMLI!M34</f>
        <v>0.98860000000000003</v>
      </c>
      <c r="R34" s="74">
        <v>0.99</v>
      </c>
      <c r="S34" s="76">
        <f>SEMLI!O34</f>
        <v>0.98880000000000001</v>
      </c>
      <c r="T34" s="76">
        <f>SEMLI!U34</f>
        <v>-1.5926377274446582E-2</v>
      </c>
      <c r="U34" s="76">
        <f>SEMLI!V34</f>
        <v>-1.26E-2</v>
      </c>
    </row>
    <row r="35" spans="1:21" x14ac:dyDescent="0.35">
      <c r="A35" s="23" t="s">
        <v>51</v>
      </c>
      <c r="B35" s="23" t="s">
        <v>52</v>
      </c>
      <c r="C35" s="23">
        <v>12</v>
      </c>
      <c r="D35" s="23">
        <v>15</v>
      </c>
      <c r="E35" s="73">
        <v>43982</v>
      </c>
      <c r="F35" s="4">
        <f>SEMLI!B35</f>
        <v>2484.8339134554426</v>
      </c>
      <c r="G35" s="4">
        <f>SEMLI!C35</f>
        <v>2463.5500000000002</v>
      </c>
      <c r="H35" s="4">
        <f>SEMLI!D35</f>
        <v>6.8032258064516133</v>
      </c>
      <c r="I35" s="4">
        <f>SEMLI!E35</f>
        <v>7.18</v>
      </c>
      <c r="J35" s="4">
        <f>SEMLI!F35</f>
        <v>6.6</v>
      </c>
      <c r="K35" s="4">
        <f>SEMLI!G35</f>
        <v>6.78</v>
      </c>
      <c r="L35" s="74">
        <f>F35/J35/P35/31/15</f>
        <v>0.81783422805949457</v>
      </c>
      <c r="M35" s="74">
        <f>G35/K35/Q35/31/15</f>
        <v>0.78242674019696279</v>
      </c>
      <c r="N35" s="74">
        <f>F35/24/12/31</f>
        <v>0.27831921073649668</v>
      </c>
      <c r="O35" s="74">
        <f>G35/(12*31*24)</f>
        <v>0.27593525985663087</v>
      </c>
      <c r="P35" s="74">
        <v>0.99</v>
      </c>
      <c r="Q35" s="74">
        <f>SEMLI!M35</f>
        <v>0.99870000000000003</v>
      </c>
      <c r="R35" s="75">
        <v>0.99</v>
      </c>
      <c r="S35" s="76">
        <f>SEMLI!O35</f>
        <v>0.99890000000000001</v>
      </c>
      <c r="T35" s="76">
        <f>SEMLI!U35</f>
        <v>-1.2882157310574403E-2</v>
      </c>
      <c r="U35" s="76">
        <f>SEMLI!V35</f>
        <v>-1.2500000000000001E-2</v>
      </c>
    </row>
    <row r="36" spans="1:21" x14ac:dyDescent="0.35">
      <c r="A36" s="23" t="s">
        <v>51</v>
      </c>
      <c r="B36" s="23" t="s">
        <v>52</v>
      </c>
      <c r="C36" s="23">
        <v>12</v>
      </c>
      <c r="D36" s="23">
        <v>15</v>
      </c>
      <c r="E36" s="73">
        <v>44012</v>
      </c>
      <c r="F36" s="4">
        <f>SEMLI!B36</f>
        <v>2048.543307720824</v>
      </c>
      <c r="G36" s="4">
        <f>SEMLI!C36</f>
        <v>1912.35</v>
      </c>
      <c r="H36" s="4">
        <f>SEMLI!D36</f>
        <v>5.73</v>
      </c>
      <c r="I36" s="4">
        <f>SEMLI!E36</f>
        <v>5.65</v>
      </c>
      <c r="J36" s="4">
        <f>SEMLI!F36</f>
        <v>5.42</v>
      </c>
      <c r="K36" s="4">
        <f>SEMLI!G36</f>
        <v>5.27</v>
      </c>
      <c r="L36" s="74">
        <f>F36/J36/P36/30/15</f>
        <v>0.84839510634049553</v>
      </c>
      <c r="M36" s="74">
        <f>G36/K36/Q36/30/15</f>
        <v>0.81908416637514625</v>
      </c>
      <c r="N36" s="74">
        <f>F36/24/12/30</f>
        <v>0.23709991987509538</v>
      </c>
      <c r="O36" s="74">
        <f>G36/(12*30*24)</f>
        <v>0.22133680555555554</v>
      </c>
      <c r="P36" s="74">
        <v>0.99</v>
      </c>
      <c r="Q36" s="74">
        <f>SEMLI!M36</f>
        <v>0.98450000000000004</v>
      </c>
      <c r="R36" s="75">
        <v>0.99</v>
      </c>
      <c r="S36" s="76">
        <f>SEMLI!O36</f>
        <v>0.9889</v>
      </c>
      <c r="T36" s="76">
        <f>SEMLI!U36</f>
        <v>-1.2878748774067025E-2</v>
      </c>
      <c r="U36" s="76">
        <f>SEMLI!V36</f>
        <v>-9.7000000000000003E-3</v>
      </c>
    </row>
    <row r="37" spans="1:21" x14ac:dyDescent="0.35">
      <c r="A37" s="23" t="s">
        <v>51</v>
      </c>
      <c r="B37" s="23" t="s">
        <v>52</v>
      </c>
      <c r="C37" s="23">
        <v>12</v>
      </c>
      <c r="D37" s="23">
        <v>15</v>
      </c>
      <c r="E37" s="73">
        <v>44043</v>
      </c>
      <c r="F37" s="4">
        <f>SEMLI!B37</f>
        <v>1658.482170143516</v>
      </c>
      <c r="G37" s="4">
        <f>SEMLI!C37</f>
        <v>1955.95</v>
      </c>
      <c r="H37" s="4">
        <f>SEMLI!D37</f>
        <v>4.3419354838709676</v>
      </c>
      <c r="I37" s="4">
        <f>SEMLI!E37</f>
        <v>5.41</v>
      </c>
      <c r="J37" s="4">
        <f>SEMLI!F37</f>
        <v>4.1225806451612899</v>
      </c>
      <c r="K37" s="4">
        <f>SEMLI!G37</f>
        <v>5.09</v>
      </c>
      <c r="L37" s="74">
        <f>F37/J37/P37/31/15</f>
        <v>0.87388341955997961</v>
      </c>
      <c r="M37" s="74">
        <f>G37/K37/Q37/31/15</f>
        <v>0.82763518283742021</v>
      </c>
      <c r="N37" s="74">
        <f>F37/24/12/31</f>
        <v>0.18576189181715008</v>
      </c>
      <c r="O37" s="74">
        <f>G37/24/12/31</f>
        <v>0.21908042114695342</v>
      </c>
      <c r="P37" s="74">
        <v>0.99</v>
      </c>
      <c r="Q37" s="74">
        <f>SEMLI!M37</f>
        <v>0.99850000000000005</v>
      </c>
      <c r="R37" s="75">
        <v>0.99</v>
      </c>
      <c r="S37" s="76">
        <f>SEMLI!O37</f>
        <v>0.99850000000000005</v>
      </c>
      <c r="T37" s="76">
        <f>SEMLI!U37</f>
        <v>-1.3342413236481056E-2</v>
      </c>
      <c r="U37" s="76">
        <f>SEMLI!V37</f>
        <v>-1.9E-3</v>
      </c>
    </row>
    <row r="38" spans="1:21" x14ac:dyDescent="0.35">
      <c r="A38" s="23" t="s">
        <v>51</v>
      </c>
      <c r="B38" s="23" t="s">
        <v>52</v>
      </c>
      <c r="C38" s="23">
        <v>12</v>
      </c>
      <c r="D38" s="23">
        <v>15</v>
      </c>
      <c r="E38" s="73">
        <v>44074</v>
      </c>
      <c r="F38" s="4">
        <f>SEMLI!B38</f>
        <v>1314.6505007235189</v>
      </c>
      <c r="G38" s="4">
        <f>SEMLI!C38</f>
        <v>1427</v>
      </c>
      <c r="H38" s="4">
        <f>SEMLI!D38</f>
        <v>3.3774193548387097</v>
      </c>
      <c r="I38" s="4">
        <f>SEMLI!E38</f>
        <v>3.77</v>
      </c>
      <c r="J38" s="4">
        <f>SEMLI!F38</f>
        <v>3.2806451612903227</v>
      </c>
      <c r="K38" s="4">
        <f>SEMLI!G38</f>
        <v>3.67</v>
      </c>
      <c r="L38" s="74">
        <f>F38/J38/P38/31/15</f>
        <v>0.87048823252089491</v>
      </c>
      <c r="M38" s="74">
        <f>G38/K38/Q38/31/15</f>
        <v>0.83921113400642178</v>
      </c>
      <c r="N38" s="74">
        <f>F38/24/12/31</f>
        <v>0.14725028009896046</v>
      </c>
      <c r="O38" s="74">
        <f>G38/24/12/31</f>
        <v>0.15983422939068101</v>
      </c>
      <c r="P38" s="74">
        <v>0.99</v>
      </c>
      <c r="Q38" s="74">
        <f>SEMLI!M38</f>
        <v>0.99639999999999995</v>
      </c>
      <c r="R38" s="75">
        <v>0.99</v>
      </c>
      <c r="S38" s="76">
        <f>SEMLI!O38</f>
        <v>0.99909999999999999</v>
      </c>
      <c r="T38" s="76">
        <f>SEMLI!U38</f>
        <v>-1.0470841134456633E-2</v>
      </c>
      <c r="U38" s="76">
        <f>SEMLI!V38</f>
        <v>-1.1999999999999999E-3</v>
      </c>
    </row>
    <row r="39" spans="1:21" x14ac:dyDescent="0.35">
      <c r="A39" s="23" t="s">
        <v>51</v>
      </c>
      <c r="B39" s="23" t="s">
        <v>52</v>
      </c>
      <c r="C39" s="23">
        <v>12</v>
      </c>
      <c r="D39" s="23">
        <v>15</v>
      </c>
      <c r="E39" s="73">
        <v>44104</v>
      </c>
      <c r="F39" s="4">
        <f>SEMLI!B39</f>
        <v>2029.5988326557306</v>
      </c>
      <c r="G39" s="4">
        <f>SEMLI!C39</f>
        <v>1932.15</v>
      </c>
      <c r="H39" s="4">
        <f>SEMLI!D39</f>
        <v>5</v>
      </c>
      <c r="I39" s="4">
        <f>SEMLI!E39</f>
        <v>5.2</v>
      </c>
      <c r="J39" s="4">
        <f>SEMLI!F39</f>
        <v>5.2366666666666664</v>
      </c>
      <c r="K39" s="4">
        <f>SEMLI!G39</f>
        <v>5.45</v>
      </c>
      <c r="L39" s="74">
        <f>F39/J39/P39/30/15</f>
        <v>0.86997658857007609</v>
      </c>
      <c r="M39" s="74">
        <f>G39/K39/Q39/30/15</f>
        <v>0.7890909840062964</v>
      </c>
      <c r="N39" s="74">
        <f>F39/24/12/30</f>
        <v>0.23490727229811698</v>
      </c>
      <c r="O39" s="74">
        <f>G39/24/12/30</f>
        <v>0.22362847222222226</v>
      </c>
      <c r="P39" s="74">
        <v>0.99</v>
      </c>
      <c r="Q39" s="74">
        <f>SEMLI!M39</f>
        <v>0.99840039000000003</v>
      </c>
      <c r="R39" s="75">
        <v>0.99</v>
      </c>
      <c r="S39" s="76">
        <f>SEMLI!O39</f>
        <v>0.99970000000000003</v>
      </c>
      <c r="T39" s="76">
        <f>SEMLI!U39</f>
        <v>-1.4209183673469341E-2</v>
      </c>
      <c r="U39" s="76">
        <f>SEMLI!V39</f>
        <v>-1.8E-3</v>
      </c>
    </row>
    <row r="40" spans="1:21" x14ac:dyDescent="0.35">
      <c r="A40" s="23" t="s">
        <v>51</v>
      </c>
      <c r="B40" s="23" t="s">
        <v>52</v>
      </c>
      <c r="C40" s="23">
        <v>12</v>
      </c>
      <c r="D40" s="23">
        <v>15</v>
      </c>
      <c r="E40" s="73">
        <v>44135</v>
      </c>
      <c r="F40" s="4">
        <f>SEMLI!B40</f>
        <v>2207.8355573365448</v>
      </c>
      <c r="G40" s="4">
        <f>SEMLI!C40</f>
        <v>2000.35</v>
      </c>
      <c r="H40" s="4">
        <f>SEMLI!D40</f>
        <v>5.0225806451612902</v>
      </c>
      <c r="I40" s="4">
        <f>SEMLI!E40</f>
        <v>5.1100000000000003</v>
      </c>
      <c r="J40" s="4">
        <f>SEMLI!F40</f>
        <v>5.7806451612903222</v>
      </c>
      <c r="K40" s="4">
        <f>SEMLI!G40</f>
        <v>5.69</v>
      </c>
      <c r="L40" s="74">
        <f>F40/J40/P40/31/15</f>
        <v>0.82966403519440868</v>
      </c>
      <c r="M40" s="74">
        <f>G40/K40/Q40/31/15</f>
        <v>0.75678982268547057</v>
      </c>
      <c r="N40" s="74">
        <f>F40/24/12/31</f>
        <v>0.2472934091998818</v>
      </c>
      <c r="O40" s="74">
        <f>G40/24/12/31</f>
        <v>0.22405353942652328</v>
      </c>
      <c r="P40" s="74">
        <v>0.99</v>
      </c>
      <c r="Q40" s="74">
        <f>SEMLI!M40</f>
        <v>0.999</v>
      </c>
      <c r="R40" s="75">
        <v>0.99</v>
      </c>
      <c r="S40" s="76">
        <f>SEMLI!O40</f>
        <v>0.99929999999999997</v>
      </c>
      <c r="T40" s="76">
        <f>SEMLI!U40</f>
        <v>-1.3634122287968486E-2</v>
      </c>
      <c r="U40" s="76">
        <f>SEMLI!V40</f>
        <v>-1.2500000000000001E-2</v>
      </c>
    </row>
    <row r="41" spans="1:21" x14ac:dyDescent="0.35">
      <c r="A41" s="23" t="s">
        <v>51</v>
      </c>
      <c r="B41" s="23" t="s">
        <v>52</v>
      </c>
      <c r="C41" s="23">
        <v>12</v>
      </c>
      <c r="D41" s="23">
        <v>15</v>
      </c>
      <c r="E41" s="73">
        <v>44165</v>
      </c>
      <c r="F41" s="4">
        <f>SEMLI!B41</f>
        <v>2016.6622961869614</v>
      </c>
      <c r="G41" s="4">
        <f>SEMLI!C41</f>
        <v>1833.7</v>
      </c>
      <c r="H41" s="4">
        <f>SEMLI!D41</f>
        <v>4.3033333333333328</v>
      </c>
      <c r="I41" s="4">
        <f>SEMLI!E41</f>
        <v>4.46</v>
      </c>
      <c r="J41" s="4">
        <f>SEMLI!F41</f>
        <v>5.3233333333333333</v>
      </c>
      <c r="K41" s="4">
        <f>SEMLI!G41</f>
        <v>5.0599999999999996</v>
      </c>
      <c r="L41" s="74">
        <f>F41/J41/P41/30/15</f>
        <v>0.85035801394743149</v>
      </c>
      <c r="M41" s="74">
        <f>G41/K41/Q41/30/15</f>
        <v>0.80644302990370087</v>
      </c>
      <c r="N41" s="74">
        <f>F41/24/12/30</f>
        <v>0.233409987984602</v>
      </c>
      <c r="O41" s="74">
        <f>G41/24/12/30</f>
        <v>0.2122337962962963</v>
      </c>
      <c r="P41" s="74">
        <v>0.99</v>
      </c>
      <c r="Q41" s="74">
        <f>SEMLI!M41</f>
        <v>0.99860000000000004</v>
      </c>
      <c r="R41" s="75">
        <v>0.99</v>
      </c>
      <c r="S41" s="76">
        <f>SEMLI!O41</f>
        <v>1</v>
      </c>
      <c r="T41" s="76">
        <f>SEMLI!U41</f>
        <v>-1.2600290775940911E-2</v>
      </c>
      <c r="U41" s="76">
        <f>SEMLI!V41</f>
        <v>-1.43E-2</v>
      </c>
    </row>
    <row r="42" spans="1:21" x14ac:dyDescent="0.35">
      <c r="A42" s="23" t="s">
        <v>51</v>
      </c>
      <c r="B42" s="23" t="s">
        <v>52</v>
      </c>
      <c r="C42" s="23">
        <v>12</v>
      </c>
      <c r="D42" s="23">
        <v>15</v>
      </c>
      <c r="E42" s="73">
        <v>44196</v>
      </c>
      <c r="F42" s="4">
        <f>SEMLI!B42</f>
        <v>1811.1151056276346</v>
      </c>
      <c r="G42" s="4">
        <f>SEMLI!C42</f>
        <v>1821.6</v>
      </c>
      <c r="H42" s="4">
        <f>SEMLI!D42</f>
        <v>3.6225806451612903</v>
      </c>
      <c r="I42" s="4">
        <f>SEMLI!E42</f>
        <v>3.99</v>
      </c>
      <c r="J42" s="4">
        <f>SEMLI!F42</f>
        <v>4.5870967741935482</v>
      </c>
      <c r="K42" s="4">
        <f>SEMLI!G42</f>
        <v>4.8600000000000003</v>
      </c>
      <c r="L42" s="74">
        <f>F42/J42/P42/31/15</f>
        <v>0.85766957224738471</v>
      </c>
      <c r="M42" s="74">
        <f>G42/K42/Q42/31/15</f>
        <v>0.81042968549482208</v>
      </c>
      <c r="N42" s="74">
        <f>F42/24/12/31</f>
        <v>0.20285787473427808</v>
      </c>
      <c r="O42" s="74">
        <f>G42/24/12/31</f>
        <v>0.20403225806451611</v>
      </c>
      <c r="P42" s="74">
        <v>0.99</v>
      </c>
      <c r="Q42" s="74">
        <f>SEMLI!M42</f>
        <v>0.99460000000000004</v>
      </c>
      <c r="R42" s="75">
        <v>0.99</v>
      </c>
      <c r="S42" s="76">
        <f>SEMLI!O42</f>
        <v>0.99519999999999997</v>
      </c>
      <c r="T42" s="76">
        <f>SEMLI!U42</f>
        <v>-1.4339050917158163E-2</v>
      </c>
      <c r="U42" s="76">
        <f>SEMLI!V42</f>
        <v>-1.06E-2</v>
      </c>
    </row>
    <row r="43" spans="1:21" x14ac:dyDescent="0.35">
      <c r="A43" s="23" t="s">
        <v>51</v>
      </c>
      <c r="B43" s="23" t="s">
        <v>52</v>
      </c>
      <c r="C43" s="23">
        <v>12</v>
      </c>
      <c r="D43" s="23">
        <v>15</v>
      </c>
      <c r="E43" s="73">
        <v>44227</v>
      </c>
      <c r="F43" s="4">
        <f>SEMLI!B43</f>
        <v>1980.7274726626031</v>
      </c>
      <c r="G43" s="4">
        <f>SEMLI!C43</f>
        <v>1808.4</v>
      </c>
      <c r="H43" s="4">
        <f>SEMLI!D43</f>
        <v>4.0129032258064514</v>
      </c>
      <c r="I43" s="4">
        <f>SEMLI!E43</f>
        <v>4.1100000000000003</v>
      </c>
      <c r="J43" s="4">
        <f>SEMLI!F43</f>
        <v>5.0451612903225804</v>
      </c>
      <c r="K43" s="4">
        <f>SEMLI!G43</f>
        <v>4.88</v>
      </c>
      <c r="L43" s="74">
        <f>F43/J43/P43/31/15</f>
        <v>0.85282814188888156</v>
      </c>
      <c r="M43" s="74">
        <f>G43/K43/Q43/31/15</f>
        <v>0.80392700470828116</v>
      </c>
      <c r="N43" s="74">
        <f>F43/24/12/31</f>
        <v>0.22185567570145642</v>
      </c>
      <c r="O43" s="74">
        <f>G43/24/12/31</f>
        <v>0.20255376344086023</v>
      </c>
      <c r="P43" s="74">
        <v>0.99</v>
      </c>
      <c r="Q43" s="74">
        <f>SEMLI!M43</f>
        <v>0.99129999999999996</v>
      </c>
      <c r="R43" s="75">
        <v>0.99</v>
      </c>
      <c r="S43" s="76">
        <f>SEMLI!O43</f>
        <v>0.99260000000000004</v>
      </c>
      <c r="T43" s="76">
        <f>SEMLI!U43</f>
        <v>-1.2693819611268836E-2</v>
      </c>
      <c r="U43" s="76">
        <f>SEMLI!V43</f>
        <v>-1.32E-2</v>
      </c>
    </row>
    <row r="44" spans="1:21" x14ac:dyDescent="0.35">
      <c r="A44" s="23" t="s">
        <v>51</v>
      </c>
      <c r="B44" s="23" t="s">
        <v>52</v>
      </c>
      <c r="C44" s="23">
        <v>12</v>
      </c>
      <c r="D44" s="23">
        <v>15</v>
      </c>
      <c r="E44" s="73">
        <v>44255</v>
      </c>
      <c r="F44" s="4">
        <f>SEMLI!B44</f>
        <v>1887.2969314992733</v>
      </c>
      <c r="G44" s="4">
        <f>SEMLI!C44</f>
        <v>2028.45</v>
      </c>
      <c r="H44" s="4">
        <f>SEMLI!D44</f>
        <v>4.6571428571428575</v>
      </c>
      <c r="I44" s="4">
        <f>SEMLI!E44</f>
        <v>5.31</v>
      </c>
      <c r="J44" s="4">
        <f>SEMLI!F44</f>
        <v>5.4535714285714301</v>
      </c>
      <c r="K44" s="4">
        <f>SEMLI!G44</f>
        <v>6.13</v>
      </c>
      <c r="L44" s="74">
        <f>F44/J44/P44/28/15</f>
        <v>0.83229012742543207</v>
      </c>
      <c r="M44" s="74">
        <f>G44/K44/Q44/28/15</f>
        <v>0.78826409242840956</v>
      </c>
      <c r="N44" s="74">
        <f>F44/24/12/28</f>
        <v>0.2340397980529853</v>
      </c>
      <c r="O44" s="74">
        <f>G44/24/12/28</f>
        <v>0.25154389880952382</v>
      </c>
      <c r="P44" s="74">
        <v>0.99</v>
      </c>
      <c r="Q44" s="74">
        <f>SEMLI!M44</f>
        <v>0.99950000000000006</v>
      </c>
      <c r="R44" s="75">
        <v>0.99</v>
      </c>
      <c r="S44" s="76">
        <f>SEMLI!O44</f>
        <v>1</v>
      </c>
      <c r="T44" s="76">
        <f>SEMLI!U44</f>
        <v>-1.2439143135345644E-2</v>
      </c>
      <c r="U44" s="76">
        <f>SEMLI!V44</f>
        <v>-1.26E-2</v>
      </c>
    </row>
    <row r="45" spans="1:21" x14ac:dyDescent="0.35">
      <c r="A45" s="23" t="s">
        <v>51</v>
      </c>
      <c r="B45" s="23" t="s">
        <v>52</v>
      </c>
      <c r="C45" s="23">
        <v>12</v>
      </c>
      <c r="D45" s="23">
        <v>15</v>
      </c>
      <c r="E45" s="73">
        <v>44286</v>
      </c>
      <c r="F45" s="4">
        <f>SEMLI!B45</f>
        <v>2636.1786537468897</v>
      </c>
      <c r="G45" s="4">
        <f>SEMLI!C45</f>
        <v>2312.9</v>
      </c>
      <c r="H45" s="4">
        <f>SEMLI!D45</f>
        <v>6.2870967741935484</v>
      </c>
      <c r="I45" s="4">
        <f>SEMLI!E45</f>
        <v>6.0068759073774185</v>
      </c>
      <c r="J45" s="4">
        <f>SEMLI!F45</f>
        <v>6.9129032258064518</v>
      </c>
      <c r="K45" s="4">
        <f>SEMLI!G45</f>
        <v>6.499027576319353</v>
      </c>
      <c r="L45" s="74">
        <f>F45/J45/P45/31/15</f>
        <v>0.82837353272871495</v>
      </c>
      <c r="M45" s="74">
        <f>G45/K45/Q45/31/15</f>
        <v>0.76795299885272184</v>
      </c>
      <c r="N45" s="74">
        <f>F45/24/12/31</f>
        <v>0.29527090655767135</v>
      </c>
      <c r="O45" s="74">
        <f>G45/24/12/31</f>
        <v>0.25906137992831541</v>
      </c>
      <c r="P45" s="74">
        <v>0.99</v>
      </c>
      <c r="Q45" s="74">
        <f>SEMLI!M45</f>
        <v>0.99660000000000004</v>
      </c>
      <c r="R45" s="75">
        <v>0.99</v>
      </c>
      <c r="S45" s="76">
        <f>SEMLI!O45</f>
        <v>0.99829999999999997</v>
      </c>
      <c r="T45" s="76">
        <f>SEMLI!U45</f>
        <v>-1.4990843660832085E-2</v>
      </c>
      <c r="U45" s="76">
        <f>SEMLI!V45</f>
        <v>-1.4E-2</v>
      </c>
    </row>
    <row r="46" spans="1:21" x14ac:dyDescent="0.35">
      <c r="A46" s="23" t="s">
        <v>51</v>
      </c>
      <c r="B46" s="23" t="s">
        <v>52</v>
      </c>
      <c r="C46" s="23">
        <v>12</v>
      </c>
      <c r="D46" s="23">
        <v>15</v>
      </c>
      <c r="E46" s="73">
        <v>44316</v>
      </c>
      <c r="F46" s="4">
        <f>SEMLI!B46</f>
        <v>2456.6</v>
      </c>
      <c r="G46" s="4">
        <f>SEMLI!C46</f>
        <v>2237.25</v>
      </c>
      <c r="H46" s="4">
        <f>SEMLI!D46</f>
        <v>6.72</v>
      </c>
      <c r="I46" s="4">
        <f>SEMLI!E46</f>
        <v>6.37</v>
      </c>
      <c r="J46" s="4">
        <f>SEMLI!F46</f>
        <v>6.8733333333333331</v>
      </c>
      <c r="K46" s="4">
        <f>SEMLI!G46</f>
        <v>6.42</v>
      </c>
      <c r="L46" s="74">
        <f>F46/J46/P46/30/15</f>
        <v>0.80226774698161696</v>
      </c>
      <c r="M46" s="74">
        <f>G46/K46/Q46/30/15</f>
        <v>0.77533330754953722</v>
      </c>
      <c r="N46" s="74">
        <f>F46/24/12/30</f>
        <v>0.28432870370370372</v>
      </c>
      <c r="O46" s="74">
        <f>G46/(12*30*24)</f>
        <v>0.25894097222222223</v>
      </c>
      <c r="P46" s="74">
        <v>0.99</v>
      </c>
      <c r="Q46" s="74">
        <f>SEMLI!M46</f>
        <v>0.99880000000000002</v>
      </c>
      <c r="R46" s="74">
        <v>0.99</v>
      </c>
      <c r="S46" s="76">
        <f>SEMLI!O46</f>
        <v>1</v>
      </c>
      <c r="T46" s="76">
        <f>SEMLI!U46</f>
        <v>-1.6528925619834871E-2</v>
      </c>
      <c r="U46" s="76">
        <f>SEMLI!V46</f>
        <v>-1.3899999999999999E-2</v>
      </c>
    </row>
    <row r="47" spans="1:21" x14ac:dyDescent="0.35">
      <c r="A47" s="23" t="s">
        <v>51</v>
      </c>
      <c r="B47" s="23" t="s">
        <v>52</v>
      </c>
      <c r="C47" s="23">
        <v>12</v>
      </c>
      <c r="D47" s="23">
        <v>15</v>
      </c>
      <c r="E47" s="73">
        <v>44347</v>
      </c>
      <c r="F47" s="4">
        <f>SEMLI!B47</f>
        <v>2472.3158584758185</v>
      </c>
      <c r="G47" s="4">
        <f>SEMLI!C47</f>
        <v>2229.8000000000002</v>
      </c>
      <c r="H47" s="4">
        <f>SEMLI!D47</f>
        <v>6.8032258064516133</v>
      </c>
      <c r="I47" s="4">
        <f>SEMLI!E47</f>
        <v>6.45</v>
      </c>
      <c r="J47" s="4">
        <f>SEMLI!F47</f>
        <v>6.6</v>
      </c>
      <c r="K47" s="4">
        <f>SEMLI!G47</f>
        <v>6.12</v>
      </c>
      <c r="L47" s="74">
        <f>F47/J47/P47/31/15</f>
        <v>0.81371415638161304</v>
      </c>
      <c r="M47" s="74">
        <f>G47/K47/Q47/31/15</f>
        <v>0.78440350025621342</v>
      </c>
      <c r="N47" s="74">
        <f>F47/24/12/31</f>
        <v>0.27691709884361765</v>
      </c>
      <c r="O47" s="74">
        <f>G47/24/12/31</f>
        <v>0.2497535842293907</v>
      </c>
      <c r="P47" s="74">
        <v>0.99</v>
      </c>
      <c r="Q47" s="74">
        <f>SEMLI!M47</f>
        <v>0.99890000000000001</v>
      </c>
      <c r="R47" s="75">
        <v>0.99</v>
      </c>
      <c r="S47" s="76">
        <f>SEMLI!O47</f>
        <v>0.99970000000000003</v>
      </c>
      <c r="T47" s="76">
        <f>SEMLI!U47</f>
        <v>-1.6040774899607216E-2</v>
      </c>
      <c r="U47" s="76">
        <f>SEMLI!V47</f>
        <v>-1.32E-2</v>
      </c>
    </row>
    <row r="48" spans="1:21" x14ac:dyDescent="0.35">
      <c r="A48" s="23" t="s">
        <v>51</v>
      </c>
      <c r="B48" s="23" t="s">
        <v>52</v>
      </c>
      <c r="C48" s="23">
        <v>12</v>
      </c>
      <c r="D48" s="23">
        <v>15</v>
      </c>
      <c r="E48" s="73">
        <v>44377</v>
      </c>
      <c r="F48" s="4">
        <f>SEMLI!B48</f>
        <v>2038.3</v>
      </c>
      <c r="G48" s="4">
        <f>SEMLI!C48</f>
        <v>2017.15</v>
      </c>
      <c r="H48" s="4">
        <f>SEMLI!D48</f>
        <v>5.73</v>
      </c>
      <c r="I48" s="4">
        <f>SEMLI!E48</f>
        <v>6.06</v>
      </c>
      <c r="J48" s="4">
        <f>SEMLI!F48</f>
        <v>5.42</v>
      </c>
      <c r="K48" s="4">
        <f>SEMLI!G48</f>
        <v>5.62</v>
      </c>
      <c r="L48" s="74">
        <f>F48/J48/P48/30/15</f>
        <v>0.84415288597330429</v>
      </c>
      <c r="M48" s="74">
        <f>G48/K48/Q48/30/15</f>
        <v>0.8037159916352814</v>
      </c>
      <c r="N48" s="74">
        <f>F48/24/12/30</f>
        <v>0.23591435185185183</v>
      </c>
      <c r="O48" s="74">
        <f>G48/24/12/30</f>
        <v>0.23346643518518517</v>
      </c>
      <c r="P48" s="74">
        <v>0.99</v>
      </c>
      <c r="Q48" s="74">
        <f>SEMLI!M48</f>
        <v>0.99239999999999995</v>
      </c>
      <c r="R48" s="75">
        <v>0.99</v>
      </c>
      <c r="S48" s="76">
        <f>SEMLI!O48</f>
        <v>0.99819999999999998</v>
      </c>
      <c r="T48" s="76">
        <f>SEMLI!U48</f>
        <v>-1.2894543675067241E-2</v>
      </c>
      <c r="U48" s="76">
        <f>SEMLI!V48</f>
        <v>-6.3E-3</v>
      </c>
    </row>
    <row r="49" spans="1:21" x14ac:dyDescent="0.35">
      <c r="A49" s="23" t="s">
        <v>51</v>
      </c>
      <c r="B49" s="23" t="s">
        <v>52</v>
      </c>
      <c r="C49" s="23">
        <v>12</v>
      </c>
      <c r="D49" s="23">
        <v>15</v>
      </c>
      <c r="E49" s="73">
        <v>44408</v>
      </c>
      <c r="F49" s="4">
        <f>SEMLI!B49</f>
        <v>1650.19</v>
      </c>
      <c r="G49" s="4">
        <f>SEMLI!C49</f>
        <v>1588.6</v>
      </c>
      <c r="H49" s="4">
        <f>SEMLI!D49</f>
        <v>4.3419354838709676</v>
      </c>
      <c r="I49" s="4">
        <f>SEMLI!E49</f>
        <v>4.42</v>
      </c>
      <c r="J49" s="4">
        <f>SEMLI!F49</f>
        <v>4.1225806451612899</v>
      </c>
      <c r="K49" s="4">
        <f>SEMLI!G49</f>
        <v>4.05</v>
      </c>
      <c r="L49" s="74">
        <f>F49/J49/P49/31/15</f>
        <v>0.86951412929503713</v>
      </c>
      <c r="M49" s="74">
        <f>G49/K49/Q49/31/15</f>
        <v>0.8457406753909561</v>
      </c>
      <c r="N49" s="74">
        <f>F49/24/12/31</f>
        <v>0.18483310931899644</v>
      </c>
      <c r="O49" s="74">
        <f>G49/24/12/31</f>
        <v>0.17793458781362007</v>
      </c>
      <c r="P49" s="74">
        <v>0.99</v>
      </c>
      <c r="Q49" s="74">
        <f>SEMLI!M49</f>
        <v>0.99739999999999995</v>
      </c>
      <c r="R49" s="75">
        <v>0.99</v>
      </c>
      <c r="S49" s="76">
        <f>SEMLI!O49</f>
        <v>0.99939999999999996</v>
      </c>
      <c r="T49" s="76">
        <f>SEMLI!U49</f>
        <v>-1.1941783803955745E-2</v>
      </c>
      <c r="U49" s="76">
        <f>SEMLI!V49</f>
        <v>-1.9E-3</v>
      </c>
    </row>
    <row r="50" spans="1:21" x14ac:dyDescent="0.35">
      <c r="A50" s="23" t="s">
        <v>51</v>
      </c>
      <c r="B50" s="23" t="s">
        <v>52</v>
      </c>
      <c r="C50" s="23">
        <v>12</v>
      </c>
      <c r="D50" s="23">
        <v>15</v>
      </c>
      <c r="E50" s="73">
        <v>44439</v>
      </c>
      <c r="F50" s="4">
        <f>SEMLI!B50</f>
        <v>1308.0275762866247</v>
      </c>
      <c r="G50" s="4">
        <f>SEMLI!C50</f>
        <v>1346.3</v>
      </c>
      <c r="H50" s="4">
        <f>SEMLI!D50</f>
        <v>3.3774193548387097</v>
      </c>
      <c r="I50" s="4">
        <f>SEMLI!E50</f>
        <v>3.65</v>
      </c>
      <c r="J50" s="4">
        <f>SEMLI!F50</f>
        <v>3.2806451612903227</v>
      </c>
      <c r="K50" s="4">
        <f>SEMLI!G50</f>
        <v>3.61</v>
      </c>
      <c r="L50" s="74">
        <f>F50/J50/P50/31/15</f>
        <v>0.86610290137469381</v>
      </c>
      <c r="M50" s="74">
        <f>G50/K50/Q50/31/15</f>
        <v>0.81323618208403414</v>
      </c>
      <c r="N50" s="74">
        <f>F50/24/12/31</f>
        <v>0.14650846508586746</v>
      </c>
      <c r="O50" s="74">
        <f>G50/24/12/31</f>
        <v>0.15079525089605733</v>
      </c>
      <c r="P50" s="74">
        <v>0.99</v>
      </c>
      <c r="Q50" s="74">
        <f>SEMLI!M50</f>
        <v>0.98619999999999997</v>
      </c>
      <c r="R50" s="75">
        <v>0.99</v>
      </c>
      <c r="S50" s="76">
        <f>SEMLI!O50</f>
        <v>0.99929999999999997</v>
      </c>
      <c r="T50" s="76">
        <f>SEMLI!U50</f>
        <v>-1.0837619397501837E-2</v>
      </c>
      <c r="U50" s="76">
        <f>SEMLI!V50</f>
        <v>-8.6999999999999994E-3</v>
      </c>
    </row>
    <row r="51" spans="1:21" x14ac:dyDescent="0.35">
      <c r="A51" s="23" t="s">
        <v>51</v>
      </c>
      <c r="B51" s="23" t="s">
        <v>52</v>
      </c>
      <c r="C51" s="23">
        <v>12</v>
      </c>
      <c r="D51" s="23">
        <v>15</v>
      </c>
      <c r="E51" s="73">
        <v>44469</v>
      </c>
      <c r="F51" s="4">
        <f>SEMLI!B51</f>
        <v>2019.3223828701316</v>
      </c>
      <c r="G51" s="4">
        <f>SEMLI!C51</f>
        <v>1488.25</v>
      </c>
      <c r="H51" s="4">
        <f>SEMLI!D51</f>
        <v>5</v>
      </c>
      <c r="I51" s="4">
        <f>SEMLI!E51</f>
        <v>3.99</v>
      </c>
      <c r="J51" s="4">
        <f>SEMLI!F51</f>
        <v>5.2366666666666664</v>
      </c>
      <c r="K51" s="4">
        <f>SEMLI!G51</f>
        <v>4.13</v>
      </c>
      <c r="L51" s="74">
        <f>F51/J51/P51/30/15</f>
        <v>0.86557164381782259</v>
      </c>
      <c r="M51" s="74">
        <f>G51/K51/Q51/30/15</f>
        <v>0.80230457778307185</v>
      </c>
      <c r="N51" s="74">
        <f>F51/24/12/30</f>
        <v>0.23371786838774669</v>
      </c>
      <c r="O51" s="74">
        <f>G51/24/12/30</f>
        <v>0.1722511574074074</v>
      </c>
      <c r="P51" s="74">
        <v>0.99</v>
      </c>
      <c r="Q51" s="74">
        <f>SEMLI!M51</f>
        <v>0.99809999999999999</v>
      </c>
      <c r="R51" s="75">
        <v>0.99</v>
      </c>
      <c r="S51" s="76">
        <f>SEMLI!O51</f>
        <v>0.99819999999999998</v>
      </c>
      <c r="T51" s="76">
        <f>SEMLI!U51</f>
        <v>-1.2114171921672752E-2</v>
      </c>
      <c r="U51" s="76">
        <f>SEMLI!V51</f>
        <v>0</v>
      </c>
    </row>
    <row r="52" spans="1:21" x14ac:dyDescent="0.35">
      <c r="A52" s="23" t="s">
        <v>51</v>
      </c>
      <c r="B52" s="23" t="s">
        <v>52</v>
      </c>
      <c r="C52" s="23">
        <v>12</v>
      </c>
      <c r="D52" s="23">
        <v>15</v>
      </c>
      <c r="E52" s="73">
        <v>44500</v>
      </c>
      <c r="F52" s="4">
        <f>SEMLI!B52</f>
        <v>2196.6566431221818</v>
      </c>
      <c r="G52" s="4">
        <f>SEMLI!C52</f>
        <v>2024.8</v>
      </c>
      <c r="H52" s="4">
        <f>SEMLI!D52</f>
        <v>5.0225806451612902</v>
      </c>
      <c r="I52" s="4">
        <f>SEMLI!E52</f>
        <v>4.9800000000000004</v>
      </c>
      <c r="J52" s="4">
        <f>SEMLI!F52</f>
        <v>5.7806451612903222</v>
      </c>
      <c r="K52" s="4">
        <f>SEMLI!G52</f>
        <v>5.58</v>
      </c>
      <c r="L52" s="74">
        <f>F52/J52/P52/31/15</f>
        <v>0.82546320463646206</v>
      </c>
      <c r="M52" s="74">
        <f>G52/K52/Q52/31/15</f>
        <v>0.78325801921419957</v>
      </c>
      <c r="N52" s="74">
        <f>F52/24/12/31</f>
        <v>0.24604129067228739</v>
      </c>
      <c r="O52" s="74">
        <f>G52/24/12/31</f>
        <v>0.2267921146953405</v>
      </c>
      <c r="P52" s="74">
        <v>0.99</v>
      </c>
      <c r="Q52" s="74">
        <f>SEMLI!M52</f>
        <v>0.99629999999999996</v>
      </c>
      <c r="R52" s="75">
        <v>0.99</v>
      </c>
      <c r="S52" s="76">
        <f>SEMLI!O52</f>
        <v>0.99880000000000002</v>
      </c>
      <c r="T52" s="76">
        <f>SEMLI!U52</f>
        <v>-1.4456072036991991E-2</v>
      </c>
      <c r="U52" s="76">
        <f>SEMLI!V52</f>
        <v>-7.3000000000000001E-3</v>
      </c>
    </row>
    <row r="53" spans="1:21" x14ac:dyDescent="0.35">
      <c r="A53" s="23" t="s">
        <v>51</v>
      </c>
      <c r="B53" s="23" t="s">
        <v>52</v>
      </c>
      <c r="C53" s="23">
        <v>12</v>
      </c>
      <c r="D53" s="23">
        <v>15</v>
      </c>
      <c r="E53" s="73">
        <v>44530</v>
      </c>
      <c r="F53" s="4">
        <f>SEMLI!B53</f>
        <v>2006.4513478518375</v>
      </c>
      <c r="G53" s="4">
        <f>SEMLI!C53</f>
        <v>1747.65</v>
      </c>
      <c r="H53" s="4">
        <f>SEMLI!D53</f>
        <v>4.3033333333333328</v>
      </c>
      <c r="I53" s="4">
        <f>SEMLI!E53</f>
        <v>4.2</v>
      </c>
      <c r="J53" s="4">
        <f>SEMLI!F53</f>
        <v>5.3233333333333333</v>
      </c>
      <c r="K53" s="4">
        <f>SEMLI!G53</f>
        <v>4.91</v>
      </c>
      <c r="L53" s="74">
        <f>F53/J53/P53/30/15</f>
        <v>0.84605240375022928</v>
      </c>
      <c r="M53" s="74">
        <f>G53/K53/Q53/30/15</f>
        <v>0.79160409114800323</v>
      </c>
      <c r="N53" s="74">
        <f>F53/24/12/30</f>
        <v>0.23222816526062931</v>
      </c>
      <c r="O53" s="74">
        <f>G53/24/12/30</f>
        <v>0.20227430555555559</v>
      </c>
      <c r="P53" s="74">
        <v>0.99</v>
      </c>
      <c r="Q53" s="74">
        <f>SEMLI!M53</f>
        <v>0.99919999999999998</v>
      </c>
      <c r="R53" s="75">
        <v>0.99</v>
      </c>
      <c r="S53" s="76">
        <f>SEMLI!O53</f>
        <v>0.99980000000000002</v>
      </c>
      <c r="T53" s="76">
        <f>SEMLI!U53</f>
        <v>-1.1789652247667464E-2</v>
      </c>
      <c r="U53" s="76">
        <f>SEMLI!V53</f>
        <v>-1.01E-2</v>
      </c>
    </row>
    <row r="54" spans="1:21" x14ac:dyDescent="0.35">
      <c r="A54" s="23" t="s">
        <v>51</v>
      </c>
      <c r="B54" s="23" t="s">
        <v>52</v>
      </c>
      <c r="C54" s="23">
        <v>12</v>
      </c>
      <c r="D54" s="23">
        <v>15</v>
      </c>
      <c r="E54" s="73">
        <v>44561</v>
      </c>
      <c r="F54" s="4">
        <f>SEMLI!B54</f>
        <v>1801.9449025611655</v>
      </c>
      <c r="G54" s="4">
        <f>SEMLI!C54</f>
        <v>1566.95</v>
      </c>
      <c r="H54" s="4">
        <f>SEMLI!D54</f>
        <v>3.6225806451612903</v>
      </c>
      <c r="I54" s="4">
        <f>SEMLI!E54</f>
        <v>3.55</v>
      </c>
      <c r="J54" s="4">
        <f>SEMLI!F54</f>
        <v>4.5870967741935482</v>
      </c>
      <c r="K54" s="4">
        <f>SEMLI!G54</f>
        <v>4.1500000000000004</v>
      </c>
      <c r="L54" s="74">
        <f>F54/J54/P54/31/15</f>
        <v>0.85332694150182831</v>
      </c>
      <c r="M54" s="74">
        <f>G54/K54/Q54/31/15</f>
        <v>0.81452138889268999</v>
      </c>
      <c r="N54" s="74">
        <f>F54/24/12/31</f>
        <v>0.20183074625461084</v>
      </c>
      <c r="O54" s="74">
        <f>G54/24/12/31</f>
        <v>0.17550963261648747</v>
      </c>
      <c r="P54" s="74">
        <v>0.99</v>
      </c>
      <c r="Q54" s="74">
        <f>SEMLI!M54</f>
        <v>0.99690000000000001</v>
      </c>
      <c r="R54" s="75">
        <v>0.99</v>
      </c>
      <c r="S54" s="76">
        <f>SEMLI!O54</f>
        <v>1</v>
      </c>
      <c r="T54" s="76">
        <f>SEMLI!U54</f>
        <v>-1.1731315042573263E-2</v>
      </c>
      <c r="U54" s="76">
        <f>SEMLI!V54</f>
        <v>-1.1900000000000001E-2</v>
      </c>
    </row>
    <row r="55" spans="1:21" x14ac:dyDescent="0.35">
      <c r="A55" s="23" t="s">
        <v>51</v>
      </c>
      <c r="B55" s="23" t="s">
        <v>52</v>
      </c>
      <c r="C55" s="23">
        <v>12</v>
      </c>
      <c r="D55" s="23">
        <v>15</v>
      </c>
      <c r="E55" s="73">
        <v>44592</v>
      </c>
      <c r="F55" s="4">
        <f>SEMLI!B55</f>
        <v>1970.82</v>
      </c>
      <c r="G55" s="4">
        <f>SEMLI!C55</f>
        <v>1874.8</v>
      </c>
      <c r="H55" s="4">
        <f>SEMLI!D55</f>
        <v>4.0129032258064514</v>
      </c>
      <c r="I55" s="4">
        <f>SEMLI!E55</f>
        <v>4.25</v>
      </c>
      <c r="J55" s="4">
        <f>SEMLI!F55</f>
        <v>5.0451612903225804</v>
      </c>
      <c r="K55" s="4">
        <f>SEMLI!G55</f>
        <v>4.96</v>
      </c>
      <c r="L55" s="74">
        <f>F55/J55/P55/31/15</f>
        <v>0.84856234984112233</v>
      </c>
      <c r="M55" s="74">
        <f>G55/K55/Q55/31/15</f>
        <v>0.81637896928349307</v>
      </c>
      <c r="N55" s="74">
        <f>F55/24/12/31</f>
        <v>0.22074596774193547</v>
      </c>
      <c r="O55" s="74">
        <f>G55/24/12/31</f>
        <v>0.20999103942652328</v>
      </c>
      <c r="P55" s="74">
        <v>0.99</v>
      </c>
      <c r="Q55" s="74">
        <f>SEMLI!M55</f>
        <v>0.99570000000000003</v>
      </c>
      <c r="R55" s="75">
        <v>0.99</v>
      </c>
      <c r="S55" s="76">
        <f>SEMLI!O55</f>
        <v>0.99770000000000003</v>
      </c>
      <c r="T55" s="76">
        <f>SEMLI!U55</f>
        <v>-1.3652864734045375E-2</v>
      </c>
      <c r="U55" s="76">
        <f>SEMLI!V55</f>
        <v>-1.3299999999999999E-2</v>
      </c>
    </row>
    <row r="56" spans="1:21" x14ac:dyDescent="0.35">
      <c r="A56" s="23" t="s">
        <v>51</v>
      </c>
      <c r="B56" s="23" t="s">
        <v>52</v>
      </c>
      <c r="C56" s="23">
        <v>12</v>
      </c>
      <c r="D56" s="23">
        <v>15</v>
      </c>
      <c r="E56" s="73">
        <v>44620</v>
      </c>
      <c r="F56" s="4">
        <f>SEMLI!B56</f>
        <v>1877.86</v>
      </c>
      <c r="G56" s="4">
        <f>SEMLI!C56</f>
        <v>2064.15</v>
      </c>
      <c r="H56" s="4">
        <f>SEMLI!D56</f>
        <v>4.6571428571428575</v>
      </c>
      <c r="I56" s="4">
        <f>SEMLI!E56</f>
        <v>5.45</v>
      </c>
      <c r="J56" s="4">
        <f>SEMLI!F56</f>
        <v>5.4535714285714301</v>
      </c>
      <c r="K56" s="4">
        <f>SEMLI!G56</f>
        <v>6.28</v>
      </c>
      <c r="L56" s="74">
        <f>F56/J56/P56/28/15</f>
        <v>0.82812847973293258</v>
      </c>
      <c r="M56" s="74">
        <f>G56/K56/Q56/28/15</f>
        <v>0.7826647086910693</v>
      </c>
      <c r="N56" s="74">
        <f>F56/24/12/28</f>
        <v>0.23286954365079363</v>
      </c>
      <c r="O56" s="74">
        <f>G56/24/12/28</f>
        <v>0.25597098214285718</v>
      </c>
      <c r="P56" s="74">
        <v>0.99</v>
      </c>
      <c r="Q56" s="74">
        <f>SEMLI!M56</f>
        <v>0.99990000000000001</v>
      </c>
      <c r="R56" s="75">
        <v>0.99</v>
      </c>
      <c r="S56" s="76">
        <f>SEMLI!O56</f>
        <v>1</v>
      </c>
      <c r="T56" s="76">
        <f>SEMLI!U56</f>
        <v>-1.3807271511155746E-2</v>
      </c>
      <c r="U56" s="76">
        <f>SEMLI!V56</f>
        <v>-1.21E-2</v>
      </c>
    </row>
    <row r="57" spans="1:21" x14ac:dyDescent="0.35">
      <c r="A57" s="23" t="s">
        <v>51</v>
      </c>
      <c r="B57" s="23" t="s">
        <v>52</v>
      </c>
      <c r="C57" s="23">
        <v>12</v>
      </c>
      <c r="D57" s="23">
        <v>15</v>
      </c>
      <c r="E57" s="73">
        <v>44651</v>
      </c>
      <c r="F57" s="4">
        <f>SEMLI!B57</f>
        <v>2622.8309137279184</v>
      </c>
      <c r="G57" s="4">
        <f>SEMLI!C57</f>
        <v>2343.15</v>
      </c>
      <c r="H57" s="4">
        <f>SEMLI!D57</f>
        <v>6.2870967741935484</v>
      </c>
      <c r="I57" s="4">
        <f>SEMLI!E57</f>
        <v>6.13</v>
      </c>
      <c r="J57" s="4">
        <f>SEMLI!F57</f>
        <v>6.9129032258064518</v>
      </c>
      <c r="K57" s="4">
        <f>SEMLI!G57</f>
        <v>6.66</v>
      </c>
      <c r="L57" s="74">
        <f>F57/J57/P57/31/15</f>
        <v>0.8241792363604683</v>
      </c>
      <c r="M57" s="74">
        <f>G57/K57/Q57/31/15</f>
        <v>0.75721722393898849</v>
      </c>
      <c r="N57" s="74">
        <f>F57/24/12/31</f>
        <v>0.29377586399282241</v>
      </c>
      <c r="O57" s="74">
        <f>G57/24/12/31</f>
        <v>0.26244959677419355</v>
      </c>
      <c r="P57" s="74">
        <v>0.99</v>
      </c>
      <c r="Q57" s="74">
        <f>SEMLI!M57</f>
        <v>0.99919999999999998</v>
      </c>
      <c r="R57" s="75">
        <v>0.99</v>
      </c>
      <c r="S57" s="76">
        <f>SEMLI!O57</f>
        <v>1</v>
      </c>
      <c r="T57" s="76">
        <f>SEMLI!U57</f>
        <v>-1.5152151983860008E-2</v>
      </c>
      <c r="U57" s="76">
        <f>SEMLI!V57</f>
        <v>-1.2699999999999999E-2</v>
      </c>
    </row>
    <row r="58" spans="1:21" x14ac:dyDescent="0.35">
      <c r="A58" s="23" t="s">
        <v>51</v>
      </c>
      <c r="B58" s="23" t="s">
        <v>52</v>
      </c>
      <c r="C58" s="23">
        <v>12</v>
      </c>
      <c r="D58" s="23">
        <v>15</v>
      </c>
      <c r="E58" s="73">
        <v>44681</v>
      </c>
      <c r="F58" s="4">
        <f>SEMLI!B58</f>
        <v>2444.066538473834</v>
      </c>
      <c r="G58" s="4">
        <f>SEMLI!C58</f>
        <v>2241.9</v>
      </c>
      <c r="H58" s="4">
        <f>SEMLI!D58</f>
        <v>6.72</v>
      </c>
      <c r="I58" s="4">
        <f>SEMLI!E58</f>
        <v>6.63</v>
      </c>
      <c r="J58" s="4">
        <f>SEMLI!F58</f>
        <v>6.8733333333333331</v>
      </c>
      <c r="K58" s="4">
        <f>SEMLI!G58</f>
        <v>6.66</v>
      </c>
      <c r="L58" s="74">
        <f>F58/J58/P58/30/15</f>
        <v>0.79817461340656282</v>
      </c>
      <c r="M58" s="74">
        <f>G58/K58/Q58/30/15</f>
        <v>0.75982534083092734</v>
      </c>
      <c r="N58" s="74">
        <f>F58/24/12/30</f>
        <v>0.28287807158261968</v>
      </c>
      <c r="O58" s="74">
        <f>G58/(12*30*24)</f>
        <v>0.25947916666666665</v>
      </c>
      <c r="P58" s="74">
        <v>0.99</v>
      </c>
      <c r="Q58" s="74">
        <f>SEMLI!M58</f>
        <v>0.98450000000000004</v>
      </c>
      <c r="R58" s="74">
        <v>0.99</v>
      </c>
      <c r="S58" s="76">
        <f>SEMLI!O58</f>
        <v>0.98719999999999997</v>
      </c>
      <c r="T58" s="76">
        <f>SEMLI!U58</f>
        <v>-1.5544724015281293E-2</v>
      </c>
      <c r="U58" s="76">
        <f>SEMLI!V58</f>
        <v>-1.35E-2</v>
      </c>
    </row>
    <row r="59" spans="1:21" x14ac:dyDescent="0.35">
      <c r="A59" s="23" t="s">
        <v>51</v>
      </c>
      <c r="B59" s="23" t="s">
        <v>52</v>
      </c>
      <c r="C59" s="23">
        <v>12</v>
      </c>
      <c r="D59" s="23">
        <v>15</v>
      </c>
      <c r="E59" s="73">
        <v>44712</v>
      </c>
      <c r="F59" s="4">
        <f>SEMLI!B59</f>
        <v>2459.8000000000002</v>
      </c>
      <c r="G59" s="4">
        <f>SEMLI!C59</f>
        <v>2393.9499999999998</v>
      </c>
      <c r="H59" s="4">
        <f>SEMLI!D59</f>
        <v>6.8</v>
      </c>
      <c r="I59" s="4">
        <f>SEMLI!E59</f>
        <v>7.09</v>
      </c>
      <c r="J59" s="4">
        <f>SEMLI!F59</f>
        <v>6.6</v>
      </c>
      <c r="K59" s="4">
        <f>SEMLI!G59</f>
        <v>6.72</v>
      </c>
      <c r="L59" s="74">
        <f>F59/J59/P59/31/15</f>
        <v>0.80959480763977354</v>
      </c>
      <c r="M59" s="74">
        <f>G59/K59/Q59/31/15</f>
        <v>0.76611303123399899</v>
      </c>
      <c r="N59" s="74">
        <f>F59/24/12/31</f>
        <v>0.27551523297491043</v>
      </c>
      <c r="O59" s="74">
        <f>G59/(12*31*24)</f>
        <v>0.26813956093189961</v>
      </c>
      <c r="P59" s="74">
        <v>0.99</v>
      </c>
      <c r="Q59" s="74">
        <f>SEMLI!M59</f>
        <v>1</v>
      </c>
      <c r="R59" s="75">
        <v>0.99</v>
      </c>
      <c r="S59" s="76">
        <f>SEMLI!O59</f>
        <v>1</v>
      </c>
      <c r="T59" s="76">
        <f>SEMLI!U59</f>
        <v>-1.4817863757974892E-2</v>
      </c>
      <c r="U59" s="76">
        <f>SEMLI!V59</f>
        <v>-1.2999999999999999E-2</v>
      </c>
    </row>
    <row r="60" spans="1:21" x14ac:dyDescent="0.35">
      <c r="A60" s="23" t="s">
        <v>51</v>
      </c>
      <c r="B60" s="23" t="s">
        <v>52</v>
      </c>
      <c r="C60" s="23">
        <v>12</v>
      </c>
      <c r="D60" s="23">
        <v>15</v>
      </c>
      <c r="E60" s="73">
        <v>44742</v>
      </c>
      <c r="F60" s="4">
        <f>SEMLI!B60</f>
        <v>2027.9030728823273</v>
      </c>
      <c r="G60" s="4">
        <f>SEMLI!C60</f>
        <v>1988.85</v>
      </c>
      <c r="H60" s="4">
        <f>SEMLI!D60</f>
        <v>5.73</v>
      </c>
      <c r="I60" s="4">
        <f>SEMLI!E60</f>
        <v>6.03</v>
      </c>
      <c r="J60" s="4">
        <f>SEMLI!F60</f>
        <v>5.42</v>
      </c>
      <c r="K60" s="4">
        <f>SEMLI!G60</f>
        <v>5.57</v>
      </c>
      <c r="L60" s="74">
        <f>F60/J60/P60/30/15</f>
        <v>0.83984704481565442</v>
      </c>
      <c r="M60" s="74">
        <f>G60/K60/Q60/30/15</f>
        <v>0.79450982267372461</v>
      </c>
      <c r="N60" s="74">
        <f>F60/24/12/30</f>
        <v>0.23471100380582491</v>
      </c>
      <c r="O60" s="74">
        <f>G60/24/12/30</f>
        <v>0.23019097222222221</v>
      </c>
      <c r="P60" s="74">
        <v>0.99</v>
      </c>
      <c r="Q60" s="74">
        <f>SEMLI!M60</f>
        <v>0.99870000000000003</v>
      </c>
      <c r="R60" s="75">
        <v>0.99</v>
      </c>
      <c r="S60" s="76">
        <f>SEMLI!O60</f>
        <v>0.99980000000000002</v>
      </c>
      <c r="T60" s="76">
        <f>SEMLI!U60</f>
        <v>-1.1260253542132783E-2</v>
      </c>
      <c r="U60" s="76">
        <f>SEMLI!V60</f>
        <v>-8.5000000000000006E-3</v>
      </c>
    </row>
    <row r="61" spans="1:21" x14ac:dyDescent="0.35">
      <c r="A61" s="23" t="s">
        <v>51</v>
      </c>
      <c r="B61" s="23" t="s">
        <v>52</v>
      </c>
      <c r="C61" s="23">
        <v>12</v>
      </c>
      <c r="D61" s="23">
        <v>15</v>
      </c>
      <c r="E61" s="73">
        <v>44773</v>
      </c>
      <c r="F61" s="4">
        <f>SEMLI!B61</f>
        <v>1641.7720223335061</v>
      </c>
      <c r="G61" s="4">
        <f>SEMLI!C61</f>
        <v>1419.6</v>
      </c>
      <c r="H61" s="4">
        <f>SEMLI!D61</f>
        <v>4.3419354838709676</v>
      </c>
      <c r="I61" s="4">
        <f>SEMLI!E61</f>
        <v>3.93</v>
      </c>
      <c r="J61" s="4">
        <f>SEMLI!F61</f>
        <v>4.1225806451612899</v>
      </c>
      <c r="K61" s="4">
        <f>SEMLI!G61</f>
        <v>3.71</v>
      </c>
      <c r="L61" s="74">
        <f>F61/J61/P61/31/15</f>
        <v>0.86507854883393476</v>
      </c>
      <c r="M61" s="74">
        <f>G61/K61/Q61/31/15</f>
        <v>0.83355446365949148</v>
      </c>
      <c r="N61" s="74">
        <f>F61/24/12/31</f>
        <v>0.18389023547642316</v>
      </c>
      <c r="O61" s="74">
        <f>G61/24/12/31</f>
        <v>0.15900537634408601</v>
      </c>
      <c r="P61" s="74">
        <v>0.99</v>
      </c>
      <c r="Q61" s="74">
        <f>SEMLI!M61</f>
        <v>0.98719999999999997</v>
      </c>
      <c r="R61" s="75">
        <v>0.99</v>
      </c>
      <c r="S61" s="76">
        <f>SEMLI!O61</f>
        <v>0.98770000000000002</v>
      </c>
      <c r="T61" s="76">
        <f>SEMLI!U61</f>
        <v>-9.8346934505127541E-3</v>
      </c>
      <c r="U61" s="76">
        <f>SEMLI!V61</f>
        <v>-5.0000000000000001E-4</v>
      </c>
    </row>
    <row r="62" spans="1:21" x14ac:dyDescent="0.35">
      <c r="A62" s="23" t="s">
        <v>51</v>
      </c>
      <c r="B62" s="23" t="s">
        <v>52</v>
      </c>
      <c r="C62" s="23">
        <v>12</v>
      </c>
      <c r="D62" s="23">
        <v>15</v>
      </c>
      <c r="E62" s="73">
        <v>44804</v>
      </c>
      <c r="F62" s="4">
        <f>SEMLI!B62</f>
        <v>1301.4046518497305</v>
      </c>
      <c r="G62" s="4">
        <f>SEMLI!C62</f>
        <v>1580.7</v>
      </c>
      <c r="H62" s="4">
        <f>SEMLI!D62</f>
        <v>3.3774193548387097</v>
      </c>
      <c r="I62" s="4">
        <f>SEMLI!E62</f>
        <v>4.24</v>
      </c>
      <c r="J62" s="4">
        <f>SEMLI!F62</f>
        <v>3.2806451612903227</v>
      </c>
      <c r="K62" s="4">
        <f>SEMLI!G62</f>
        <v>4.13</v>
      </c>
      <c r="L62" s="74">
        <f>F62/J62/P62/31/15</f>
        <v>0.86171757022849294</v>
      </c>
      <c r="M62" s="74">
        <f>G62/K62/Q62/31/15</f>
        <v>0.82399473287678859</v>
      </c>
      <c r="N62" s="74">
        <f>F62/24/12/31</f>
        <v>0.14576665007277448</v>
      </c>
      <c r="O62" s="74">
        <f>G62/24/12/31</f>
        <v>0.17704973118279568</v>
      </c>
      <c r="P62" s="74">
        <v>0.99</v>
      </c>
      <c r="Q62" s="74">
        <f>SEMLI!M62</f>
        <v>0.99890000000000001</v>
      </c>
      <c r="R62" s="75">
        <v>0.99</v>
      </c>
      <c r="S62" s="76">
        <f>SEMLI!O62</f>
        <v>0.99939999999999996</v>
      </c>
      <c r="T62" s="76">
        <f>SEMLI!U62</f>
        <v>-1.1630088163571506E-2</v>
      </c>
      <c r="U62" s="76">
        <f>SEMLI!V62</f>
        <v>-1.1000000000000001E-3</v>
      </c>
    </row>
    <row r="63" spans="1:21" x14ac:dyDescent="0.35">
      <c r="A63" s="23" t="s">
        <v>51</v>
      </c>
      <c r="B63" s="23" t="s">
        <v>52</v>
      </c>
      <c r="C63" s="23">
        <v>12</v>
      </c>
      <c r="D63" s="23">
        <v>15</v>
      </c>
      <c r="E63" s="73">
        <v>44834</v>
      </c>
      <c r="F63" s="4">
        <f>SEMLI!B63</f>
        <v>2009.0459330845329</v>
      </c>
      <c r="G63" s="4">
        <f>SEMLI!C63</f>
        <v>1849.7</v>
      </c>
      <c r="H63" s="4">
        <f>SEMLI!D63</f>
        <v>5</v>
      </c>
      <c r="I63" s="4">
        <f>SEMLI!E63</f>
        <v>5.04</v>
      </c>
      <c r="J63" s="4">
        <f>SEMLI!F63</f>
        <v>5.2366666666666664</v>
      </c>
      <c r="K63" s="4">
        <f>SEMLI!G63</f>
        <v>5.17</v>
      </c>
      <c r="L63" s="74">
        <f>F63/J63/P63/30/15</f>
        <v>0.86116669906556897</v>
      </c>
      <c r="M63" s="74">
        <f>G63/K63/Q63/30/15</f>
        <v>0.79537510254477894</v>
      </c>
      <c r="N63" s="74">
        <f>F63/24/12/30</f>
        <v>0.23252846447737646</v>
      </c>
      <c r="O63" s="74">
        <f>G63/24/12/30</f>
        <v>0.21408564814814818</v>
      </c>
      <c r="P63" s="74">
        <v>0.99</v>
      </c>
      <c r="Q63" s="74">
        <f>SEMLI!M63</f>
        <v>0.99960000000000004</v>
      </c>
      <c r="R63" s="75">
        <v>0.99</v>
      </c>
      <c r="S63" s="76">
        <f>SEMLI!O63</f>
        <v>1</v>
      </c>
      <c r="T63" s="76">
        <f>SEMLI!U63</f>
        <v>-1.365114914946937E-2</v>
      </c>
      <c r="U63" s="76">
        <f>SEMLI!V63</f>
        <v>-5.4999999999999997E-3</v>
      </c>
    </row>
    <row r="64" spans="1:21" x14ac:dyDescent="0.35">
      <c r="A64" s="23" t="s">
        <v>51</v>
      </c>
      <c r="B64" s="23" t="s">
        <v>52</v>
      </c>
      <c r="C64" s="23">
        <v>12</v>
      </c>
      <c r="D64" s="23">
        <v>15</v>
      </c>
      <c r="E64" s="73">
        <v>44865</v>
      </c>
      <c r="F64" s="4">
        <f>SEMLI!B64</f>
        <v>2185.4777289078193</v>
      </c>
      <c r="G64" s="4">
        <f>SEMLI!C64</f>
        <v>2040.2998700000001</v>
      </c>
      <c r="H64" s="4">
        <f>SEMLI!D64</f>
        <v>5.0225806451612902</v>
      </c>
      <c r="I64" s="4">
        <f>SEMLI!E64</f>
        <v>5.16</v>
      </c>
      <c r="J64" s="4">
        <f>SEMLI!F64</f>
        <v>5.7806451612903222</v>
      </c>
      <c r="K64" s="4">
        <f>SEMLI!G64</f>
        <v>5.68</v>
      </c>
      <c r="L64" s="74">
        <f>F64/J64/P64/31/15</f>
        <v>0.82126237407851543</v>
      </c>
      <c r="M64" s="74">
        <f>G64/K64/Q64/31/15</f>
        <v>0.78385563485932974</v>
      </c>
      <c r="N64" s="74">
        <f>F64/24/12/31</f>
        <v>0.24478917214469301</v>
      </c>
      <c r="O64" s="74">
        <f>G64/24/12/31</f>
        <v>0.22852821124551972</v>
      </c>
      <c r="P64" s="74">
        <v>0.99</v>
      </c>
      <c r="Q64" s="74">
        <f>SEMLI!M64</f>
        <v>0.98550000000000004</v>
      </c>
      <c r="R64" s="75">
        <v>0.99</v>
      </c>
      <c r="S64" s="76">
        <f>SEMLI!O64</f>
        <v>0.99629999999999996</v>
      </c>
      <c r="T64" s="76">
        <f>SEMLI!U64</f>
        <v>-1.4062109790277392E-2</v>
      </c>
      <c r="U64" s="76">
        <f>SEMLI!V64</f>
        <v>-6.4999999999999997E-3</v>
      </c>
    </row>
    <row r="65" spans="1:21" x14ac:dyDescent="0.35">
      <c r="A65" s="23" t="s">
        <v>51</v>
      </c>
      <c r="B65" s="23" t="s">
        <v>52</v>
      </c>
      <c r="C65" s="23">
        <v>12</v>
      </c>
      <c r="D65" s="23">
        <v>15</v>
      </c>
      <c r="E65" s="73">
        <v>44895</v>
      </c>
      <c r="F65" s="4">
        <f>SEMLI!B65</f>
        <v>1996.2403995167135</v>
      </c>
      <c r="G65" s="4">
        <f>SEMLI!C65</f>
        <v>1830</v>
      </c>
      <c r="H65" s="4">
        <f>SEMLI!D65</f>
        <v>4.3033333333333328</v>
      </c>
      <c r="I65" s="4">
        <f>SEMLI!E65</f>
        <v>4.5</v>
      </c>
      <c r="J65" s="4">
        <f>SEMLI!F65</f>
        <v>5.3233333333333333</v>
      </c>
      <c r="K65" s="4">
        <f>SEMLI!G65</f>
        <v>5.22</v>
      </c>
      <c r="L65" s="74">
        <f>F65/J65/P65/30/15</f>
        <v>0.84174679355302706</v>
      </c>
      <c r="M65" s="74">
        <f>G65/K65/Q65/30/15</f>
        <v>0.79479179451739612</v>
      </c>
      <c r="N65" s="74">
        <f>F65/24/12/30</f>
        <v>0.23104634253665662</v>
      </c>
      <c r="O65" s="74">
        <f>G65/24/12/30</f>
        <v>0.21180555555555555</v>
      </c>
      <c r="P65" s="74">
        <v>0.99</v>
      </c>
      <c r="Q65" s="74">
        <f>SEMLI!M65</f>
        <v>0.98019999999999996</v>
      </c>
      <c r="R65" s="75">
        <v>0.99</v>
      </c>
      <c r="S65" s="76">
        <f>SEMLI!O65</f>
        <v>0.99560000000000004</v>
      </c>
      <c r="T65" s="76">
        <f>SEMLI!U65</f>
        <v>-1.2838493904412534E-2</v>
      </c>
      <c r="U65" s="76">
        <f>SEMLI!V65</f>
        <v>-1.3899999999999999E-2</v>
      </c>
    </row>
    <row r="66" spans="1:21" x14ac:dyDescent="0.35">
      <c r="A66" s="23" t="s">
        <v>51</v>
      </c>
      <c r="B66" s="23" t="s">
        <v>52</v>
      </c>
      <c r="C66" s="23">
        <v>12</v>
      </c>
      <c r="D66" s="23">
        <v>15</v>
      </c>
      <c r="E66" s="73">
        <v>44926</v>
      </c>
      <c r="F66" s="4">
        <f>SEMLI!B66</f>
        <v>1792.7746994946963</v>
      </c>
      <c r="G66" s="4">
        <f>SEMLI!C66</f>
        <v>1806.90022</v>
      </c>
      <c r="H66" s="4">
        <f>SEMLI!D66</f>
        <v>3.6225806451612903</v>
      </c>
      <c r="I66" s="4">
        <f>SEMLI!E66</f>
        <v>4.03</v>
      </c>
      <c r="J66" s="4">
        <f>SEMLI!F66</f>
        <v>4.5870967741935482</v>
      </c>
      <c r="K66" s="4">
        <f>SEMLI!G66</f>
        <v>4.76</v>
      </c>
      <c r="L66" s="74">
        <f>F66/J66/P66/31/15</f>
        <v>0.84898431075627168</v>
      </c>
      <c r="M66" s="74">
        <f>G66/K66/Q66/31/15</f>
        <v>0.82119101960626162</v>
      </c>
      <c r="N66" s="74">
        <f>F66/24/12/31</f>
        <v>0.20080361777494357</v>
      </c>
      <c r="O66" s="74">
        <f>G66/24/12/31</f>
        <v>0.20238577732974911</v>
      </c>
      <c r="P66" s="74">
        <v>0.99</v>
      </c>
      <c r="Q66" s="74">
        <f>SEMLI!M66</f>
        <v>0.99409999999999998</v>
      </c>
      <c r="R66" s="75">
        <v>0.99</v>
      </c>
      <c r="S66" s="76">
        <f>SEMLI!O66</f>
        <v>0.995</v>
      </c>
      <c r="T66" s="76">
        <f>SEMLI!U66</f>
        <v>-1.22450008199854E-2</v>
      </c>
      <c r="U66" s="76">
        <f>SEMLI!V66</f>
        <v>-1.2800000000000001E-2</v>
      </c>
    </row>
    <row r="67" spans="1:21" x14ac:dyDescent="0.35">
      <c r="A67" s="23" t="s">
        <v>51</v>
      </c>
      <c r="B67" s="23" t="s">
        <v>52</v>
      </c>
      <c r="C67" s="23">
        <v>12</v>
      </c>
      <c r="D67" s="23">
        <v>15</v>
      </c>
      <c r="E67" s="73">
        <v>44957</v>
      </c>
      <c r="F67" s="4">
        <f>SEMLI!B67</f>
        <v>1960.6694729394371</v>
      </c>
      <c r="G67" s="4">
        <f>SEMLI!C67</f>
        <v>1812.5</v>
      </c>
      <c r="H67" s="4">
        <f>SEMLI!D67</f>
        <v>4.0129032258064514</v>
      </c>
      <c r="I67" s="4">
        <f>SEMLI!E67</f>
        <v>4.0999999999999996</v>
      </c>
      <c r="J67" s="4">
        <f>SEMLI!F67</f>
        <v>5.0451612903225804</v>
      </c>
      <c r="K67" s="4">
        <f>SEMLI!G67</f>
        <v>4.78</v>
      </c>
      <c r="L67" s="74">
        <f>F67/J67/P67/31/15</f>
        <v>0.84419190754063966</v>
      </c>
      <c r="M67" s="74">
        <f>G67/K67/Q67/31/15</f>
        <v>0.8156128008793373</v>
      </c>
      <c r="N67" s="74">
        <f>F67/24/12/31</f>
        <v>0.2196090359475176</v>
      </c>
      <c r="O67" s="74">
        <f>G67/24/12/31</f>
        <v>0.20301299283154123</v>
      </c>
      <c r="P67" s="74">
        <v>0.99</v>
      </c>
      <c r="Q67" s="74">
        <f>SEMLI!M67</f>
        <v>0.99980000000000002</v>
      </c>
      <c r="R67" s="75">
        <v>0.99</v>
      </c>
      <c r="S67" s="76">
        <f>SEMLI!O67</f>
        <v>1</v>
      </c>
      <c r="T67" s="76">
        <f>SEMLI!U67</f>
        <v>-1.2369224062772841E-2</v>
      </c>
      <c r="U67" s="76">
        <f>SEMLI!V67</f>
        <v>-1.18E-2</v>
      </c>
    </row>
    <row r="68" spans="1:21" x14ac:dyDescent="0.35">
      <c r="A68" s="23" t="s">
        <v>51</v>
      </c>
      <c r="B68" s="23" t="s">
        <v>52</v>
      </c>
      <c r="C68" s="23">
        <v>12</v>
      </c>
      <c r="D68" s="23">
        <v>15</v>
      </c>
      <c r="E68" s="73">
        <v>44985</v>
      </c>
      <c r="F68" s="4">
        <f>SEMLI!B68</f>
        <v>1868.185063838521</v>
      </c>
      <c r="G68" s="4">
        <f>SEMLI!C68</f>
        <v>2100.3995199999999</v>
      </c>
      <c r="H68" s="4">
        <f>SEMLI!D68</f>
        <v>4.6571428571428575</v>
      </c>
      <c r="I68" s="4">
        <f>SEMLI!E68</f>
        <v>5.66</v>
      </c>
      <c r="J68" s="4">
        <f>SEMLI!F68</f>
        <v>5.4535714285714301</v>
      </c>
      <c r="K68" s="4">
        <f>SEMLI!G68</f>
        <v>6.31</v>
      </c>
      <c r="L68" s="74">
        <f>F68/J68/P68/DAY(E68)/15</f>
        <v>0.82386187297049096</v>
      </c>
      <c r="M68" s="74">
        <f>G68/K68/Q68/DAY(E68)/15</f>
        <v>0.79389339660231251</v>
      </c>
      <c r="N68" s="74">
        <f>F68/24/12/DAY(E68)</f>
        <v>0.23166977478156262</v>
      </c>
      <c r="O68" s="74">
        <f>G68/24/12/DAY(E68)</f>
        <v>0.26046621031746031</v>
      </c>
      <c r="P68" s="74">
        <v>0.99</v>
      </c>
      <c r="Q68" s="74">
        <f>SEMLI!M68</f>
        <v>0.99829999999999997</v>
      </c>
      <c r="R68" s="75">
        <v>0.99</v>
      </c>
      <c r="S68" s="76">
        <f>SEMLI!O68</f>
        <v>0.99870000000000003</v>
      </c>
      <c r="T68" s="76">
        <f>SEMLI!U68</f>
        <v>-1.4960596538948667E-2</v>
      </c>
      <c r="U68" s="76">
        <f>SEMLI!V68</f>
        <v>-1.1299999999999999E-2</v>
      </c>
    </row>
    <row r="69" spans="1:21" x14ac:dyDescent="0.35">
      <c r="A69" s="23" t="s">
        <v>51</v>
      </c>
      <c r="B69" s="23" t="s">
        <v>52</v>
      </c>
      <c r="C69" s="23">
        <v>12</v>
      </c>
      <c r="D69" s="23">
        <v>15</v>
      </c>
      <c r="E69" s="73">
        <v>45016</v>
      </c>
      <c r="F69" s="4">
        <f>SEMLI!B69</f>
        <v>2609.4831737089471</v>
      </c>
      <c r="G69" s="4">
        <f>SEMLI!C69</f>
        <v>2063.30042</v>
      </c>
      <c r="H69" s="4">
        <f>SEMLI!D69</f>
        <v>6.2870967741935484</v>
      </c>
      <c r="I69" s="4">
        <f>SEMLI!E69</f>
        <v>5.55</v>
      </c>
      <c r="J69" s="4">
        <f>SEMLI!F69</f>
        <v>6.9129032258064518</v>
      </c>
      <c r="K69" s="4">
        <f>SEMLI!G69</f>
        <v>5.71</v>
      </c>
      <c r="L69" s="74">
        <f t="shared" ref="L69:L79" si="0">F69/J69/P69/DAY(E69)/15</f>
        <v>0.81998493999222188</v>
      </c>
      <c r="M69" s="74">
        <f t="shared" ref="M69:M79" si="1">G69/K69/Q69/DAY(E69)/15</f>
        <v>0.77872906208134729</v>
      </c>
      <c r="N69" s="74">
        <f t="shared" ref="N69:N79" si="2">F69/24/12/DAY(E69)</f>
        <v>0.29228082142797346</v>
      </c>
      <c r="O69" s="74">
        <f t="shared" ref="O69:O79" si="3">G69/24/12/DAY(E69)</f>
        <v>0.23110443772401434</v>
      </c>
      <c r="P69" s="74">
        <v>0.99</v>
      </c>
      <c r="Q69" s="74">
        <f>SEMLI!M69</f>
        <v>0.99790000000000001</v>
      </c>
      <c r="R69" s="75">
        <v>0.99</v>
      </c>
      <c r="S69" s="76">
        <f>SEMLI!O69</f>
        <v>0.99970000000000003</v>
      </c>
      <c r="T69" s="76">
        <f>SEMLI!U69</f>
        <v>-1.3577272075345741E-2</v>
      </c>
      <c r="U69" s="76">
        <f>SEMLI!V69</f>
        <v>-9.4999999999999998E-3</v>
      </c>
    </row>
    <row r="70" spans="1:21" x14ac:dyDescent="0.35">
      <c r="A70" s="23" t="s">
        <v>51</v>
      </c>
      <c r="B70" s="23" t="s">
        <v>52</v>
      </c>
      <c r="C70" s="23">
        <v>12</v>
      </c>
      <c r="D70" s="23">
        <v>15</v>
      </c>
      <c r="E70" s="73">
        <f>EOMONTH(E69,1)</f>
        <v>45046</v>
      </c>
      <c r="F70" s="4">
        <f>SEMLI!B70</f>
        <v>2431.6285408225676</v>
      </c>
      <c r="G70" s="4">
        <f>SEMLI!C70</f>
        <v>2157.9998099999998</v>
      </c>
      <c r="H70" s="4">
        <f>SEMLI!D70</f>
        <v>6.72</v>
      </c>
      <c r="I70" s="4">
        <f>SEMLI!E70</f>
        <v>6.42</v>
      </c>
      <c r="J70" s="4">
        <f>SEMLI!F70</f>
        <v>6.8733333333333331</v>
      </c>
      <c r="K70" s="4">
        <f>SEMLI!G70</f>
        <v>6.49</v>
      </c>
      <c r="L70" s="74">
        <f t="shared" si="0"/>
        <v>0.79411265608642767</v>
      </c>
      <c r="M70" s="74">
        <f t="shared" si="1"/>
        <v>0.73987634361238674</v>
      </c>
      <c r="N70" s="74">
        <f t="shared" si="2"/>
        <v>0.28143848852113051</v>
      </c>
      <c r="O70" s="74">
        <f t="shared" si="3"/>
        <v>0.24976849652777774</v>
      </c>
      <c r="P70" s="74">
        <v>0.99</v>
      </c>
      <c r="Q70" s="74">
        <f>SEMLI!M70</f>
        <v>0.99870000000000003</v>
      </c>
      <c r="R70" s="75">
        <v>0.99</v>
      </c>
      <c r="S70" s="76">
        <f>SEMLI!O70</f>
        <v>0.99939999999999996</v>
      </c>
      <c r="T70" s="76">
        <f>SEMLI!U70</f>
        <v>-1.3936572995202286E-2</v>
      </c>
      <c r="U70" s="76">
        <f>SEMLI!V70</f>
        <v>-1.26E-2</v>
      </c>
    </row>
    <row r="71" spans="1:21" x14ac:dyDescent="0.35">
      <c r="A71" s="23" t="s">
        <v>51</v>
      </c>
      <c r="B71" s="23" t="s">
        <v>52</v>
      </c>
      <c r="C71" s="23">
        <v>12</v>
      </c>
      <c r="D71" s="23">
        <v>15</v>
      </c>
      <c r="E71" s="73">
        <f t="shared" ref="E71:E92" si="4">EOMONTH(E70,1)</f>
        <v>45077</v>
      </c>
      <c r="F71" s="4">
        <f>SEMLI!B71</f>
        <v>2447.2797485165693</v>
      </c>
      <c r="G71" s="4">
        <f>SEMLI!C71</f>
        <v>2237.5007000000001</v>
      </c>
      <c r="H71" s="4">
        <f>SEMLI!D71</f>
        <v>6.8</v>
      </c>
      <c r="I71" s="4">
        <f>SEMLI!E71</f>
        <v>6.82</v>
      </c>
      <c r="J71" s="4">
        <f>SEMLI!F71</f>
        <v>6.6</v>
      </c>
      <c r="K71" s="4">
        <f>SEMLI!G71</f>
        <v>6.4766052601446598</v>
      </c>
      <c r="L71" s="74">
        <f t="shared" si="0"/>
        <v>0.80547401302584976</v>
      </c>
      <c r="M71" s="74">
        <f t="shared" si="1"/>
        <v>0.7440716016915494</v>
      </c>
      <c r="N71" s="74">
        <f t="shared" si="2"/>
        <v>0.27411287505785947</v>
      </c>
      <c r="O71" s="74">
        <f t="shared" si="3"/>
        <v>0.25061611783154125</v>
      </c>
      <c r="P71" s="74">
        <v>0.99</v>
      </c>
      <c r="Q71" s="74">
        <f>SEMLI!M71</f>
        <v>0.99850000000000005</v>
      </c>
      <c r="R71" s="75">
        <v>0.99</v>
      </c>
      <c r="S71" s="76">
        <f>SEMLI!O71</f>
        <v>0.99919999999999998</v>
      </c>
      <c r="T71" s="76">
        <f>SEMLI!U71</f>
        <v>-1.3795530677009534E-2</v>
      </c>
      <c r="U71" s="76">
        <f>SEMLI!V71</f>
        <v>-1.23E-2</v>
      </c>
    </row>
    <row r="72" spans="1:21" x14ac:dyDescent="0.35">
      <c r="A72" s="23" t="s">
        <v>51</v>
      </c>
      <c r="B72" s="23" t="s">
        <v>52</v>
      </c>
      <c r="C72" s="23">
        <v>12</v>
      </c>
      <c r="D72" s="23">
        <v>15</v>
      </c>
      <c r="E72" s="73">
        <f t="shared" si="4"/>
        <v>45107</v>
      </c>
      <c r="F72" s="4">
        <v>2017.5829554630786</v>
      </c>
      <c r="G72" s="4">
        <f>SEMLI!C72</f>
        <v>1811.6992600000001</v>
      </c>
      <c r="H72" s="4">
        <f>SEMLI!D72</f>
        <v>5.73</v>
      </c>
      <c r="I72" s="4">
        <f>SEMLI!E72</f>
        <v>5.5279999999999996</v>
      </c>
      <c r="J72" s="4">
        <f>SEMLI!F72</f>
        <v>5.42</v>
      </c>
      <c r="K72" s="4">
        <f>SEMLI!G72</f>
        <v>5.1887024523203387</v>
      </c>
      <c r="L72" s="74">
        <f t="shared" si="0"/>
        <v>0.8355730140532337</v>
      </c>
      <c r="M72" s="74">
        <f t="shared" si="1"/>
        <v>0.7766151663350459</v>
      </c>
      <c r="N72" s="74">
        <f t="shared" si="2"/>
        <v>0.23351654577118966</v>
      </c>
      <c r="O72" s="74">
        <f t="shared" si="3"/>
        <v>0.20968741435185184</v>
      </c>
      <c r="P72" s="74">
        <v>0.99</v>
      </c>
      <c r="Q72" s="74">
        <f>SEMLI!M72</f>
        <v>0.99909999999999999</v>
      </c>
      <c r="R72" s="75">
        <v>0.99</v>
      </c>
      <c r="S72" s="76">
        <f>SEMLI!O72</f>
        <v>0.99909999999999999</v>
      </c>
      <c r="T72" s="76">
        <f>SEMLI!U72</f>
        <v>-1.2200000000000001E-2</v>
      </c>
      <c r="U72" s="76">
        <f>SEMLI!V72</f>
        <v>-1.0800000000000001E-2</v>
      </c>
    </row>
    <row r="73" spans="1:21" x14ac:dyDescent="0.35">
      <c r="A73" s="23" t="s">
        <v>51</v>
      </c>
      <c r="B73" s="23" t="s">
        <v>52</v>
      </c>
      <c r="C73" s="23">
        <v>12</v>
      </c>
      <c r="D73" s="23">
        <v>15</v>
      </c>
      <c r="E73" s="73">
        <f t="shared" si="4"/>
        <v>45138</v>
      </c>
      <c r="F73" s="4">
        <v>1633.416948428501</v>
      </c>
      <c r="G73" s="4">
        <f>SEMLI!C73</f>
        <v>1535.4</v>
      </c>
      <c r="H73" s="22">
        <f>134.6/31</f>
        <v>4.3419354838709676</v>
      </c>
      <c r="I73" s="4">
        <f>SEMLI!E73</f>
        <v>4.3099999999999996</v>
      </c>
      <c r="J73" s="22">
        <v>4.1225806451612899</v>
      </c>
      <c r="K73" s="4">
        <f>SEMLI!G73</f>
        <v>4.1500000000000004</v>
      </c>
      <c r="L73" s="74">
        <f t="shared" si="0"/>
        <v>0.86067611347091222</v>
      </c>
      <c r="M73" s="74">
        <f t="shared" si="1"/>
        <v>0.79820134886358451</v>
      </c>
      <c r="N73" s="74">
        <f t="shared" si="2"/>
        <v>0.18295440730605969</v>
      </c>
      <c r="O73" s="74">
        <f t="shared" si="3"/>
        <v>0.17197580645161289</v>
      </c>
      <c r="P73" s="74">
        <v>0.99</v>
      </c>
      <c r="Q73" s="74">
        <f>SEMLI!M73</f>
        <v>0.99680000000000002</v>
      </c>
      <c r="R73" s="75">
        <v>0.99</v>
      </c>
      <c r="S73" s="76">
        <f>SEMLI!O73</f>
        <v>0.99950000000000006</v>
      </c>
      <c r="T73" s="76">
        <f>SEMLI!U73</f>
        <v>-1.0058027079303601E-2</v>
      </c>
      <c r="U73" s="76">
        <f>SEMLI!V73</f>
        <v>-4.0000000000000002E-4</v>
      </c>
    </row>
    <row r="74" spans="1:21" x14ac:dyDescent="0.35">
      <c r="A74" s="23" t="s">
        <v>51</v>
      </c>
      <c r="B74" s="23" t="s">
        <v>52</v>
      </c>
      <c r="C74" s="23">
        <v>12</v>
      </c>
      <c r="D74" s="23">
        <v>15</v>
      </c>
      <c r="E74" s="73">
        <f t="shared" si="4"/>
        <v>45169</v>
      </c>
      <c r="F74" s="4">
        <v>1294.7817274128358</v>
      </c>
      <c r="G74" s="4">
        <f>SEMLI!C74</f>
        <v>1623.59962</v>
      </c>
      <c r="H74" s="22">
        <f>104.7/31</f>
        <v>3.3774193548387097</v>
      </c>
      <c r="I74" s="4">
        <f>SEMLI!E74</f>
        <v>4.54</v>
      </c>
      <c r="J74" s="22">
        <f>101.7/31</f>
        <v>3.2806451612903227</v>
      </c>
      <c r="K74" s="4">
        <f>SEMLI!G74</f>
        <v>4.47</v>
      </c>
      <c r="L74" s="74">
        <f t="shared" si="0"/>
        <v>0.85733223908229172</v>
      </c>
      <c r="M74" s="74">
        <f t="shared" si="1"/>
        <v>0.78627439658466181</v>
      </c>
      <c r="N74" s="74">
        <f t="shared" si="2"/>
        <v>0.14502483505968142</v>
      </c>
      <c r="O74" s="74">
        <f t="shared" si="3"/>
        <v>0.18185479614695341</v>
      </c>
      <c r="P74" s="74">
        <v>0.99</v>
      </c>
      <c r="Q74" s="74">
        <f>SEMLI!M74</f>
        <v>0.99344614988553581</v>
      </c>
      <c r="R74" s="75">
        <v>0.99</v>
      </c>
      <c r="S74" s="76">
        <f>SEMLI!O74</f>
        <v>0.997</v>
      </c>
      <c r="T74" s="76">
        <f>SEMLI!U74</f>
        <v>-1.0362294282579501E-2</v>
      </c>
      <c r="U74" s="76">
        <f>SEMLI!V74</f>
        <v>-6.1000000000000004E-3</v>
      </c>
    </row>
    <row r="75" spans="1:21" x14ac:dyDescent="0.35">
      <c r="A75" s="23" t="s">
        <v>51</v>
      </c>
      <c r="B75" s="23" t="s">
        <v>52</v>
      </c>
      <c r="C75" s="23">
        <v>12</v>
      </c>
      <c r="D75" s="23">
        <v>15</v>
      </c>
      <c r="E75" s="73">
        <f t="shared" si="4"/>
        <v>45199</v>
      </c>
      <c r="F75" s="4">
        <v>1998.7694832989341</v>
      </c>
      <c r="G75" s="4">
        <f>SEMLI!C75</f>
        <v>1560.7005099999999</v>
      </c>
      <c r="H75" s="22">
        <f>150/30</f>
        <v>5</v>
      </c>
      <c r="I75" s="4">
        <f>SEMLI!E75</f>
        <v>4.37</v>
      </c>
      <c r="J75" s="22">
        <f>157.1/30</f>
        <v>5.2366666666666664</v>
      </c>
      <c r="K75" s="4">
        <f>SEMLI!G75</f>
        <v>4.51</v>
      </c>
      <c r="L75" s="74">
        <f t="shared" si="0"/>
        <v>0.85676175431331514</v>
      </c>
      <c r="M75" s="74">
        <f t="shared" si="1"/>
        <v>0.77217330646683668</v>
      </c>
      <c r="N75" s="74">
        <f t="shared" si="2"/>
        <v>0.23133906056700626</v>
      </c>
      <c r="O75" s="74">
        <f t="shared" si="3"/>
        <v>0.18063663310185182</v>
      </c>
      <c r="P75" s="74">
        <v>0.99</v>
      </c>
      <c r="Q75" s="74">
        <f>SEMLI!M75</f>
        <v>0.99590000000000001</v>
      </c>
      <c r="R75" s="75">
        <v>0.99</v>
      </c>
      <c r="S75" s="76">
        <f>SEMLI!O75</f>
        <v>0.99880000000000002</v>
      </c>
      <c r="T75" s="76">
        <f>SEMLI!U75</f>
        <v>-1.17E-2</v>
      </c>
      <c r="U75" s="76">
        <f>SEMLI!V75</f>
        <v>-3.3E-3</v>
      </c>
    </row>
    <row r="76" spans="1:21" x14ac:dyDescent="0.35">
      <c r="A76" s="23" t="s">
        <v>51</v>
      </c>
      <c r="B76" s="23" t="s">
        <v>52</v>
      </c>
      <c r="C76" s="23">
        <v>12</v>
      </c>
      <c r="D76" s="23">
        <v>15</v>
      </c>
      <c r="E76" s="73">
        <f t="shared" si="4"/>
        <v>45230</v>
      </c>
      <c r="F76" s="4">
        <v>2174.2988146934572</v>
      </c>
      <c r="G76" s="4">
        <f>SEMLI!C76</f>
        <v>2042.0995800000001</v>
      </c>
      <c r="H76" s="22">
        <v>5.0225806451612902</v>
      </c>
      <c r="I76" s="4">
        <f>SEMLI!E76</f>
        <v>5.31</v>
      </c>
      <c r="J76" s="22">
        <v>5.7806451612903222</v>
      </c>
      <c r="K76" s="4">
        <f>SEMLI!G76</f>
        <v>5.77</v>
      </c>
      <c r="L76" s="74">
        <f t="shared" si="0"/>
        <v>0.81706154352056926</v>
      </c>
      <c r="M76" s="74">
        <f t="shared" si="1"/>
        <v>0.76401452034194406</v>
      </c>
      <c r="N76" s="74">
        <f t="shared" si="2"/>
        <v>0.24353705361709871</v>
      </c>
      <c r="O76" s="74">
        <f t="shared" si="3"/>
        <v>0.22872979166666668</v>
      </c>
      <c r="P76" s="74">
        <v>0.99</v>
      </c>
      <c r="Q76" s="74">
        <f>SEMLI!M76</f>
        <v>0.99619999999999997</v>
      </c>
      <c r="R76" s="75">
        <v>0.99</v>
      </c>
      <c r="S76" s="76">
        <f>SEMLI!O76</f>
        <v>1</v>
      </c>
      <c r="T76" s="76">
        <f>SEMLI!U76</f>
        <v>-1.34E-2</v>
      </c>
      <c r="U76" s="76">
        <f>SEMLI!V76</f>
        <v>-1.5699999999999999E-2</v>
      </c>
    </row>
    <row r="77" spans="1:21" x14ac:dyDescent="0.35">
      <c r="A77" s="23" t="s">
        <v>51</v>
      </c>
      <c r="B77" s="23" t="s">
        <v>52</v>
      </c>
      <c r="C77" s="23">
        <v>12</v>
      </c>
      <c r="D77" s="23">
        <v>15</v>
      </c>
      <c r="E77" s="73">
        <f t="shared" si="4"/>
        <v>45260</v>
      </c>
      <c r="F77" s="4">
        <v>1986.0294511815896</v>
      </c>
      <c r="G77" s="4">
        <f>SEMLI!C77</f>
        <v>1580.4998700000001</v>
      </c>
      <c r="H77" s="22">
        <f>129.1/30</f>
        <v>4.3033333333333328</v>
      </c>
      <c r="I77" s="4">
        <f>SEMLI!E77</f>
        <v>4.0599999999999996</v>
      </c>
      <c r="J77" s="4">
        <f>159.7/30</f>
        <v>5.3233333333333333</v>
      </c>
      <c r="K77" s="4">
        <f>SEMLI!G77</f>
        <v>4.51</v>
      </c>
      <c r="L77" s="74">
        <f t="shared" si="0"/>
        <v>0.83744118335582485</v>
      </c>
      <c r="M77" s="74">
        <f t="shared" si="1"/>
        <v>0.77938668747266859</v>
      </c>
      <c r="N77" s="74">
        <f t="shared" si="2"/>
        <v>0.22986451981268397</v>
      </c>
      <c r="O77" s="74">
        <f t="shared" si="3"/>
        <v>0.18292822569444445</v>
      </c>
      <c r="P77" s="74">
        <v>0.99</v>
      </c>
      <c r="Q77" s="74">
        <f>SEMLI!M77</f>
        <v>0.99919999999999998</v>
      </c>
      <c r="R77" s="75">
        <v>0.99</v>
      </c>
      <c r="S77" s="76">
        <f>SEMLI!O77</f>
        <v>0.99939999999999996</v>
      </c>
      <c r="T77" s="76">
        <f>SEMLI!U77</f>
        <v>-1.06422910798122E-2</v>
      </c>
      <c r="U77" s="76">
        <f>SEMLI!V77</f>
        <v>-1.29E-2</v>
      </c>
    </row>
    <row r="78" spans="1:21" x14ac:dyDescent="0.35">
      <c r="A78" s="23" t="s">
        <v>51</v>
      </c>
      <c r="B78" s="23" t="s">
        <v>52</v>
      </c>
      <c r="C78" s="23">
        <v>12</v>
      </c>
      <c r="D78" s="23">
        <v>15</v>
      </c>
      <c r="E78" s="73">
        <f t="shared" si="4"/>
        <v>45291</v>
      </c>
      <c r="F78" s="4">
        <v>1783.6044964282271</v>
      </c>
      <c r="G78" s="4">
        <f>SEMLI!C78</f>
        <v>1452.0009299999999</v>
      </c>
      <c r="H78" s="22">
        <f>112.3/31</f>
        <v>3.6225806451612903</v>
      </c>
      <c r="I78" s="4">
        <f>SEMLI!E78</f>
        <v>3.38</v>
      </c>
      <c r="J78" s="4">
        <f>142.2/31</f>
        <v>4.5870967741935482</v>
      </c>
      <c r="K78" s="4">
        <f>SEMLI!G78</f>
        <v>3.88</v>
      </c>
      <c r="L78" s="74">
        <f t="shared" si="0"/>
        <v>0.84464168001071527</v>
      </c>
      <c r="M78" s="74">
        <f t="shared" si="1"/>
        <v>0.80503085079165249</v>
      </c>
      <c r="N78" s="74">
        <f t="shared" si="2"/>
        <v>0.19977648929527633</v>
      </c>
      <c r="O78" s="74">
        <f t="shared" si="3"/>
        <v>0.16263451276881719</v>
      </c>
      <c r="P78" s="74">
        <v>0.99</v>
      </c>
      <c r="Q78" s="74">
        <f>SEMLI!M78</f>
        <v>0.99970000000000003</v>
      </c>
      <c r="R78" s="75">
        <v>0.99</v>
      </c>
      <c r="S78" s="76">
        <f>SEMLI!O78</f>
        <v>1</v>
      </c>
      <c r="T78" s="76">
        <f>SEMLI!U78</f>
        <v>-1.0763775718762299E-2</v>
      </c>
      <c r="U78" s="76">
        <f>SEMLI!V78</f>
        <v>-1.15E-2</v>
      </c>
    </row>
    <row r="79" spans="1:21" x14ac:dyDescent="0.35">
      <c r="A79" s="23" t="s">
        <v>51</v>
      </c>
      <c r="B79" s="23" t="s">
        <v>52</v>
      </c>
      <c r="C79" s="23">
        <v>12</v>
      </c>
      <c r="D79" s="23">
        <v>15</v>
      </c>
      <c r="E79" s="73">
        <f t="shared" si="4"/>
        <v>45322</v>
      </c>
      <c r="F79" s="4">
        <f>SEMLI!B79</f>
        <v>1950.640473077854</v>
      </c>
      <c r="G79" s="4">
        <f>SEMLI!C79</f>
        <v>1442.5996500000001</v>
      </c>
      <c r="H79" s="4">
        <f>SEMLI!D79</f>
        <v>4.0129032258064514</v>
      </c>
      <c r="I79" s="4">
        <f>SEMLI!E79</f>
        <v>3.48</v>
      </c>
      <c r="J79" s="4">
        <f>SEMLI!F79</f>
        <v>5.0451612903225804</v>
      </c>
      <c r="K79" s="4">
        <f>SEMLI!G79</f>
        <v>3.9</v>
      </c>
      <c r="L79" s="74">
        <f t="shared" si="0"/>
        <v>0.83987379036651855</v>
      </c>
      <c r="M79" s="74">
        <f t="shared" si="1"/>
        <v>0.79803186574208695</v>
      </c>
      <c r="N79" s="74">
        <f t="shared" si="2"/>
        <v>0.21848571607054817</v>
      </c>
      <c r="O79" s="74">
        <f t="shared" si="3"/>
        <v>0.16158150201612903</v>
      </c>
      <c r="P79" s="74">
        <v>0.99</v>
      </c>
      <c r="Q79" s="74">
        <f>SEMLI!M79</f>
        <v>0.99680000000000002</v>
      </c>
      <c r="R79" s="75">
        <v>0.99</v>
      </c>
      <c r="S79" s="76">
        <f>SEMLI!O79</f>
        <v>1</v>
      </c>
      <c r="T79" s="76">
        <f>SEMLI!U79</f>
        <v>-1.09018512170062E-2</v>
      </c>
      <c r="U79" s="76">
        <f>SEMLI!V79</f>
        <v>-1.06E-2</v>
      </c>
    </row>
    <row r="80" spans="1:21" x14ac:dyDescent="0.35">
      <c r="A80" s="23" t="s">
        <v>51</v>
      </c>
      <c r="B80" s="23" t="s">
        <v>52</v>
      </c>
      <c r="C80" s="23">
        <v>12</v>
      </c>
      <c r="D80" s="23">
        <v>15</v>
      </c>
      <c r="E80" s="73">
        <f t="shared" si="4"/>
        <v>45351</v>
      </c>
      <c r="F80" s="4">
        <f>SEMLI!B80</f>
        <v>1858.6291300081448</v>
      </c>
      <c r="G80" s="4">
        <f>SEMLI!C80</f>
        <v>1777.8007399999999</v>
      </c>
      <c r="H80" s="4">
        <f>SEMLI!D80</f>
        <v>4.6571428571428575</v>
      </c>
      <c r="I80" s="4">
        <f>SEMLI!E80</f>
        <v>4.91</v>
      </c>
      <c r="J80" s="4">
        <f>SEMLI!F80</f>
        <v>5.4535714285714301</v>
      </c>
      <c r="K80" s="4">
        <f>SEMLI!G80</f>
        <v>5.27</v>
      </c>
      <c r="L80" s="74">
        <f t="shared" ref="L80:L81" si="5">F80/J80/P80/DAY(E80)/15</f>
        <v>0.79138403037257143</v>
      </c>
      <c r="M80" s="74">
        <f t="shared" ref="M80:M81" si="6">G80/K80/Q80/DAY(E80)/15</f>
        <v>0.77565764630602829</v>
      </c>
      <c r="N80" s="74">
        <f t="shared" ref="N80:N81" si="7">F80/24/12/DAY(E80)</f>
        <v>0.22253701269254608</v>
      </c>
      <c r="O80" s="74">
        <f t="shared" ref="O80:O81" si="8">G80/24/12/DAY(E80)</f>
        <v>0.21285928400383139</v>
      </c>
      <c r="P80" s="74">
        <v>0.99</v>
      </c>
      <c r="Q80" s="74">
        <f>SEMLI!M80</f>
        <v>0.99980000000000002</v>
      </c>
      <c r="R80" s="75">
        <v>0.99</v>
      </c>
      <c r="S80" s="76">
        <f>SEMLI!O80</f>
        <v>1</v>
      </c>
      <c r="T80" s="76">
        <f>SEMLI!U80</f>
        <v>-1.1783913285158499E-2</v>
      </c>
      <c r="U80" s="76">
        <f>SEMLI!V80</f>
        <v>-1.37E-2</v>
      </c>
    </row>
    <row r="81" spans="1:21" x14ac:dyDescent="0.35">
      <c r="A81" s="23" t="s">
        <v>51</v>
      </c>
      <c r="B81" s="23" t="s">
        <v>52</v>
      </c>
      <c r="C81" s="23">
        <v>12</v>
      </c>
      <c r="D81" s="23">
        <v>15</v>
      </c>
      <c r="E81" s="73">
        <f t="shared" si="4"/>
        <v>45382</v>
      </c>
      <c r="F81" s="4">
        <f>SEMLI!B81</f>
        <v>2596.1354336899749</v>
      </c>
      <c r="G81" s="4">
        <f>SEMLI!C81</f>
        <v>2179.6015699999998</v>
      </c>
      <c r="H81" s="4">
        <f>SEMLI!D81</f>
        <v>6.2870967741935484</v>
      </c>
      <c r="I81" s="4">
        <f>SEMLI!E81</f>
        <v>5.99</v>
      </c>
      <c r="J81" s="4">
        <f>SEMLI!F81</f>
        <v>6.9129032258064518</v>
      </c>
      <c r="K81" s="4">
        <f>SEMLI!G81</f>
        <v>6.35</v>
      </c>
      <c r="L81" s="74">
        <f t="shared" si="5"/>
        <v>0.81579064362397502</v>
      </c>
      <c r="M81" s="74">
        <f t="shared" si="6"/>
        <v>0.73823369806288897</v>
      </c>
      <c r="N81" s="74">
        <f t="shared" si="7"/>
        <v>0.29078577886312446</v>
      </c>
      <c r="O81" s="74">
        <f t="shared" si="8"/>
        <v>0.24413100022401429</v>
      </c>
      <c r="P81" s="74">
        <v>0.99</v>
      </c>
      <c r="Q81" s="74">
        <f>SEMLI!M81</f>
        <v>0.99990000000000001</v>
      </c>
      <c r="R81" s="75">
        <v>0.99</v>
      </c>
      <c r="S81" s="76">
        <f>SEMLI!O81</f>
        <v>1</v>
      </c>
      <c r="T81" s="76">
        <f>SEMLI!U81</f>
        <v>-1.3100000000000001E-2</v>
      </c>
      <c r="U81" s="76">
        <f>SEMLI!V81</f>
        <v>-1.32E-2</v>
      </c>
    </row>
    <row r="82" spans="1:21" x14ac:dyDescent="0.35">
      <c r="A82" s="23" t="s">
        <v>51</v>
      </c>
      <c r="B82" s="23" t="s">
        <v>52</v>
      </c>
      <c r="C82" s="23">
        <v>12</v>
      </c>
      <c r="D82" s="23">
        <v>15</v>
      </c>
      <c r="E82" s="73">
        <f t="shared" si="4"/>
        <v>45412</v>
      </c>
      <c r="F82" s="4">
        <f>SEMLI!B82</f>
        <v>2419.1905431713012</v>
      </c>
      <c r="G82" s="4">
        <f>SEMLI!C82</f>
        <v>2013.3011799999999</v>
      </c>
      <c r="H82" s="4">
        <f>SEMLI!D82</f>
        <v>6.72</v>
      </c>
      <c r="I82" s="4">
        <f>SEMLI!E82</f>
        <v>6.15</v>
      </c>
      <c r="J82" s="4">
        <f>SEMLI!F82</f>
        <v>6.8733333333333331</v>
      </c>
      <c r="K82" s="4">
        <f>SEMLI!G82</f>
        <v>6.18</v>
      </c>
      <c r="L82" s="74">
        <f t="shared" ref="L82" si="9">F82/J82/P82/DAY(E82)/15</f>
        <v>0.79005069876629241</v>
      </c>
      <c r="M82" s="74">
        <f t="shared" ref="M82" si="10">G82/K82/Q82/DAY(E82)/15</f>
        <v>0.72641846716087477</v>
      </c>
      <c r="N82" s="74">
        <f t="shared" ref="N82" si="11">F82/24/12/DAY(E82)</f>
        <v>0.27999890545964135</v>
      </c>
      <c r="O82" s="74">
        <f t="shared" ref="O82" si="12">G82/24/12/DAY(E82)</f>
        <v>0.23302096990740739</v>
      </c>
      <c r="P82" s="74">
        <v>0.99</v>
      </c>
      <c r="Q82" s="74">
        <f>SEMLI!M82</f>
        <v>0.99660000000000004</v>
      </c>
      <c r="R82" s="75">
        <v>0.99</v>
      </c>
      <c r="S82" s="76">
        <f>SEMLI!O82</f>
        <v>0.99709999999999999</v>
      </c>
      <c r="T82" s="76">
        <f>SEMLI!U82</f>
        <v>-1.29425013482375E-2</v>
      </c>
      <c r="U82" s="76">
        <f>SEMLI!V82</f>
        <v>-1.3100000000000001E-2</v>
      </c>
    </row>
    <row r="83" spans="1:21" x14ac:dyDescent="0.35">
      <c r="A83" s="23" t="s">
        <v>51</v>
      </c>
      <c r="B83" s="23" t="s">
        <v>52</v>
      </c>
      <c r="C83" s="23">
        <v>12</v>
      </c>
      <c r="D83" s="23">
        <v>15</v>
      </c>
      <c r="E83" s="73">
        <f t="shared" si="4"/>
        <v>45443</v>
      </c>
      <c r="F83" s="4">
        <f>SEMLI!B83</f>
        <v>2434.7616935369447</v>
      </c>
      <c r="G83" s="4">
        <f>SEMLI!C83</f>
        <v>2148.1984000000002</v>
      </c>
      <c r="H83" s="4">
        <f>SEMLI!D83</f>
        <v>6.8</v>
      </c>
      <c r="I83" s="4">
        <f>SEMLI!E83</f>
        <v>6.7854099999999997</v>
      </c>
      <c r="J83" s="4">
        <f>SEMLI!F83</f>
        <v>6.6</v>
      </c>
      <c r="K83" s="4">
        <f>SEMLI!G83</f>
        <v>6.258</v>
      </c>
      <c r="L83" s="74">
        <f t="shared" ref="L83" si="13">F83/J83/P83/DAY(E83)/15</f>
        <v>0.801353941347968</v>
      </c>
      <c r="M83" s="74">
        <f t="shared" ref="M83" si="14">G83/K83/Q83/DAY(E83)/15</f>
        <v>0.73984778423307007</v>
      </c>
      <c r="N83" s="74">
        <f t="shared" ref="N83" si="15">F83/24/12/DAY(E83)</f>
        <v>0.27271076316498039</v>
      </c>
      <c r="O83" s="74">
        <f t="shared" ref="O83" si="16">G83/24/12/DAY(E83)</f>
        <v>0.2406136200716846</v>
      </c>
      <c r="P83" s="74">
        <v>0.99</v>
      </c>
      <c r="Q83" s="74">
        <f>SEMLI!M83</f>
        <v>0.99780000000000002</v>
      </c>
      <c r="R83" s="75">
        <v>0.99</v>
      </c>
      <c r="S83" s="76">
        <f>SEMLI!O83</f>
        <v>0.99870000000000003</v>
      </c>
      <c r="T83" s="76">
        <f>SEMLI!U83</f>
        <v>-1.36377244134257E-2</v>
      </c>
      <c r="U83" s="76">
        <f>SEMLI!V83</f>
        <v>-1.32E-2</v>
      </c>
    </row>
    <row r="84" spans="1:21" x14ac:dyDescent="0.35">
      <c r="A84" s="23" t="s">
        <v>51</v>
      </c>
      <c r="B84" s="23" t="s">
        <v>52</v>
      </c>
      <c r="C84" s="23">
        <v>12</v>
      </c>
      <c r="D84" s="23">
        <v>15</v>
      </c>
      <c r="E84" s="73">
        <f t="shared" si="4"/>
        <v>45473</v>
      </c>
      <c r="F84" s="4">
        <f>SEMLI!B84</f>
        <v>2007.2628380438298</v>
      </c>
      <c r="G84" s="4">
        <f>SEMLI!C84</f>
        <v>1760.0020500000001</v>
      </c>
      <c r="H84" s="4">
        <f>SEMLI!D84</f>
        <v>5.73</v>
      </c>
      <c r="I84" s="4">
        <f>SEMLI!E84</f>
        <v>5.56</v>
      </c>
      <c r="J84" s="4">
        <f>SEMLI!F84</f>
        <v>5.42</v>
      </c>
      <c r="K84" s="4">
        <f>SEMLI!G84</f>
        <v>5.08</v>
      </c>
      <c r="L84" s="74">
        <f t="shared" ref="L84" si="17">F84/J84/P84/DAY(E84)/15</f>
        <v>0.83129898329081287</v>
      </c>
      <c r="M84" s="74">
        <f t="shared" ref="M84" si="18">G84/K84/Q84/DAY(E84)/15</f>
        <v>0.77106125066865383</v>
      </c>
      <c r="N84" s="74">
        <f t="shared" ref="N84" si="19">F84/24/12/DAY(E84)</f>
        <v>0.23232208773655438</v>
      </c>
      <c r="O84" s="74">
        <f t="shared" ref="O84" si="20">G84/24/12/DAY(E84)</f>
        <v>0.20370394097222225</v>
      </c>
      <c r="P84" s="74">
        <v>0.99</v>
      </c>
      <c r="Q84" s="74">
        <f>SEMLI!M84</f>
        <v>0.99850000000000005</v>
      </c>
      <c r="R84" s="75">
        <v>0.99</v>
      </c>
      <c r="S84" s="76">
        <f>SEMLI!O84</f>
        <v>0.99990000000000001</v>
      </c>
      <c r="T84" s="76">
        <f>SEMLI!U84</f>
        <v>-1.1401421108801799E-2</v>
      </c>
      <c r="U84" s="76">
        <f>SEMLI!V84</f>
        <v>-9.7000000000000003E-3</v>
      </c>
    </row>
    <row r="85" spans="1:21" x14ac:dyDescent="0.35">
      <c r="A85" s="23" t="s">
        <v>51</v>
      </c>
      <c r="B85" s="23" t="s">
        <v>52</v>
      </c>
      <c r="C85" s="23">
        <v>12</v>
      </c>
      <c r="D85" s="23">
        <v>15</v>
      </c>
      <c r="E85" s="73">
        <f t="shared" si="4"/>
        <v>45504</v>
      </c>
      <c r="F85" s="4">
        <f>SEMLI!B85</f>
        <v>1625.0618745234954</v>
      </c>
      <c r="G85" s="4">
        <f>SEMLI!C85</f>
        <v>1337</v>
      </c>
      <c r="H85" s="4">
        <f>SEMLI!D85</f>
        <v>4.3419354838709676</v>
      </c>
      <c r="I85" s="4">
        <f>SEMLI!E85</f>
        <v>3.77</v>
      </c>
      <c r="J85" s="4">
        <f>SEMLI!F85</f>
        <v>4.1225806451612899</v>
      </c>
      <c r="K85" s="4">
        <f>SEMLI!G85</f>
        <v>3.54</v>
      </c>
      <c r="L85" s="74">
        <f t="shared" ref="L85" si="21">F85/J85/P85/DAY(E85)/15</f>
        <v>0.85627367810788935</v>
      </c>
      <c r="M85" s="74">
        <f t="shared" ref="M85" si="22">G85/K85/Q85/DAY(E85)/15</f>
        <v>0.81376899080125153</v>
      </c>
      <c r="N85" s="74">
        <f t="shared" ref="N85" si="23">F85/24/12/DAY(E85)</f>
        <v>0.18201857913569616</v>
      </c>
      <c r="O85" s="74">
        <f t="shared" ref="O85" si="24">G85/24/12/DAY(E85)</f>
        <v>0.1497535842293907</v>
      </c>
      <c r="P85" s="74">
        <v>0.99</v>
      </c>
      <c r="Q85" s="74">
        <f>SEMLI!M85</f>
        <v>0.99809999999999999</v>
      </c>
      <c r="R85" s="75">
        <v>0.99</v>
      </c>
      <c r="S85" s="76">
        <f>SEMLI!O85</f>
        <v>0.99880000000000002</v>
      </c>
      <c r="T85" s="76">
        <f>SEMLI!U85</f>
        <v>-9.7999999999999997E-3</v>
      </c>
      <c r="U85" s="76">
        <f>SEMLI!V85</f>
        <v>-1E-3</v>
      </c>
    </row>
    <row r="86" spans="1:21" x14ac:dyDescent="0.35">
      <c r="A86" s="23" t="s">
        <v>51</v>
      </c>
      <c r="B86" s="23" t="s">
        <v>52</v>
      </c>
      <c r="C86" s="23">
        <v>12</v>
      </c>
      <c r="D86" s="23">
        <v>15</v>
      </c>
      <c r="E86" s="73">
        <f t="shared" si="4"/>
        <v>45535</v>
      </c>
      <c r="F86" s="4">
        <f>SEMLI!B86</f>
        <v>1288.1588029759416</v>
      </c>
      <c r="G86" s="4">
        <f>SEMLI!C86</f>
        <v>1385.5000640000001</v>
      </c>
      <c r="H86" s="4">
        <f>SEMLI!D86</f>
        <v>3.3774193548387097</v>
      </c>
      <c r="I86" s="4">
        <f>SEMLI!E86</f>
        <v>3.87</v>
      </c>
      <c r="J86" s="4">
        <f>SEMLI!F86</f>
        <v>3.2806451612903227</v>
      </c>
      <c r="K86" s="4">
        <f>SEMLI!G86</f>
        <v>3.7</v>
      </c>
      <c r="L86" s="74">
        <f t="shared" ref="L86" si="25">F86/J86/P86/DAY(E86)/15</f>
        <v>0.85294690793609085</v>
      </c>
      <c r="M86" s="74">
        <f t="shared" ref="M86" si="26">G86/K86/Q86/DAY(E86)/15</f>
        <v>0.80811760895771056</v>
      </c>
      <c r="N86" s="74">
        <f t="shared" ref="N86" si="27">F86/24/12/DAY(E86)</f>
        <v>0.14428302004658844</v>
      </c>
      <c r="O86" s="74">
        <f t="shared" ref="O86" si="28">G86/24/12/DAY(E86)</f>
        <v>0.15518593906810035</v>
      </c>
      <c r="P86" s="74">
        <v>0.99</v>
      </c>
      <c r="Q86" s="74">
        <f>SEMLI!M86</f>
        <v>0.99650000000000005</v>
      </c>
      <c r="R86" s="75">
        <v>0.99</v>
      </c>
      <c r="S86" s="76">
        <f>SEMLI!O86</f>
        <v>0.99739999999999995</v>
      </c>
      <c r="T86" s="76">
        <f>SEMLI!U86</f>
        <v>-9.0830610785274293E-3</v>
      </c>
      <c r="U86" s="76">
        <f>SEMLI!V86</f>
        <v>-8.0000000000000004E-4</v>
      </c>
    </row>
    <row r="87" spans="1:21" x14ac:dyDescent="0.35">
      <c r="A87" s="23" t="s">
        <v>51</v>
      </c>
      <c r="B87" s="23" t="s">
        <v>52</v>
      </c>
      <c r="C87" s="23">
        <v>12</v>
      </c>
      <c r="D87" s="23">
        <v>15</v>
      </c>
      <c r="E87" s="73">
        <f t="shared" si="4"/>
        <v>45565</v>
      </c>
      <c r="F87" s="4">
        <f>SEMLI!B87</f>
        <v>1988.4930335133361</v>
      </c>
      <c r="G87" s="4">
        <f>SEMLI!C87</f>
        <v>1529.8</v>
      </c>
      <c r="H87" s="4">
        <f>SEMLI!D87</f>
        <v>5</v>
      </c>
      <c r="I87" s="4">
        <f>SEMLI!E87</f>
        <v>4.3</v>
      </c>
      <c r="J87" s="4">
        <f>SEMLI!F87</f>
        <v>5.2366666666666664</v>
      </c>
      <c r="K87" s="4">
        <f>SEMLI!G87</f>
        <v>4.3600000000000003</v>
      </c>
      <c r="L87" s="74">
        <f t="shared" ref="L87" si="29">F87/J87/P87/DAY(E87)/15</f>
        <v>0.85235680956106208</v>
      </c>
      <c r="M87" s="74">
        <f t="shared" ref="M87" si="30">G87/K87/Q87/DAY(E87)/15</f>
        <v>0.78268879438093086</v>
      </c>
      <c r="N87" s="74">
        <f t="shared" ref="N87" si="31">F87/24/12/DAY(E87)</f>
        <v>0.23014965665663611</v>
      </c>
      <c r="O87" s="74">
        <f t="shared" ref="O87" si="32">G87/24/12/DAY(E87)</f>
        <v>0.17706018518518521</v>
      </c>
      <c r="P87" s="74">
        <v>0.99</v>
      </c>
      <c r="Q87" s="74">
        <f>SEMLI!M87</f>
        <v>0.99619999999999997</v>
      </c>
      <c r="R87" s="75">
        <v>0.99</v>
      </c>
      <c r="S87" s="76">
        <f>SEMLI!O87</f>
        <v>0.998</v>
      </c>
      <c r="T87" s="76">
        <f>SEMLI!U87</f>
        <v>-1.18E-2</v>
      </c>
      <c r="U87" s="76">
        <f>SEMLI!V87</f>
        <v>-1.1999999999999999E-3</v>
      </c>
    </row>
    <row r="88" spans="1:21" x14ac:dyDescent="0.35">
      <c r="A88" s="23" t="s">
        <v>51</v>
      </c>
      <c r="B88" s="23" t="s">
        <v>52</v>
      </c>
      <c r="C88" s="23">
        <v>12</v>
      </c>
      <c r="D88" s="23">
        <v>15</v>
      </c>
      <c r="E88" s="73">
        <f t="shared" si="4"/>
        <v>45596</v>
      </c>
      <c r="F88" s="4">
        <f>SEMLI!B88</f>
        <v>2163.1199004790951</v>
      </c>
      <c r="G88" s="4">
        <f>SEMLI!C88</f>
        <v>1880.5</v>
      </c>
      <c r="H88" s="4">
        <f>SEMLI!D88</f>
        <v>5.0225806451612902</v>
      </c>
      <c r="I88" s="4">
        <f>SEMLI!E88</f>
        <v>4.8571636602129002</v>
      </c>
      <c r="J88" s="4">
        <f>SEMLI!F88</f>
        <v>5.7806451612903222</v>
      </c>
      <c r="K88" s="4">
        <f>SEMLI!G88</f>
        <v>5.17</v>
      </c>
      <c r="L88" s="74">
        <f t="shared" ref="L88" si="33">F88/J88/P88/DAY(E88)/15</f>
        <v>0.81286071296262286</v>
      </c>
      <c r="M88" s="74">
        <f t="shared" ref="M88" si="34">G88/K88/Q88/DAY(E88)/15</f>
        <v>0.78378924609477685</v>
      </c>
      <c r="N88" s="74">
        <f t="shared" ref="N88" si="35">F88/24/12/DAY(E88)</f>
        <v>0.24228493508950436</v>
      </c>
      <c r="O88" s="74">
        <f t="shared" ref="O88" si="36">G88/24/12/DAY(E88)</f>
        <v>0.21062948028673836</v>
      </c>
      <c r="P88" s="74">
        <v>0.99</v>
      </c>
      <c r="Q88" s="74">
        <f>SEMLI!M88</f>
        <v>0.998</v>
      </c>
      <c r="R88" s="75">
        <v>0.99</v>
      </c>
      <c r="S88" s="76">
        <f>SEMLI!O88</f>
        <v>0.99850000000000005</v>
      </c>
      <c r="T88" s="76">
        <f>SEMLI!U88</f>
        <v>-1.2800000000000001E-2</v>
      </c>
      <c r="U88" s="76">
        <f>SEMLI!V88</f>
        <v>-1.0999999999999999E-2</v>
      </c>
    </row>
    <row r="89" spans="1:21" x14ac:dyDescent="0.35">
      <c r="A89" s="23" t="s">
        <v>51</v>
      </c>
      <c r="B89" s="23" t="s">
        <v>52</v>
      </c>
      <c r="C89" s="23">
        <v>12</v>
      </c>
      <c r="D89" s="23">
        <v>15</v>
      </c>
      <c r="E89" s="73">
        <f t="shared" si="4"/>
        <v>45626</v>
      </c>
      <c r="F89" s="4">
        <f>SEMLI!B89</f>
        <v>1975.8185028464659</v>
      </c>
      <c r="G89" s="4">
        <f>SEMLI!C89</f>
        <v>1766.2</v>
      </c>
      <c r="H89" s="4">
        <f>SEMLI!D89</f>
        <v>4.3033333333333328</v>
      </c>
      <c r="I89" s="4">
        <f>SEMLI!E89</f>
        <v>4.41</v>
      </c>
      <c r="J89" s="4">
        <f>SEMLI!F89</f>
        <v>5.3233333333333333</v>
      </c>
      <c r="K89" s="4">
        <f>SEMLI!G89</f>
        <v>5</v>
      </c>
      <c r="L89" s="74">
        <f t="shared" ref="L89" si="37">F89/J89/P89/DAY(E89)/15</f>
        <v>0.83313557315862263</v>
      </c>
      <c r="M89" s="74">
        <f t="shared" ref="M89" si="38">G89/K89/Q89/DAY(E89)/15</f>
        <v>0.78529189453559189</v>
      </c>
      <c r="N89" s="74">
        <f t="shared" ref="N89" si="39">F89/24/12/DAY(E89)</f>
        <v>0.22868269708871133</v>
      </c>
      <c r="O89" s="74">
        <f t="shared" ref="O89" si="40">G89/24/12/DAY(E89)</f>
        <v>0.2044212962962963</v>
      </c>
      <c r="P89" s="74">
        <v>0.99</v>
      </c>
      <c r="Q89" s="74">
        <f>SEMLI!M89</f>
        <v>0.99960000000000004</v>
      </c>
      <c r="R89" s="75">
        <v>0.99</v>
      </c>
      <c r="S89" s="76">
        <f>SEMLI!O89</f>
        <v>1</v>
      </c>
      <c r="T89" s="76">
        <f>SEMLI!U89</f>
        <v>-1.14E-2</v>
      </c>
      <c r="U89" s="76">
        <f>SEMLI!V89</f>
        <v>-1.2999999999999999E-2</v>
      </c>
    </row>
    <row r="90" spans="1:21" x14ac:dyDescent="0.35">
      <c r="A90" s="23" t="s">
        <v>51</v>
      </c>
      <c r="B90" s="23" t="s">
        <v>52</v>
      </c>
      <c r="C90" s="23">
        <v>12</v>
      </c>
      <c r="D90" s="23">
        <v>15</v>
      </c>
      <c r="E90" s="73">
        <f t="shared" si="4"/>
        <v>45657</v>
      </c>
      <c r="F90" s="4">
        <f>SEMLI!B90</f>
        <v>1774.4342933617579</v>
      </c>
      <c r="G90" s="4">
        <f>SEMLI!C90</f>
        <v>1636.6</v>
      </c>
      <c r="H90" s="4">
        <f>SEMLI!D90</f>
        <v>3.6225806451612903</v>
      </c>
      <c r="I90" s="4">
        <f>SEMLI!E90</f>
        <v>3.69</v>
      </c>
      <c r="J90" s="4">
        <f>SEMLI!F90</f>
        <v>4.5870967741935482</v>
      </c>
      <c r="K90" s="4">
        <f>SEMLI!G90</f>
        <v>4.3499999999999996</v>
      </c>
      <c r="L90" s="74">
        <f t="shared" ref="L90" si="41">F90/J90/P90/DAY(E90)/15</f>
        <v>0.84029904926515875</v>
      </c>
      <c r="M90" s="74">
        <f t="shared" ref="M90" si="42">G90/K90/Q90/DAY(E90)/15</f>
        <v>0.81006860933651847</v>
      </c>
      <c r="N90" s="74">
        <f t="shared" ref="N90" si="43">F90/24/12/DAY(E90)</f>
        <v>0.19874936081560907</v>
      </c>
      <c r="O90" s="74">
        <f t="shared" ref="O90" si="44">G90/24/12/DAY(E90)</f>
        <v>0.18331093189964157</v>
      </c>
      <c r="P90" s="74">
        <v>0.99</v>
      </c>
      <c r="Q90" s="74">
        <f>SEMLI!M90</f>
        <v>0.99880000000000002</v>
      </c>
      <c r="R90" s="75">
        <v>0.99</v>
      </c>
      <c r="S90" s="76">
        <f>SEMLI!O90</f>
        <v>1</v>
      </c>
      <c r="T90" s="76">
        <f>SEMLI!U90</f>
        <v>-1.12E-2</v>
      </c>
      <c r="U90" s="76">
        <f>SEMLI!V90</f>
        <v>-8.2000000000000007E-3</v>
      </c>
    </row>
    <row r="91" spans="1:21" x14ac:dyDescent="0.35">
      <c r="A91" s="23" t="s">
        <v>51</v>
      </c>
      <c r="B91" s="23" t="s">
        <v>52</v>
      </c>
      <c r="C91" s="23">
        <v>12</v>
      </c>
      <c r="D91" s="23">
        <v>15</v>
      </c>
      <c r="E91" s="73">
        <f t="shared" si="4"/>
        <v>45688</v>
      </c>
      <c r="F91" s="4">
        <f>SEMLI!B91</f>
        <v>1941.4407384512788</v>
      </c>
      <c r="G91" s="4">
        <f>SEMLI!C91</f>
        <v>1818.3</v>
      </c>
      <c r="H91" s="4">
        <f>SEMLI!D91</f>
        <v>4.0129032258064514</v>
      </c>
      <c r="I91" s="4">
        <f>SEMLI!E91</f>
        <v>4.2569999999999997</v>
      </c>
      <c r="J91" s="4">
        <f>SEMLI!F91</f>
        <v>5.0451612903225804</v>
      </c>
      <c r="K91" s="4">
        <f>SEMLI!G91</f>
        <v>4.84</v>
      </c>
      <c r="L91" s="74">
        <f t="shared" ref="L91:L92" si="45">F91/J91/P91/DAY(E91)/15</f>
        <v>0.83591272419475182</v>
      </c>
      <c r="M91" s="74">
        <f t="shared" ref="M91:M92" si="46">G91/K91/Q91/DAY(E91)/15</f>
        <v>0.80880757689763727</v>
      </c>
      <c r="N91" s="74">
        <f t="shared" ref="N91:N92" si="47">F91/24/12/DAY(E91)</f>
        <v>0.21745527984445329</v>
      </c>
      <c r="O91" s="74">
        <f t="shared" ref="O91:O92" si="48">G91/24/12/DAY(E91)</f>
        <v>0.20366263440860216</v>
      </c>
      <c r="P91" s="74">
        <v>0.99</v>
      </c>
      <c r="Q91" s="74">
        <f>SEMLI!M91</f>
        <v>0.99890000000000001</v>
      </c>
      <c r="R91" s="75">
        <v>0.99</v>
      </c>
      <c r="S91" s="76">
        <f>SEMLI!O91</f>
        <v>1</v>
      </c>
      <c r="T91" s="76">
        <f>SEMLI!U91</f>
        <v>-1.3100000000000001E-2</v>
      </c>
      <c r="U91" s="76">
        <f>SEMLI!V91</f>
        <v>-6.7999999999999996E-3</v>
      </c>
    </row>
    <row r="92" spans="1:21" x14ac:dyDescent="0.35">
      <c r="A92" s="23" t="s">
        <v>51</v>
      </c>
      <c r="B92" s="23" t="s">
        <v>52</v>
      </c>
      <c r="C92" s="23">
        <v>12</v>
      </c>
      <c r="D92" s="23">
        <v>15</v>
      </c>
      <c r="E92" s="73">
        <f t="shared" si="4"/>
        <v>45716</v>
      </c>
      <c r="F92" s="4">
        <f>SEMLI!B92</f>
        <v>1849.8633451281055</v>
      </c>
      <c r="G92" s="4">
        <f>SEMLI!C92</f>
        <v>1982.6</v>
      </c>
      <c r="H92" s="4">
        <f>SEMLI!D92</f>
        <v>4.66</v>
      </c>
      <c r="I92" s="4">
        <f>SEMLI!E92</f>
        <v>5.51</v>
      </c>
      <c r="J92" s="4">
        <f>SEMLI!F92</f>
        <v>5.45</v>
      </c>
      <c r="K92" s="4">
        <f>SEMLI!G92</f>
        <v>6.13</v>
      </c>
      <c r="L92" s="74">
        <f t="shared" si="45"/>
        <v>0.81631665944199772</v>
      </c>
      <c r="M92" s="74">
        <f t="shared" si="46"/>
        <v>0.77021541183867936</v>
      </c>
      <c r="N92" s="74">
        <f t="shared" si="47"/>
        <v>0.22939773625100515</v>
      </c>
      <c r="O92" s="74">
        <f t="shared" si="48"/>
        <v>0.24585813492063494</v>
      </c>
      <c r="P92" s="74">
        <v>0.99</v>
      </c>
      <c r="Q92" s="74">
        <f>SEMLI!M92</f>
        <v>0.99980000000000002</v>
      </c>
      <c r="R92" s="75">
        <v>0.99</v>
      </c>
      <c r="S92" s="76">
        <f>SEMLI!O92</f>
        <v>1</v>
      </c>
      <c r="T92" s="76">
        <f>SEMLI!U92</f>
        <v>-1.4500000000000001E-2</v>
      </c>
      <c r="U92" s="76">
        <f>SEMLI!V92</f>
        <v>-1.2800000000000001E-2</v>
      </c>
    </row>
  </sheetData>
  <mergeCells count="1">
    <mergeCell ref="E1:U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26EC-7A53-468C-BA3C-815ADA6DFFBF}">
  <dimension ref="A1:T42"/>
  <sheetViews>
    <sheetView zoomScale="80" zoomScaleNormal="8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U3" sqref="U3"/>
    </sheetView>
  </sheetViews>
  <sheetFormatPr defaultRowHeight="14.5" x14ac:dyDescent="0.35"/>
  <cols>
    <col min="2" max="2" width="9.90625" customWidth="1"/>
    <col min="3" max="3" width="9.54296875" customWidth="1"/>
    <col min="5" max="5" width="9.1796875" customWidth="1"/>
    <col min="11" max="12" width="9.54296875" customWidth="1"/>
    <col min="16" max="16" width="10.08984375" customWidth="1"/>
    <col min="18" max="18" width="9.453125" bestFit="1" customWidth="1"/>
    <col min="19" max="19" width="9.1796875" bestFit="1" customWidth="1"/>
  </cols>
  <sheetData>
    <row r="1" spans="1:20" ht="15" thickBot="1" x14ac:dyDescent="0.4">
      <c r="B1" s="128" t="s">
        <v>67</v>
      </c>
      <c r="C1" s="129"/>
      <c r="D1" s="130"/>
      <c r="E1" s="128" t="s">
        <v>68</v>
      </c>
      <c r="F1" s="129"/>
      <c r="G1" s="130"/>
      <c r="H1" s="128" t="s">
        <v>69</v>
      </c>
      <c r="I1" s="129"/>
      <c r="J1" s="130"/>
      <c r="K1" s="131" t="s">
        <v>70</v>
      </c>
      <c r="L1" s="132"/>
      <c r="M1" s="132"/>
      <c r="N1" s="132"/>
      <c r="O1" s="132"/>
      <c r="P1" s="132"/>
      <c r="Q1" s="132"/>
      <c r="R1" s="132"/>
      <c r="S1" s="132"/>
      <c r="T1" s="133"/>
    </row>
    <row r="2" spans="1:20" ht="60" x14ac:dyDescent="0.35">
      <c r="B2" s="89" t="s">
        <v>55</v>
      </c>
      <c r="C2" s="90" t="s">
        <v>56</v>
      </c>
      <c r="D2" s="91" t="s">
        <v>57</v>
      </c>
      <c r="E2" s="89" t="s">
        <v>55</v>
      </c>
      <c r="F2" s="90" t="s">
        <v>56</v>
      </c>
      <c r="G2" s="91" t="s">
        <v>57</v>
      </c>
      <c r="H2" s="89" t="s">
        <v>55</v>
      </c>
      <c r="I2" s="90" t="s">
        <v>58</v>
      </c>
      <c r="J2" s="91" t="s">
        <v>57</v>
      </c>
      <c r="K2" s="89" t="s">
        <v>55</v>
      </c>
      <c r="L2" s="90" t="s">
        <v>58</v>
      </c>
      <c r="M2" s="92" t="s">
        <v>57</v>
      </c>
      <c r="N2" s="93" t="s">
        <v>59</v>
      </c>
      <c r="O2" s="94" t="s">
        <v>60</v>
      </c>
      <c r="P2" s="90" t="s">
        <v>56</v>
      </c>
      <c r="Q2" s="92" t="s">
        <v>57</v>
      </c>
      <c r="R2" s="95" t="s">
        <v>61</v>
      </c>
      <c r="S2" s="90" t="s">
        <v>62</v>
      </c>
      <c r="T2" s="91" t="s">
        <v>57</v>
      </c>
    </row>
    <row r="3" spans="1:20" x14ac:dyDescent="0.35">
      <c r="A3" s="96">
        <v>45170</v>
      </c>
      <c r="B3" s="97">
        <v>6.0736667300000002</v>
      </c>
      <c r="C3" s="98">
        <v>6.1682861600000001</v>
      </c>
      <c r="D3" s="99">
        <f t="shared" ref="D3:D33" si="0">C3/B3-1</f>
        <v>1.5578633831296873E-2</v>
      </c>
      <c r="E3" s="97">
        <v>5.2062769100000006</v>
      </c>
      <c r="F3" s="98">
        <v>5.2453055300000004</v>
      </c>
      <c r="G3" s="99">
        <f t="shared" ref="G3:G33" si="1">F3/E3-1</f>
        <v>7.4964548898726058E-3</v>
      </c>
      <c r="H3" s="97">
        <v>3.527880551</v>
      </c>
      <c r="I3" s="98">
        <v>3.5564195000000001</v>
      </c>
      <c r="J3" s="99">
        <f t="shared" ref="J3:J33" si="2">I3/H3-1</f>
        <v>8.0895451496820758E-3</v>
      </c>
      <c r="K3" s="97">
        <v>5.1304667099999994</v>
      </c>
      <c r="L3" s="98">
        <v>5.20761947</v>
      </c>
      <c r="M3" s="99">
        <f t="shared" ref="M3:M33" si="3">L3/K3-1</f>
        <v>1.5038156246023116E-2</v>
      </c>
      <c r="N3" s="99">
        <f>AVERAGE(J3,G3,D3)</f>
        <v>1.0388211290283852E-2</v>
      </c>
      <c r="O3" s="100">
        <f t="shared" ref="O3:O8" si="4">K3*(1+N3)</f>
        <v>5.1837630822012466</v>
      </c>
      <c r="P3" s="98">
        <v>5.1859248399999993</v>
      </c>
      <c r="Q3" s="99">
        <f t="shared" ref="Q3:Q33" si="5">P3/K3-1</f>
        <v>1.0809568239065648E-2</v>
      </c>
      <c r="R3" s="98">
        <v>4.9272516399999997</v>
      </c>
      <c r="S3" s="98">
        <v>4.8681667619999995</v>
      </c>
      <c r="T3" s="101">
        <f t="shared" ref="T3:T33" si="6">S3/R3-1</f>
        <v>-1.1991447223913321E-2</v>
      </c>
    </row>
    <row r="4" spans="1:20" x14ac:dyDescent="0.35">
      <c r="A4" s="96">
        <f>A3+1</f>
        <v>45171</v>
      </c>
      <c r="B4" s="102">
        <v>4.5674442500000003</v>
      </c>
      <c r="C4" s="103">
        <v>4.5460528300000016</v>
      </c>
      <c r="D4" s="99">
        <f t="shared" si="0"/>
        <v>-4.6834550854121249E-3</v>
      </c>
      <c r="E4" s="102">
        <v>4.8976168200000005</v>
      </c>
      <c r="F4" s="103">
        <v>4.782025</v>
      </c>
      <c r="G4" s="99">
        <f t="shared" si="1"/>
        <v>-2.3601646320710046E-2</v>
      </c>
      <c r="H4" s="102">
        <v>5.5518469599999989</v>
      </c>
      <c r="I4" s="103">
        <v>5.6355060199999993</v>
      </c>
      <c r="J4" s="99">
        <f t="shared" si="2"/>
        <v>1.5068689861724938E-2</v>
      </c>
      <c r="K4" s="102">
        <v>6.1810112699999999</v>
      </c>
      <c r="L4" s="103">
        <v>6.2744609999999996</v>
      </c>
      <c r="M4" s="99">
        <f t="shared" si="3"/>
        <v>1.5118841548399153E-2</v>
      </c>
      <c r="N4" s="99">
        <f t="shared" ref="N4:N32" si="7">AVERAGE(J4,G4,D4)</f>
        <v>-4.4054705147990774E-3</v>
      </c>
      <c r="O4" s="100">
        <f t="shared" si="4"/>
        <v>6.1537810070983738</v>
      </c>
      <c r="P4" s="103">
        <v>6.2698193500000006</v>
      </c>
      <c r="Q4" s="99">
        <f t="shared" si="5"/>
        <v>1.4367888379533733E-2</v>
      </c>
      <c r="R4" s="98">
        <v>6.2980779299999998</v>
      </c>
      <c r="S4" s="98">
        <v>6.2866873600000002</v>
      </c>
      <c r="T4" s="101">
        <f t="shared" si="6"/>
        <v>-1.8085787642833084E-3</v>
      </c>
    </row>
    <row r="5" spans="1:20" x14ac:dyDescent="0.35">
      <c r="A5" s="96">
        <f t="shared" ref="A5:A32" si="8">A4+1</f>
        <v>45172</v>
      </c>
      <c r="B5" s="102">
        <v>2.5965944839999997</v>
      </c>
      <c r="C5" s="98">
        <v>2.5802695330000001</v>
      </c>
      <c r="D5" s="99">
        <f t="shared" si="0"/>
        <v>-6.2870621887987088E-3</v>
      </c>
      <c r="E5" s="102">
        <v>5.6061971900000005</v>
      </c>
      <c r="F5" s="98">
        <v>5.5394109460000012</v>
      </c>
      <c r="G5" s="99">
        <f t="shared" si="1"/>
        <v>-1.1912931660543191E-2</v>
      </c>
      <c r="H5" s="102">
        <v>6.5646054799999991</v>
      </c>
      <c r="I5" s="98">
        <v>6.731128120000001</v>
      </c>
      <c r="J5" s="99">
        <f t="shared" si="2"/>
        <v>2.5366739936975247E-2</v>
      </c>
      <c r="K5" s="102">
        <v>6.1204501000000002</v>
      </c>
      <c r="L5" s="98">
        <v>6.2164333900000006</v>
      </c>
      <c r="M5" s="99">
        <f t="shared" si="3"/>
        <v>1.568239074443234E-2</v>
      </c>
      <c r="N5" s="99">
        <f t="shared" si="7"/>
        <v>2.388915362544449E-3</v>
      </c>
      <c r="O5" s="100">
        <f t="shared" si="4"/>
        <v>6.1350713372695775</v>
      </c>
      <c r="P5" s="98">
        <v>6.2635889699999998</v>
      </c>
      <c r="Q5" s="99">
        <f t="shared" si="5"/>
        <v>2.3386984235031827E-2</v>
      </c>
      <c r="R5" s="98">
        <v>5.9844025199999997</v>
      </c>
      <c r="S5" s="98">
        <v>5.9782790280000002</v>
      </c>
      <c r="T5" s="101">
        <f t="shared" si="6"/>
        <v>-1.0232419994368191E-3</v>
      </c>
    </row>
    <row r="6" spans="1:20" x14ac:dyDescent="0.35">
      <c r="A6" s="96">
        <f t="shared" si="8"/>
        <v>45173</v>
      </c>
      <c r="B6" s="102">
        <v>6.6619026400000001</v>
      </c>
      <c r="C6" s="98">
        <v>6.7932251500000014</v>
      </c>
      <c r="D6" s="99">
        <f t="shared" si="0"/>
        <v>1.9712463104984757E-2</v>
      </c>
      <c r="E6" s="102">
        <v>6.1556841800000006</v>
      </c>
      <c r="F6" s="98">
        <v>6.1767025900000005</v>
      </c>
      <c r="G6" s="99">
        <f t="shared" si="1"/>
        <v>3.4144717931257063E-3</v>
      </c>
      <c r="H6" s="102">
        <v>6.4209638399999998</v>
      </c>
      <c r="I6" s="98">
        <v>6.5953527699999999</v>
      </c>
      <c r="J6" s="99">
        <f t="shared" si="2"/>
        <v>2.7159307285555379E-2</v>
      </c>
      <c r="K6" s="102">
        <v>5.7054499500000002</v>
      </c>
      <c r="L6" s="98">
        <v>5.9326832299999994</v>
      </c>
      <c r="M6" s="99">
        <f t="shared" si="3"/>
        <v>3.9827407477301513E-2</v>
      </c>
      <c r="N6" s="99">
        <f t="shared" si="7"/>
        <v>1.6762080727888613E-2</v>
      </c>
      <c r="O6" s="100">
        <f t="shared" si="4"/>
        <v>5.8010851626508275</v>
      </c>
      <c r="P6" s="98">
        <v>5.8586109799999999</v>
      </c>
      <c r="Q6" s="99">
        <f t="shared" si="5"/>
        <v>2.6844689085389284E-2</v>
      </c>
      <c r="R6" s="98">
        <v>5.7485649800000003</v>
      </c>
      <c r="S6" s="98">
        <v>5.7612113899999997</v>
      </c>
      <c r="T6" s="101">
        <f t="shared" si="6"/>
        <v>2.1999246845079146E-3</v>
      </c>
    </row>
    <row r="7" spans="1:20" x14ac:dyDescent="0.35">
      <c r="A7" s="96">
        <f t="shared" si="8"/>
        <v>45174</v>
      </c>
      <c r="B7" s="102">
        <v>6.3963890700000015</v>
      </c>
      <c r="C7" s="98">
        <v>6.5663802499999999</v>
      </c>
      <c r="D7" s="99">
        <f t="shared" si="0"/>
        <v>2.65761163274576E-2</v>
      </c>
      <c r="E7" s="102">
        <v>3.5478578300000003</v>
      </c>
      <c r="F7" s="98">
        <v>3.5535970829999997</v>
      </c>
      <c r="G7" s="99">
        <f t="shared" si="1"/>
        <v>1.6176671318306468E-3</v>
      </c>
      <c r="H7" s="102">
        <v>6.5232583599999989</v>
      </c>
      <c r="I7" s="98">
        <v>6.7057221600000005</v>
      </c>
      <c r="J7" s="99">
        <f t="shared" si="2"/>
        <v>2.7971266801090078E-2</v>
      </c>
      <c r="K7" s="102">
        <v>6.6934000199999995</v>
      </c>
      <c r="L7" s="98">
        <v>6.6934000199999995</v>
      </c>
      <c r="M7" s="99">
        <f t="shared" si="3"/>
        <v>0</v>
      </c>
      <c r="N7" s="99">
        <f t="shared" si="7"/>
        <v>1.8721683420126107E-2</v>
      </c>
      <c r="O7" s="100">
        <f t="shared" si="4"/>
        <v>6.8187117361787051</v>
      </c>
      <c r="P7" s="98">
        <v>6.6265968800000001</v>
      </c>
      <c r="Q7" s="99">
        <f t="shared" si="5"/>
        <v>-9.9804493680925033E-3</v>
      </c>
      <c r="R7" s="98">
        <v>6.4751023500000002</v>
      </c>
      <c r="S7" s="98">
        <v>6.5154181800000002</v>
      </c>
      <c r="T7" s="101">
        <f t="shared" si="6"/>
        <v>6.2262845930149968E-3</v>
      </c>
    </row>
    <row r="8" spans="1:20" x14ac:dyDescent="0.35">
      <c r="A8" s="96">
        <f t="shared" si="8"/>
        <v>45175</v>
      </c>
      <c r="B8" s="102">
        <v>6.0991249499999993</v>
      </c>
      <c r="C8" s="98">
        <v>6.2257946299999984</v>
      </c>
      <c r="D8" s="99">
        <f t="shared" si="0"/>
        <v>2.0768500569905424E-2</v>
      </c>
      <c r="E8" s="102">
        <v>5.3104989500000013</v>
      </c>
      <c r="F8" s="98">
        <v>5.3074390100000004</v>
      </c>
      <c r="G8" s="99">
        <f t="shared" si="1"/>
        <v>-5.7620574428340898E-4</v>
      </c>
      <c r="H8" s="102">
        <v>6.3589948500000002</v>
      </c>
      <c r="I8" s="98">
        <v>6.5957975399999995</v>
      </c>
      <c r="J8" s="99">
        <f t="shared" si="2"/>
        <v>3.7239012703399021E-2</v>
      </c>
      <c r="K8" s="102">
        <v>3.3585305399999998</v>
      </c>
      <c r="L8" s="98">
        <v>3.3912609600000003</v>
      </c>
      <c r="M8" s="99">
        <f t="shared" si="3"/>
        <v>9.7454585004310701E-3</v>
      </c>
      <c r="N8" s="99">
        <f t="shared" si="7"/>
        <v>1.9143769176340347E-2</v>
      </c>
      <c r="O8" s="100">
        <f t="shared" si="4"/>
        <v>3.4228254734294494</v>
      </c>
      <c r="P8" s="98">
        <v>3.3816193499999998</v>
      </c>
      <c r="Q8" s="99">
        <f t="shared" si="5"/>
        <v>6.8746762088398583E-3</v>
      </c>
      <c r="R8" s="98">
        <v>3.3367351799999998</v>
      </c>
      <c r="S8" s="98">
        <v>3.2111872560000001</v>
      </c>
      <c r="T8" s="101">
        <f t="shared" si="6"/>
        <v>-3.7625977857793202E-2</v>
      </c>
    </row>
    <row r="9" spans="1:20" x14ac:dyDescent="0.35">
      <c r="A9" s="96">
        <f t="shared" si="8"/>
        <v>45176</v>
      </c>
      <c r="B9" s="102">
        <v>5.342341600000001</v>
      </c>
      <c r="C9" s="103">
        <v>5.4373693899999997</v>
      </c>
      <c r="D9" s="99">
        <f t="shared" si="0"/>
        <v>1.7787666367122368E-2</v>
      </c>
      <c r="E9" s="102">
        <v>5.4270139390000001</v>
      </c>
      <c r="F9" s="103">
        <v>5.5548861479999996</v>
      </c>
      <c r="G9" s="99">
        <f t="shared" si="1"/>
        <v>2.3562167047531446E-2</v>
      </c>
      <c r="H9" s="102">
        <v>5.9287887899999996</v>
      </c>
      <c r="I9" s="103">
        <v>6.0650724400000007</v>
      </c>
      <c r="J9" s="99">
        <f t="shared" si="2"/>
        <v>2.2986760842259812E-2</v>
      </c>
      <c r="K9" s="102">
        <v>3.3113583739999997</v>
      </c>
      <c r="L9" s="103">
        <v>3.3252083910000008</v>
      </c>
      <c r="M9" s="104">
        <f t="shared" si="3"/>
        <v>4.1825786990463687E-3</v>
      </c>
      <c r="N9" s="99">
        <f t="shared" si="7"/>
        <v>2.1445531418971209E-2</v>
      </c>
      <c r="O9" s="100">
        <f t="shared" ref="O9:O32" si="9">K9*(1+N9)</f>
        <v>3.3823722140490902</v>
      </c>
      <c r="P9" s="103">
        <v>3.3104886859999998</v>
      </c>
      <c r="Q9" s="99">
        <f t="shared" si="5"/>
        <v>-2.6263783673441399E-4</v>
      </c>
      <c r="R9" s="98">
        <v>3.2400436139999997</v>
      </c>
      <c r="S9" s="98">
        <v>3.1038436250000001</v>
      </c>
      <c r="T9" s="101">
        <f t="shared" si="6"/>
        <v>-4.2036467784411613E-2</v>
      </c>
    </row>
    <row r="10" spans="1:20" x14ac:dyDescent="0.35">
      <c r="A10" s="96">
        <f t="shared" si="8"/>
        <v>45177</v>
      </c>
      <c r="B10" s="102">
        <v>4.51044994</v>
      </c>
      <c r="C10" s="103">
        <v>4.5528944790000008</v>
      </c>
      <c r="D10" s="99">
        <f t="shared" si="0"/>
        <v>9.4102671717049002E-3</v>
      </c>
      <c r="E10" s="102">
        <v>4.2755167409999997</v>
      </c>
      <c r="F10" s="103">
        <v>4.3450416060000006</v>
      </c>
      <c r="G10" s="99">
        <f t="shared" si="1"/>
        <v>1.6261160746557923E-2</v>
      </c>
      <c r="H10" s="102">
        <v>5.8334164899999994</v>
      </c>
      <c r="I10" s="103">
        <v>6.0239026999999998</v>
      </c>
      <c r="J10" s="99">
        <f t="shared" si="2"/>
        <v>3.2654313355911402E-2</v>
      </c>
      <c r="K10" s="102">
        <v>2.6774499100000004</v>
      </c>
      <c r="L10" s="103">
        <v>2.6515805600000002</v>
      </c>
      <c r="M10" s="104">
        <f t="shared" si="3"/>
        <v>-9.6619361218974742E-3</v>
      </c>
      <c r="N10" s="99">
        <f t="shared" si="7"/>
        <v>1.9441913758058076E-2</v>
      </c>
      <c r="O10" s="100">
        <f t="shared" si="9"/>
        <v>2.7295046602417412</v>
      </c>
      <c r="P10" s="103">
        <v>2.6332971999999999</v>
      </c>
      <c r="Q10" s="99">
        <f t="shared" si="5"/>
        <v>-1.6490583011504634E-2</v>
      </c>
      <c r="R10" s="98">
        <v>2.6795155199999998</v>
      </c>
      <c r="S10" s="98">
        <v>2.4928052990000005</v>
      </c>
      <c r="T10" s="101">
        <f t="shared" si="6"/>
        <v>-6.96805894970145E-2</v>
      </c>
    </row>
    <row r="11" spans="1:20" x14ac:dyDescent="0.35">
      <c r="A11" s="96">
        <f t="shared" si="8"/>
        <v>45178</v>
      </c>
      <c r="B11" s="102">
        <v>5.7383360600000008</v>
      </c>
      <c r="C11" s="103">
        <v>5.93618895</v>
      </c>
      <c r="D11" s="99">
        <f t="shared" si="0"/>
        <v>3.447913958528237E-2</v>
      </c>
      <c r="E11" s="102">
        <v>1.7841166907999999</v>
      </c>
      <c r="F11" s="103">
        <v>1.7563168068999999</v>
      </c>
      <c r="G11" s="99">
        <f t="shared" si="1"/>
        <v>-1.5581875357903008E-2</v>
      </c>
      <c r="H11" s="102">
        <v>5.8995611300000013</v>
      </c>
      <c r="I11" s="103">
        <v>6.0791221599999998</v>
      </c>
      <c r="J11" s="99">
        <f t="shared" si="2"/>
        <v>3.0436336880536485E-2</v>
      </c>
      <c r="K11" s="102">
        <v>3.6925555550000002</v>
      </c>
      <c r="L11" s="103">
        <v>3.7244472180000003</v>
      </c>
      <c r="M11" s="104">
        <f t="shared" si="3"/>
        <v>8.6367456155984623E-3</v>
      </c>
      <c r="N11" s="99">
        <f t="shared" si="7"/>
        <v>1.6444533702638615E-2</v>
      </c>
      <c r="O11" s="100">
        <f t="shared" si="9"/>
        <v>3.7532779092730633</v>
      </c>
      <c r="P11" s="103">
        <v>3.7103834870000001</v>
      </c>
      <c r="Q11" s="99">
        <f t="shared" si="5"/>
        <v>4.8280741438972985E-3</v>
      </c>
      <c r="R11" s="98">
        <v>3.7369294999999996</v>
      </c>
      <c r="S11" s="98">
        <v>3.6058367660000004</v>
      </c>
      <c r="T11" s="101">
        <f t="shared" si="6"/>
        <v>-3.508033373388475E-2</v>
      </c>
    </row>
    <row r="12" spans="1:20" x14ac:dyDescent="0.35">
      <c r="A12" s="96">
        <f t="shared" si="8"/>
        <v>45179</v>
      </c>
      <c r="B12" s="102">
        <v>4.3112444510000003</v>
      </c>
      <c r="C12" s="103">
        <v>4.4211193599999996</v>
      </c>
      <c r="D12" s="99">
        <f t="shared" si="0"/>
        <v>2.5485659708883723E-2</v>
      </c>
      <c r="E12" s="102">
        <v>1.174472379</v>
      </c>
      <c r="F12" s="103">
        <v>1.1303695730000001</v>
      </c>
      <c r="G12" s="99">
        <f t="shared" si="1"/>
        <v>-3.7551164921861391E-2</v>
      </c>
      <c r="H12" s="102">
        <v>4.7096889339999999</v>
      </c>
      <c r="I12" s="103">
        <v>4.8456666590000008</v>
      </c>
      <c r="J12" s="99">
        <f t="shared" si="2"/>
        <v>2.887191211681861E-2</v>
      </c>
      <c r="K12" s="102">
        <v>4.7879442499999998</v>
      </c>
      <c r="L12" s="103">
        <v>4.8898498899999998</v>
      </c>
      <c r="M12" s="104">
        <f t="shared" si="3"/>
        <v>2.1283798365028916E-2</v>
      </c>
      <c r="N12" s="99">
        <f t="shared" si="7"/>
        <v>5.6021356346136475E-3</v>
      </c>
      <c r="O12" s="100">
        <f t="shared" si="9"/>
        <v>4.8147669630994683</v>
      </c>
      <c r="P12" s="103">
        <v>4.8982666300000002</v>
      </c>
      <c r="Q12" s="99">
        <f t="shared" si="5"/>
        <v>2.3041701039021145E-2</v>
      </c>
      <c r="R12" s="98">
        <v>4.9368592500000004</v>
      </c>
      <c r="S12" s="98">
        <v>4.9163476959999999</v>
      </c>
      <c r="T12" s="101">
        <f t="shared" si="6"/>
        <v>-4.1547779592866485E-3</v>
      </c>
    </row>
    <row r="13" spans="1:20" x14ac:dyDescent="0.35">
      <c r="A13" s="96">
        <f t="shared" si="8"/>
        <v>45180</v>
      </c>
      <c r="B13" s="102">
        <v>5.4460997500000001</v>
      </c>
      <c r="C13" s="103">
        <v>5.6810417299999987</v>
      </c>
      <c r="D13" s="99">
        <f t="shared" si="0"/>
        <v>4.3139492624974185E-2</v>
      </c>
      <c r="E13" s="102">
        <v>4.6332249299999981</v>
      </c>
      <c r="F13" s="103">
        <v>4.7823333960000003</v>
      </c>
      <c r="G13" s="99">
        <f t="shared" si="1"/>
        <v>3.2182436262597314E-2</v>
      </c>
      <c r="H13" s="102">
        <v>5.8274166310000002</v>
      </c>
      <c r="I13" s="103">
        <v>6.0316751040000005</v>
      </c>
      <c r="J13" s="99">
        <f t="shared" si="2"/>
        <v>3.5051290466072027E-2</v>
      </c>
      <c r="K13" s="102">
        <v>4.4785027700000004</v>
      </c>
      <c r="L13" s="103">
        <v>4.5628112800000009</v>
      </c>
      <c r="M13" s="104">
        <f t="shared" si="3"/>
        <v>1.8825155265004057E-2</v>
      </c>
      <c r="N13" s="99">
        <f t="shared" si="7"/>
        <v>3.6791073117881178E-2</v>
      </c>
      <c r="O13" s="100">
        <f t="shared" si="9"/>
        <v>4.6432716928697033</v>
      </c>
      <c r="P13" s="103">
        <v>4.5760803599999997</v>
      </c>
      <c r="Q13" s="99">
        <f t="shared" si="5"/>
        <v>2.1787993669142969E-2</v>
      </c>
      <c r="R13" s="98">
        <v>4.5227368799999992</v>
      </c>
      <c r="S13" s="98">
        <v>4.4859123899999993</v>
      </c>
      <c r="T13" s="101">
        <f t="shared" si="6"/>
        <v>-8.142080995876988E-3</v>
      </c>
    </row>
    <row r="14" spans="1:20" x14ac:dyDescent="0.35">
      <c r="A14" s="96">
        <f t="shared" si="8"/>
        <v>45181</v>
      </c>
      <c r="B14" s="102">
        <v>5.9056305159999996</v>
      </c>
      <c r="C14" s="103">
        <v>6.1720527369999987</v>
      </c>
      <c r="D14" s="99">
        <f t="shared" si="0"/>
        <v>4.5113255947554887E-2</v>
      </c>
      <c r="E14" s="102">
        <v>4.2034917339999991</v>
      </c>
      <c r="F14" s="103">
        <v>4.3843026509999987</v>
      </c>
      <c r="G14" s="99">
        <f t="shared" si="1"/>
        <v>4.3014457608542056E-2</v>
      </c>
      <c r="H14" s="102">
        <v>4.9038000110000013</v>
      </c>
      <c r="I14" s="103">
        <v>5.0460417669999993</v>
      </c>
      <c r="J14" s="99">
        <f t="shared" si="2"/>
        <v>2.9006434944518045E-2</v>
      </c>
      <c r="K14" s="102">
        <v>2.7188722599999999</v>
      </c>
      <c r="L14" s="103">
        <v>2.71921122</v>
      </c>
      <c r="M14" s="104">
        <f t="shared" si="3"/>
        <v>1.2466933624910581E-4</v>
      </c>
      <c r="N14" s="99">
        <f t="shared" si="7"/>
        <v>3.9044716166871662E-2</v>
      </c>
      <c r="O14" s="100">
        <f t="shared" si="9"/>
        <v>2.8250298556856808</v>
      </c>
      <c r="P14" s="103">
        <v>2.7183249699999994</v>
      </c>
      <c r="Q14" s="99">
        <f t="shared" si="5"/>
        <v>-2.0129301698068591E-4</v>
      </c>
      <c r="R14" s="98">
        <v>2.7052684699999996</v>
      </c>
      <c r="S14" s="98">
        <v>2.5767174689999996</v>
      </c>
      <c r="T14" s="101">
        <f t="shared" si="6"/>
        <v>-4.7518759201004568E-2</v>
      </c>
    </row>
    <row r="15" spans="1:20" x14ac:dyDescent="0.35">
      <c r="A15" s="96">
        <f t="shared" si="8"/>
        <v>45182</v>
      </c>
      <c r="B15" s="102">
        <v>6.1104111351999988</v>
      </c>
      <c r="C15" s="103">
        <v>6.4166434377000003</v>
      </c>
      <c r="D15" s="99">
        <f t="shared" si="0"/>
        <v>5.0116480826617682E-2</v>
      </c>
      <c r="E15" s="102">
        <v>5.5694861379999994</v>
      </c>
      <c r="F15" s="103">
        <v>5.9457777329999999</v>
      </c>
      <c r="G15" s="99">
        <f t="shared" si="1"/>
        <v>6.7563072369029475E-2</v>
      </c>
      <c r="H15" s="102">
        <v>4.2901970679999994</v>
      </c>
      <c r="I15" s="103">
        <v>4.3443361909999991</v>
      </c>
      <c r="J15" s="99">
        <f t="shared" si="2"/>
        <v>1.2619262505169315E-2</v>
      </c>
      <c r="K15" s="102">
        <v>1.212950121</v>
      </c>
      <c r="L15" s="103">
        <v>1.1762000479999999</v>
      </c>
      <c r="M15" s="104">
        <f t="shared" si="3"/>
        <v>-3.0298090880853334E-2</v>
      </c>
      <c r="N15" s="99">
        <f t="shared" si="7"/>
        <v>4.3432938566938827E-2</v>
      </c>
      <c r="O15" s="100">
        <f t="shared" si="9"/>
        <v>1.2656321090901539</v>
      </c>
      <c r="P15" s="103">
        <v>1.1656332979999999</v>
      </c>
      <c r="Q15" s="99">
        <f t="shared" si="5"/>
        <v>-3.9009702196979301E-2</v>
      </c>
      <c r="R15" s="98">
        <v>1.2039177839999999</v>
      </c>
      <c r="S15" s="98">
        <v>1.0383732600600002</v>
      </c>
      <c r="T15" s="101">
        <f t="shared" si="6"/>
        <v>-0.13750484139372077</v>
      </c>
    </row>
    <row r="16" spans="1:20" x14ac:dyDescent="0.35">
      <c r="A16" s="96">
        <f t="shared" si="8"/>
        <v>45183</v>
      </c>
      <c r="B16" s="102">
        <v>5.4934860979999991</v>
      </c>
      <c r="C16" s="103">
        <v>5.7706110469999992</v>
      </c>
      <c r="D16" s="99">
        <f t="shared" si="0"/>
        <v>5.044609999120464E-2</v>
      </c>
      <c r="E16" s="102">
        <v>4.755625126</v>
      </c>
      <c r="F16" s="103">
        <v>5.0839251840000008</v>
      </c>
      <c r="G16" s="99">
        <f t="shared" si="1"/>
        <v>6.9034049005485265E-2</v>
      </c>
      <c r="H16" s="102">
        <v>1.9940860419999999</v>
      </c>
      <c r="I16" s="103">
        <v>1.9269750090000002</v>
      </c>
      <c r="J16" s="99">
        <f t="shared" si="2"/>
        <v>-3.3655033727977846E-2</v>
      </c>
      <c r="K16" s="102">
        <v>2.422797359</v>
      </c>
      <c r="L16" s="103">
        <v>2.4163889030000001</v>
      </c>
      <c r="M16" s="104">
        <f t="shared" si="3"/>
        <v>-2.6450647951197226E-3</v>
      </c>
      <c r="N16" s="99">
        <f t="shared" si="7"/>
        <v>2.8608371756237354E-2</v>
      </c>
      <c r="O16" s="100">
        <f t="shared" si="9"/>
        <v>2.492109646536302</v>
      </c>
      <c r="P16" s="103">
        <v>2.4100527100000004</v>
      </c>
      <c r="Q16" s="99">
        <f t="shared" si="5"/>
        <v>-5.2603033236175989E-3</v>
      </c>
      <c r="R16" s="98">
        <v>2.4192345479999995</v>
      </c>
      <c r="S16" s="98">
        <v>2.2628533399999999</v>
      </c>
      <c r="T16" s="101">
        <f t="shared" si="6"/>
        <v>-6.4640779923253455E-2</v>
      </c>
    </row>
    <row r="17" spans="1:20" x14ac:dyDescent="0.35">
      <c r="A17" s="96">
        <f t="shared" si="8"/>
        <v>45184</v>
      </c>
      <c r="B17" s="102">
        <v>5.300902848899999</v>
      </c>
      <c r="C17" s="103">
        <v>5.5575526911099997</v>
      </c>
      <c r="D17" s="99">
        <f t="shared" si="0"/>
        <v>4.8416250877576283E-2</v>
      </c>
      <c r="E17" s="102">
        <v>3.1759249329999997</v>
      </c>
      <c r="F17" s="103">
        <v>3.2491581999999992</v>
      </c>
      <c r="G17" s="99">
        <f t="shared" si="1"/>
        <v>2.3058878451142295E-2</v>
      </c>
      <c r="H17" s="102">
        <v>2.5916638179999998</v>
      </c>
      <c r="I17" s="103">
        <v>2.547291698</v>
      </c>
      <c r="J17" s="99">
        <f t="shared" si="2"/>
        <v>-1.712109406004747E-2</v>
      </c>
      <c r="K17" s="102">
        <v>4.0025750780999996</v>
      </c>
      <c r="L17" s="103">
        <v>4.0986944310000002</v>
      </c>
      <c r="M17" s="104">
        <f t="shared" si="3"/>
        <v>2.4014378499960021E-2</v>
      </c>
      <c r="N17" s="99">
        <f t="shared" si="7"/>
        <v>1.8118011756223702E-2</v>
      </c>
      <c r="O17" s="100">
        <f t="shared" si="9"/>
        <v>4.0750937804201834</v>
      </c>
      <c r="P17" s="103">
        <v>4.0948139159999997</v>
      </c>
      <c r="Q17" s="99">
        <f t="shared" si="5"/>
        <v>2.3044873887483774E-2</v>
      </c>
      <c r="R17" s="98">
        <v>4.0948139159999997</v>
      </c>
      <c r="S17" s="98">
        <v>3.9711288900000001</v>
      </c>
      <c r="T17" s="101">
        <f t="shared" si="6"/>
        <v>-3.0205286134423637E-2</v>
      </c>
    </row>
    <row r="18" spans="1:20" x14ac:dyDescent="0.35">
      <c r="A18" s="96">
        <f t="shared" si="8"/>
        <v>45185</v>
      </c>
      <c r="B18" s="102">
        <v>6.2840916929999997</v>
      </c>
      <c r="C18" s="103">
        <v>6.7023697650000011</v>
      </c>
      <c r="D18" s="99">
        <f t="shared" si="0"/>
        <v>6.6561420875817401E-2</v>
      </c>
      <c r="E18" s="102">
        <v>4.4302806560000008</v>
      </c>
      <c r="F18" s="103">
        <v>4.7139083500000005</v>
      </c>
      <c r="G18" s="99">
        <f t="shared" si="1"/>
        <v>6.4020254250908071E-2</v>
      </c>
      <c r="H18" s="102">
        <v>5.1059554699999996</v>
      </c>
      <c r="I18" s="103">
        <v>5.3111610299999992</v>
      </c>
      <c r="J18" s="99">
        <f t="shared" si="2"/>
        <v>4.0189453512801565E-2</v>
      </c>
      <c r="K18" s="102">
        <v>1.3569166123000003</v>
      </c>
      <c r="L18" s="103">
        <v>1.3284138922199999</v>
      </c>
      <c r="M18" s="104">
        <f t="shared" si="3"/>
        <v>-2.1005506028618504E-2</v>
      </c>
      <c r="N18" s="99">
        <f t="shared" si="7"/>
        <v>5.6923709546509015E-2</v>
      </c>
      <c r="O18" s="100">
        <f t="shared" si="9"/>
        <v>1.4341573394173983</v>
      </c>
      <c r="P18" s="103">
        <v>1.31599443389</v>
      </c>
      <c r="Q18" s="99">
        <f t="shared" si="5"/>
        <v>-3.0158211668317891E-2</v>
      </c>
      <c r="R18" s="98">
        <v>1.31599443389</v>
      </c>
      <c r="S18" s="98">
        <v>1.1659761833</v>
      </c>
      <c r="T18" s="101">
        <f t="shared" si="6"/>
        <v>-0.11399611330160053</v>
      </c>
    </row>
    <row r="19" spans="1:20" x14ac:dyDescent="0.35">
      <c r="A19" s="96">
        <f t="shared" si="8"/>
        <v>45186</v>
      </c>
      <c r="B19" s="102">
        <v>5.4181887819999996</v>
      </c>
      <c r="C19" s="103">
        <v>5.6965750490000007</v>
      </c>
      <c r="D19" s="99">
        <f t="shared" si="0"/>
        <v>5.1379949684448034E-2</v>
      </c>
      <c r="E19" s="102">
        <v>3.4225971420000003</v>
      </c>
      <c r="F19" s="103">
        <v>3.4160361030000002</v>
      </c>
      <c r="G19" s="99">
        <f t="shared" si="1"/>
        <v>-1.916976707391882E-3</v>
      </c>
      <c r="H19" s="102">
        <v>5.3124834339999989</v>
      </c>
      <c r="I19" s="103">
        <v>5.5334835579999995</v>
      </c>
      <c r="J19" s="99">
        <f t="shared" si="2"/>
        <v>4.1600153063178658E-2</v>
      </c>
      <c r="K19" s="102">
        <v>2.0643722188999996</v>
      </c>
      <c r="L19" s="103">
        <v>2.0209500378</v>
      </c>
      <c r="M19" s="104">
        <f t="shared" si="3"/>
        <v>-2.1034085182146556E-2</v>
      </c>
      <c r="N19" s="99">
        <f t="shared" si="7"/>
        <v>3.0354375346744938E-2</v>
      </c>
      <c r="O19" s="100">
        <f t="shared" si="9"/>
        <v>2.127034948087883</v>
      </c>
      <c r="P19" s="103">
        <v>2.0047582955999999</v>
      </c>
      <c r="Q19" s="99">
        <f t="shared" si="5"/>
        <v>-2.8877507047525119E-2</v>
      </c>
      <c r="R19" s="98">
        <v>2.02823726</v>
      </c>
      <c r="S19" s="98">
        <v>1.8371497989999999</v>
      </c>
      <c r="T19" s="101">
        <f t="shared" si="6"/>
        <v>-9.4213564048221898E-2</v>
      </c>
    </row>
    <row r="20" spans="1:20" x14ac:dyDescent="0.35">
      <c r="A20" s="96">
        <f t="shared" si="8"/>
        <v>45187</v>
      </c>
      <c r="B20" s="102">
        <v>4.0034222079999999</v>
      </c>
      <c r="C20" s="103">
        <v>4.1476195129999995</v>
      </c>
      <c r="D20" s="99">
        <f t="shared" si="0"/>
        <v>3.6018510541269366E-2</v>
      </c>
      <c r="E20" s="102">
        <v>0.83424456999999996</v>
      </c>
      <c r="F20" s="103">
        <v>0.81786385200000011</v>
      </c>
      <c r="G20" s="99">
        <f t="shared" si="1"/>
        <v>-1.9635390614529125E-2</v>
      </c>
      <c r="H20" s="102">
        <v>5.7006777830000006</v>
      </c>
      <c r="I20" s="103">
        <v>6.0479501640000004</v>
      </c>
      <c r="J20" s="99">
        <f t="shared" si="2"/>
        <v>6.0917735437635345E-2</v>
      </c>
      <c r="K20" s="102">
        <v>4.6009111759999994</v>
      </c>
      <c r="L20" s="103">
        <v>4.7348639750000006</v>
      </c>
      <c r="M20" s="104">
        <f t="shared" si="3"/>
        <v>2.9114406663346859E-2</v>
      </c>
      <c r="N20" s="99">
        <f t="shared" si="7"/>
        <v>2.5766951788125197E-2</v>
      </c>
      <c r="O20" s="100">
        <f t="shared" si="9"/>
        <v>4.7194626324534372</v>
      </c>
      <c r="P20" s="103">
        <v>4.7473973759999986</v>
      </c>
      <c r="Q20" s="99">
        <f t="shared" si="5"/>
        <v>3.1838519457650927E-2</v>
      </c>
      <c r="R20" s="98">
        <v>4.617073909000001</v>
      </c>
      <c r="S20" s="98">
        <v>4.6007887375000003</v>
      </c>
      <c r="T20" s="101">
        <f t="shared" si="6"/>
        <v>-3.5271628353742424E-3</v>
      </c>
    </row>
    <row r="21" spans="1:20" x14ac:dyDescent="0.35">
      <c r="A21" s="96">
        <f t="shared" si="8"/>
        <v>45188</v>
      </c>
      <c r="B21" s="102">
        <v>4.7665360422000003</v>
      </c>
      <c r="C21" s="103">
        <v>5.0131137511100006</v>
      </c>
      <c r="D21" s="99">
        <f t="shared" si="0"/>
        <v>5.1731006904584653E-2</v>
      </c>
      <c r="E21" s="102">
        <v>2.3879359900000003</v>
      </c>
      <c r="F21" s="103">
        <v>2.4140250409999999</v>
      </c>
      <c r="G21" s="99">
        <f t="shared" si="1"/>
        <v>1.0925356085444982E-2</v>
      </c>
      <c r="H21" s="102">
        <v>6.1201362849999992</v>
      </c>
      <c r="I21" s="103">
        <v>6.5525445259999984</v>
      </c>
      <c r="J21" s="99">
        <f t="shared" si="2"/>
        <v>7.0653367974794934E-2</v>
      </c>
      <c r="K21" s="102">
        <v>4.4531334120000015</v>
      </c>
      <c r="L21" s="103">
        <v>4.5758915189999998</v>
      </c>
      <c r="M21" s="104">
        <f t="shared" si="3"/>
        <v>2.7566680726249571E-2</v>
      </c>
      <c r="N21" s="99">
        <f t="shared" si="7"/>
        <v>4.4436576988274856E-2</v>
      </c>
      <c r="O21" s="100">
        <f t="shared" si="9"/>
        <v>4.6510154177013989</v>
      </c>
      <c r="P21" s="103">
        <v>4.5783998380000011</v>
      </c>
      <c r="Q21" s="99">
        <f t="shared" si="5"/>
        <v>2.8129951297313438E-2</v>
      </c>
      <c r="R21" s="98">
        <v>4.4931233759999998</v>
      </c>
      <c r="S21" s="98">
        <v>4.4196105379999997</v>
      </c>
      <c r="T21" s="101">
        <f t="shared" si="6"/>
        <v>-1.6361188386828762E-2</v>
      </c>
    </row>
    <row r="22" spans="1:20" x14ac:dyDescent="0.35">
      <c r="A22" s="96">
        <f t="shared" si="8"/>
        <v>45189</v>
      </c>
      <c r="B22" s="102">
        <v>4.9971237089000002</v>
      </c>
      <c r="C22" s="103">
        <v>5.3042915400000004</v>
      </c>
      <c r="D22" s="99">
        <f t="shared" si="0"/>
        <v>6.1468926725373407E-2</v>
      </c>
      <c r="E22" s="102">
        <v>1.1010972579999998</v>
      </c>
      <c r="F22" s="103">
        <v>1.0835473060000003</v>
      </c>
      <c r="G22" s="99">
        <f t="shared" si="1"/>
        <v>-1.593860294582583E-2</v>
      </c>
      <c r="H22" s="102">
        <v>5.9054971300000005</v>
      </c>
      <c r="I22" s="103">
        <v>6.3011581733000002</v>
      </c>
      <c r="J22" s="99">
        <f t="shared" si="2"/>
        <v>6.6998769890181942E-2</v>
      </c>
      <c r="K22" s="102">
        <v>5.9323528899999998</v>
      </c>
      <c r="L22" s="103">
        <v>6.3025692899999992</v>
      </c>
      <c r="M22" s="104">
        <f t="shared" si="3"/>
        <v>6.2406334698001942E-2</v>
      </c>
      <c r="N22" s="99">
        <f t="shared" si="7"/>
        <v>3.7509697889909842E-2</v>
      </c>
      <c r="O22" s="100">
        <f t="shared" si="9"/>
        <v>6.1548736546802338</v>
      </c>
      <c r="P22" s="103">
        <v>6.3166527199999987</v>
      </c>
      <c r="Q22" s="99">
        <f t="shared" si="5"/>
        <v>6.4780338783925417E-2</v>
      </c>
      <c r="R22" s="98">
        <v>6.0632014800000009</v>
      </c>
      <c r="S22" s="98">
        <v>6.1305332840000002</v>
      </c>
      <c r="T22" s="101">
        <f t="shared" si="6"/>
        <v>1.1104992011579773E-2</v>
      </c>
    </row>
    <row r="23" spans="1:20" x14ac:dyDescent="0.35">
      <c r="A23" s="96">
        <f t="shared" si="8"/>
        <v>45190</v>
      </c>
      <c r="B23" s="97">
        <v>5.61522217</v>
      </c>
      <c r="C23" s="103">
        <v>6.0023027230000006</v>
      </c>
      <c r="D23" s="99">
        <f t="shared" si="0"/>
        <v>6.8934147444427829E-2</v>
      </c>
      <c r="E23" s="97">
        <v>4.0802530199999998</v>
      </c>
      <c r="F23" s="103">
        <v>4.1751778270000006</v>
      </c>
      <c r="G23" s="99">
        <f t="shared" si="1"/>
        <v>2.3264441331140917E-2</v>
      </c>
      <c r="H23" s="97">
        <v>4.5752222109999998</v>
      </c>
      <c r="I23" s="103">
        <v>4.7576697069999998</v>
      </c>
      <c r="J23" s="99">
        <f t="shared" si="2"/>
        <v>3.9877297229706121E-2</v>
      </c>
      <c r="K23" s="97">
        <v>5.5092758359999996</v>
      </c>
      <c r="L23" s="103">
        <v>5.7864790660000018</v>
      </c>
      <c r="M23" s="104">
        <f t="shared" si="3"/>
        <v>5.0315729008999055E-2</v>
      </c>
      <c r="N23" s="99">
        <f t="shared" si="7"/>
        <v>4.402529533509162E-2</v>
      </c>
      <c r="O23" s="100">
        <f t="shared" si="9"/>
        <v>5.7518233317623837</v>
      </c>
      <c r="P23" s="103">
        <v>5.8166743489999986</v>
      </c>
      <c r="Q23" s="99">
        <f t="shared" si="5"/>
        <v>5.5796536995175172E-2</v>
      </c>
      <c r="R23" s="98">
        <v>5.590212792</v>
      </c>
      <c r="S23" s="98">
        <v>5.6735428480000003</v>
      </c>
      <c r="T23" s="101">
        <f t="shared" si="6"/>
        <v>1.4906419326157216E-2</v>
      </c>
    </row>
    <row r="24" spans="1:20" x14ac:dyDescent="0.35">
      <c r="A24" s="96">
        <f t="shared" si="8"/>
        <v>45191</v>
      </c>
      <c r="B24" s="97">
        <v>5.3105166649999997</v>
      </c>
      <c r="C24" s="103">
        <v>5.6719333130000003</v>
      </c>
      <c r="D24" s="99">
        <f t="shared" si="0"/>
        <v>6.8056776920028872E-2</v>
      </c>
      <c r="E24" s="97">
        <v>4.8405805160000002</v>
      </c>
      <c r="F24" s="103">
        <v>5.1506416369999997</v>
      </c>
      <c r="G24" s="99">
        <f t="shared" si="1"/>
        <v>6.4054532297340483E-2</v>
      </c>
      <c r="H24" s="97">
        <v>2.2265498389999996</v>
      </c>
      <c r="I24" s="103">
        <v>2.1460666779999999</v>
      </c>
      <c r="J24" s="99">
        <f t="shared" si="2"/>
        <v>-3.6147028730399655E-2</v>
      </c>
      <c r="K24" s="97">
        <v>5.2454251090000001</v>
      </c>
      <c r="L24" s="103">
        <v>5.5081222044000002</v>
      </c>
      <c r="M24" s="104">
        <f t="shared" si="3"/>
        <v>5.008118311502896E-2</v>
      </c>
      <c r="N24" s="99">
        <f t="shared" si="7"/>
        <v>3.1988093495656567E-2</v>
      </c>
      <c r="O24" s="100">
        <f t="shared" si="9"/>
        <v>5.4132162578111576</v>
      </c>
      <c r="P24" s="103">
        <v>5.5195471967000014</v>
      </c>
      <c r="Q24" s="99">
        <f t="shared" si="5"/>
        <v>5.2259270126584711E-2</v>
      </c>
      <c r="R24" s="98">
        <v>5.3740997599999991</v>
      </c>
      <c r="S24" s="98">
        <v>5.4197235900000003</v>
      </c>
      <c r="T24" s="101">
        <f t="shared" si="6"/>
        <v>8.4895763081258568E-3</v>
      </c>
    </row>
    <row r="25" spans="1:20" x14ac:dyDescent="0.35">
      <c r="A25" s="96">
        <f t="shared" si="8"/>
        <v>45192</v>
      </c>
      <c r="B25" s="97">
        <v>2.5978889080000003</v>
      </c>
      <c r="C25" s="103">
        <v>2.5713165469999999</v>
      </c>
      <c r="D25" s="99">
        <f t="shared" si="0"/>
        <v>-1.0228443917741359E-2</v>
      </c>
      <c r="E25" s="97">
        <v>4.4856285079999996</v>
      </c>
      <c r="F25" s="103">
        <v>4.8552244410000007</v>
      </c>
      <c r="G25" s="99">
        <f t="shared" si="1"/>
        <v>8.2395573405340317E-2</v>
      </c>
      <c r="H25" s="97">
        <v>1.679947232</v>
      </c>
      <c r="I25" s="103">
        <v>1.6067999950000003</v>
      </c>
      <c r="J25" s="99">
        <f t="shared" si="2"/>
        <v>-4.3541389638123928E-2</v>
      </c>
      <c r="K25" s="97">
        <v>4.5911582720000004</v>
      </c>
      <c r="L25" s="103">
        <v>4.7840416730000008</v>
      </c>
      <c r="M25" s="104">
        <f t="shared" si="3"/>
        <v>4.2011925874203548E-2</v>
      </c>
      <c r="N25" s="99">
        <f t="shared" si="7"/>
        <v>9.5419132831583431E-3</v>
      </c>
      <c r="O25" s="100">
        <f t="shared" si="9"/>
        <v>4.6349667061006796</v>
      </c>
      <c r="P25" s="103">
        <v>4.7887665319999995</v>
      </c>
      <c r="Q25" s="99">
        <f t="shared" si="5"/>
        <v>4.3041047224433138E-2</v>
      </c>
      <c r="R25" s="98">
        <v>4.6016576950000001</v>
      </c>
      <c r="S25" s="98">
        <v>4.5915045804999997</v>
      </c>
      <c r="T25" s="101">
        <f t="shared" si="6"/>
        <v>-2.2064036860092173E-3</v>
      </c>
    </row>
    <row r="26" spans="1:20" x14ac:dyDescent="0.35">
      <c r="A26" s="96">
        <f t="shared" si="8"/>
        <v>45193</v>
      </c>
      <c r="B26" s="97">
        <v>5.0474638709999988</v>
      </c>
      <c r="C26" s="103">
        <v>5.3601581779999998</v>
      </c>
      <c r="D26" s="99">
        <f t="shared" si="0"/>
        <v>6.1950776665599117E-2</v>
      </c>
      <c r="E26" s="97">
        <v>5.5627277444000001</v>
      </c>
      <c r="F26" s="103">
        <v>5.9954580700000006</v>
      </c>
      <c r="G26" s="99">
        <f t="shared" si="1"/>
        <v>7.7791030854535315E-2</v>
      </c>
      <c r="H26" s="97">
        <v>6.2446890169999998</v>
      </c>
      <c r="I26" s="103">
        <v>6.7818640259999992</v>
      </c>
      <c r="J26" s="99">
        <f t="shared" si="2"/>
        <v>8.6021098494679427E-2</v>
      </c>
      <c r="K26" s="97">
        <v>3.4314138499999998</v>
      </c>
      <c r="L26" s="103">
        <v>3.5296251022000003</v>
      </c>
      <c r="M26" s="104">
        <f t="shared" si="3"/>
        <v>2.8621220433670658E-2</v>
      </c>
      <c r="N26" s="99">
        <f t="shared" si="7"/>
        <v>7.5254302004937948E-2</v>
      </c>
      <c r="O26" s="100">
        <f t="shared" si="9"/>
        <v>3.6896425041718262</v>
      </c>
      <c r="P26" s="103">
        <v>3.5166193688899998</v>
      </c>
      <c r="Q26" s="99">
        <f t="shared" si="5"/>
        <v>2.4831023774646077E-2</v>
      </c>
      <c r="R26" s="98">
        <v>3.5277044700000002</v>
      </c>
      <c r="S26" s="98">
        <v>3.4697862670000004</v>
      </c>
      <c r="T26" s="101">
        <f t="shared" si="6"/>
        <v>-1.6418099501401828E-2</v>
      </c>
    </row>
    <row r="27" spans="1:20" x14ac:dyDescent="0.35">
      <c r="A27" s="96">
        <f t="shared" si="8"/>
        <v>45194</v>
      </c>
      <c r="B27" s="97">
        <v>5.4658344799999998</v>
      </c>
      <c r="C27" s="103">
        <v>5.8826498199999993</v>
      </c>
      <c r="D27" s="99">
        <f t="shared" si="0"/>
        <v>7.6258317284426669E-2</v>
      </c>
      <c r="E27" s="97">
        <v>3.5902081969999995</v>
      </c>
      <c r="F27" s="103">
        <v>3.8152222259999995</v>
      </c>
      <c r="G27" s="99">
        <f t="shared" si="1"/>
        <v>6.2674367795166663E-2</v>
      </c>
      <c r="H27" s="97">
        <v>4.8964474319999995</v>
      </c>
      <c r="I27" s="103">
        <v>5.1617528429999995</v>
      </c>
      <c r="J27" s="99">
        <f t="shared" si="2"/>
        <v>5.4183245033151195E-2</v>
      </c>
      <c r="K27" s="97">
        <v>3.3259138033399993</v>
      </c>
      <c r="L27" s="103">
        <v>3.4563389799999999</v>
      </c>
      <c r="M27" s="104">
        <f t="shared" si="3"/>
        <v>3.9214839701805504E-2</v>
      </c>
      <c r="N27" s="99">
        <f t="shared" si="7"/>
        <v>6.4371976704248171E-2</v>
      </c>
      <c r="O27" s="100">
        <f t="shared" si="9"/>
        <v>3.5400094492089389</v>
      </c>
      <c r="P27" s="103">
        <v>3.4503500800000007</v>
      </c>
      <c r="Q27" s="99">
        <f t="shared" si="5"/>
        <v>3.7414161646353472E-2</v>
      </c>
      <c r="R27" s="98">
        <v>3.3074998899999994</v>
      </c>
      <c r="S27" s="98">
        <v>3.1995253839999998</v>
      </c>
      <c r="T27" s="101">
        <f t="shared" si="6"/>
        <v>-3.2645354373692759E-2</v>
      </c>
    </row>
    <row r="28" spans="1:20" x14ac:dyDescent="0.35">
      <c r="A28" s="96">
        <f t="shared" si="8"/>
        <v>45195</v>
      </c>
      <c r="B28" s="97">
        <v>5.1560804649999996</v>
      </c>
      <c r="C28" s="98">
        <v>5.5192583830000004</v>
      </c>
      <c r="D28" s="99">
        <f t="shared" si="0"/>
        <v>7.0436821237622071E-2</v>
      </c>
      <c r="E28" s="97">
        <v>2.7682055065999998</v>
      </c>
      <c r="F28" s="98">
        <v>2.8777583178000006</v>
      </c>
      <c r="G28" s="99">
        <f t="shared" si="1"/>
        <v>3.9575389521768978E-2</v>
      </c>
      <c r="H28" s="97">
        <v>5.3325471880000013</v>
      </c>
      <c r="I28" s="98">
        <v>5.7177915029999991</v>
      </c>
      <c r="J28" s="99">
        <f t="shared" si="2"/>
        <v>7.2243957984455376E-2</v>
      </c>
      <c r="K28" s="97">
        <v>5.4109000500000013</v>
      </c>
      <c r="L28" s="98">
        <v>5.7616139300000002</v>
      </c>
      <c r="M28" s="104">
        <f t="shared" si="3"/>
        <v>6.4816181551902607E-2</v>
      </c>
      <c r="N28" s="99">
        <f t="shared" si="7"/>
        <v>6.0752056247948806E-2</v>
      </c>
      <c r="O28" s="100">
        <f t="shared" si="9"/>
        <v>5.7396233541896304</v>
      </c>
      <c r="P28" s="98">
        <v>5.7865637200000002</v>
      </c>
      <c r="Q28" s="99">
        <f t="shared" si="5"/>
        <v>6.9427205553353133E-2</v>
      </c>
      <c r="R28" s="98">
        <v>5.4155331700000007</v>
      </c>
      <c r="S28" s="98">
        <v>5.5345898599999988</v>
      </c>
      <c r="T28" s="101">
        <f t="shared" si="6"/>
        <v>2.198429706968219E-2</v>
      </c>
    </row>
    <row r="29" spans="1:20" x14ac:dyDescent="0.35">
      <c r="A29" s="96">
        <f t="shared" si="8"/>
        <v>45196</v>
      </c>
      <c r="B29" s="97">
        <v>4.6457722480000001</v>
      </c>
      <c r="C29" s="98">
        <v>4.9665916322000001</v>
      </c>
      <c r="D29" s="99">
        <f t="shared" si="0"/>
        <v>6.9056201439515741E-2</v>
      </c>
      <c r="E29" s="97">
        <v>4.3491946369999992</v>
      </c>
      <c r="F29" s="98">
        <v>4.6701638730000008</v>
      </c>
      <c r="G29" s="99">
        <f t="shared" si="1"/>
        <v>7.3799694607689759E-2</v>
      </c>
      <c r="H29" s="97">
        <v>4.4686028370000006</v>
      </c>
      <c r="I29" s="98">
        <v>4.7885556029999998</v>
      </c>
      <c r="J29" s="99">
        <f t="shared" si="2"/>
        <v>7.1600179669312425E-2</v>
      </c>
      <c r="K29" s="97">
        <v>5.8057749599999999</v>
      </c>
      <c r="L29" s="98">
        <v>6.2197027900000004</v>
      </c>
      <c r="M29" s="104">
        <f t="shared" si="3"/>
        <v>7.1295879163735254E-2</v>
      </c>
      <c r="N29" s="99">
        <f t="shared" si="7"/>
        <v>7.1485358572172641E-2</v>
      </c>
      <c r="O29" s="100">
        <f t="shared" si="9"/>
        <v>6.2208028648049414</v>
      </c>
      <c r="P29" s="98">
        <v>6.2675359400000001</v>
      </c>
      <c r="Q29" s="99">
        <f t="shared" si="5"/>
        <v>7.9534770669099419E-2</v>
      </c>
      <c r="R29" s="98">
        <v>5.8418051699999998</v>
      </c>
      <c r="S29" s="98">
        <v>6.0522589099999999</v>
      </c>
      <c r="T29" s="101">
        <f t="shared" si="6"/>
        <v>3.6025463683856396E-2</v>
      </c>
    </row>
    <row r="30" spans="1:20" x14ac:dyDescent="0.35">
      <c r="A30" s="96">
        <f t="shared" si="8"/>
        <v>45197</v>
      </c>
      <c r="B30" s="97">
        <v>5.2518388900000001</v>
      </c>
      <c r="C30" s="98">
        <v>5.7272495500000007</v>
      </c>
      <c r="D30" s="99">
        <f t="shared" si="0"/>
        <v>9.0522704515027641E-2</v>
      </c>
      <c r="E30" s="97">
        <v>4.0257471889999996</v>
      </c>
      <c r="F30" s="98">
        <v>4.2742889762000003</v>
      </c>
      <c r="G30" s="99">
        <f t="shared" si="1"/>
        <v>6.1738051480013212E-2</v>
      </c>
      <c r="H30" s="97">
        <v>4.9536361099999997</v>
      </c>
      <c r="I30" s="98">
        <v>5.3415333200000008</v>
      </c>
      <c r="J30" s="99">
        <f t="shared" si="2"/>
        <v>7.8305551999862333E-2</v>
      </c>
      <c r="K30" s="97">
        <v>4.8454612200000007</v>
      </c>
      <c r="L30" s="98">
        <v>5.1332747799999989</v>
      </c>
      <c r="M30" s="104">
        <f t="shared" si="3"/>
        <v>5.9398589098603516E-2</v>
      </c>
      <c r="N30" s="99">
        <f t="shared" si="7"/>
        <v>7.6855435998301067E-2</v>
      </c>
      <c r="O30" s="100">
        <f t="shared" si="9"/>
        <v>5.2178612546759613</v>
      </c>
      <c r="P30" s="98">
        <v>5.1446915200000012</v>
      </c>
      <c r="Q30" s="99">
        <f t="shared" si="5"/>
        <v>6.1754761087531751E-2</v>
      </c>
      <c r="R30" s="98">
        <v>4.9324786900000008</v>
      </c>
      <c r="S30" s="98">
        <v>5.0237729699999996</v>
      </c>
      <c r="T30" s="101">
        <f t="shared" si="6"/>
        <v>1.8508803734943013E-2</v>
      </c>
    </row>
    <row r="31" spans="1:20" x14ac:dyDescent="0.35">
      <c r="A31" s="96">
        <f t="shared" si="8"/>
        <v>45198</v>
      </c>
      <c r="B31" s="97">
        <v>5.5633379400000011</v>
      </c>
      <c r="C31" s="98">
        <v>6.0830106759999998</v>
      </c>
      <c r="D31" s="99">
        <f t="shared" si="0"/>
        <v>9.3410240687265889E-2</v>
      </c>
      <c r="E31" s="97">
        <v>3.2431056300000001</v>
      </c>
      <c r="F31" s="98">
        <v>3.4316415699999996</v>
      </c>
      <c r="G31" s="99">
        <f t="shared" si="1"/>
        <v>5.813438151874184E-2</v>
      </c>
      <c r="H31" s="97">
        <v>5.7343499800000011</v>
      </c>
      <c r="I31" s="98">
        <v>6.2523305499999999</v>
      </c>
      <c r="J31" s="99">
        <f t="shared" si="2"/>
        <v>9.0329430852073456E-2</v>
      </c>
      <c r="K31" s="97">
        <v>5.877447179999999</v>
      </c>
      <c r="L31" s="98">
        <v>6.3324859099999999</v>
      </c>
      <c r="M31" s="104">
        <f t="shared" si="3"/>
        <v>7.7421151745680428E-2</v>
      </c>
      <c r="N31" s="99">
        <f t="shared" si="7"/>
        <v>8.0624684352693723E-2</v>
      </c>
      <c r="O31" s="100">
        <f t="shared" si="9"/>
        <v>6.3513145036871288</v>
      </c>
      <c r="P31" s="98">
        <v>6.4078749100000003</v>
      </c>
      <c r="Q31" s="99">
        <f t="shared" si="5"/>
        <v>9.0247979055424032E-2</v>
      </c>
      <c r="R31" s="98">
        <v>5.9421224920000002</v>
      </c>
      <c r="S31" s="98">
        <v>6.2099476137000007</v>
      </c>
      <c r="T31" s="101">
        <f t="shared" si="6"/>
        <v>4.5072299007733241E-2</v>
      </c>
    </row>
    <row r="32" spans="1:20" x14ac:dyDescent="0.35">
      <c r="A32" s="96">
        <f t="shared" si="8"/>
        <v>45199</v>
      </c>
      <c r="B32" s="97">
        <v>5.4269361099999989</v>
      </c>
      <c r="C32" s="98">
        <v>5.9342943700000008</v>
      </c>
      <c r="D32" s="99">
        <f t="shared" si="0"/>
        <v>9.3488894970610303E-2</v>
      </c>
      <c r="E32" s="97">
        <v>4.8516083939999994</v>
      </c>
      <c r="F32" s="98">
        <v>5.290260943999999</v>
      </c>
      <c r="G32" s="99">
        <f t="shared" si="1"/>
        <v>9.0413841014555629E-2</v>
      </c>
      <c r="H32" s="97">
        <v>5.8882471899999995</v>
      </c>
      <c r="I32" s="98">
        <v>6.3645721899999996</v>
      </c>
      <c r="J32" s="99">
        <f t="shared" si="2"/>
        <v>8.0894192215459571E-2</v>
      </c>
      <c r="K32" s="97">
        <v>6.1350221699999992</v>
      </c>
      <c r="L32" s="98">
        <v>6.6722166700000001</v>
      </c>
      <c r="M32" s="104">
        <f t="shared" si="3"/>
        <v>8.7561949266762085E-2</v>
      </c>
      <c r="N32" s="99">
        <f t="shared" si="7"/>
        <v>8.826564273354183E-2</v>
      </c>
      <c r="O32" s="100">
        <f t="shared" si="9"/>
        <v>6.676533845019577</v>
      </c>
      <c r="P32" s="98">
        <v>6.7417805199999989</v>
      </c>
      <c r="Q32" s="99">
        <f t="shared" si="5"/>
        <v>9.8900759147541928E-2</v>
      </c>
      <c r="R32" s="98">
        <v>6.2494653719999995</v>
      </c>
      <c r="S32" s="98">
        <v>6.5598086837</v>
      </c>
      <c r="T32" s="101">
        <f t="shared" si="6"/>
        <v>4.9659177741900429E-2</v>
      </c>
    </row>
    <row r="33" spans="2:20" x14ac:dyDescent="0.35">
      <c r="B33" s="105">
        <f>SUM(B3:B32)</f>
        <v>156.1042787042</v>
      </c>
      <c r="C33" s="105">
        <f>SUM(C3:C32)</f>
        <v>163.40821718511998</v>
      </c>
      <c r="D33" s="106">
        <f t="shared" si="0"/>
        <v>4.6788842314566592E-2</v>
      </c>
      <c r="E33" s="105">
        <f>SUM(E3:E32)</f>
        <v>119.69641944879999</v>
      </c>
      <c r="F33" s="105">
        <f>SUM(F3:F32)</f>
        <v>123.8178099909</v>
      </c>
      <c r="G33" s="106">
        <f t="shared" si="1"/>
        <v>3.4432028636102396E-2</v>
      </c>
      <c r="H33" s="105">
        <f>SUM(H3:H32)</f>
        <v>151.07115809299995</v>
      </c>
      <c r="I33" s="105">
        <f>SUM(I3:I32)</f>
        <v>157.39524370429999</v>
      </c>
      <c r="J33" s="106">
        <f t="shared" si="2"/>
        <v>4.1861634551096039E-2</v>
      </c>
      <c r="K33" s="105">
        <f>SUM(K3:K32)</f>
        <v>131.07979302664</v>
      </c>
      <c r="L33" s="105">
        <f>SUM(L3:L32)</f>
        <v>135.42683983061997</v>
      </c>
      <c r="M33" s="106">
        <f t="shared" si="3"/>
        <v>3.3163363349959507E-2</v>
      </c>
      <c r="N33" s="105"/>
      <c r="O33" s="105">
        <f>SUM(O3:O32)</f>
        <v>135.81863469386616</v>
      </c>
      <c r="P33" s="105">
        <f>SUM(P3:P32)</f>
        <v>135.50710842708</v>
      </c>
      <c r="Q33" s="106">
        <f t="shared" si="5"/>
        <v>3.3775727732040295E-2</v>
      </c>
      <c r="R33" s="105">
        <f>SUM(R3:R32)</f>
        <v>131.60966404189</v>
      </c>
      <c r="S33" s="105">
        <f>SUM(S3:S32)</f>
        <v>130.96328795976001</v>
      </c>
      <c r="T33" s="106">
        <f t="shared" si="6"/>
        <v>-4.9113116945899149E-3</v>
      </c>
    </row>
    <row r="34" spans="2:20" x14ac:dyDescent="0.35">
      <c r="B34" s="107">
        <f>B33/30</f>
        <v>5.2034759568066669</v>
      </c>
      <c r="C34" s="107">
        <f>C33/30</f>
        <v>5.4469405728373328</v>
      </c>
      <c r="E34" s="107">
        <f>E33/30</f>
        <v>3.9898806482933327</v>
      </c>
      <c r="F34" s="107">
        <f>F33/30</f>
        <v>4.1272603330299997</v>
      </c>
      <c r="H34" s="107">
        <f>H33/30</f>
        <v>5.0357052697666651</v>
      </c>
      <c r="I34" s="107">
        <f>I33/30</f>
        <v>5.2465081234766666</v>
      </c>
      <c r="K34" s="107">
        <f>K33/30</f>
        <v>4.3693264342213336</v>
      </c>
      <c r="L34" s="107">
        <f>L33/30</f>
        <v>4.5142279943539991</v>
      </c>
      <c r="M34" s="43"/>
      <c r="N34" s="43"/>
      <c r="O34" s="107">
        <f>O33/30</f>
        <v>4.527287823128872</v>
      </c>
      <c r="P34" s="29"/>
      <c r="Q34" s="108"/>
    </row>
    <row r="35" spans="2:20" x14ac:dyDescent="0.35">
      <c r="L35" s="28"/>
      <c r="O35" s="29">
        <f>O34/K34-1</f>
        <v>3.6152343223970762E-2</v>
      </c>
    </row>
    <row r="36" spans="2:20" x14ac:dyDescent="0.35">
      <c r="O36" s="29"/>
    </row>
    <row r="39" spans="2:20" x14ac:dyDescent="0.35">
      <c r="L39" t="s">
        <v>63</v>
      </c>
      <c r="M39" t="s">
        <v>64</v>
      </c>
    </row>
    <row r="40" spans="2:20" x14ac:dyDescent="0.35">
      <c r="K40" t="s">
        <v>65</v>
      </c>
      <c r="L40" s="28">
        <f>[1]SEMLI!B72</f>
        <v>2017.5829554630786</v>
      </c>
      <c r="M40" s="28">
        <f>[1]SEMLI!C72</f>
        <v>1811.6992600000001</v>
      </c>
      <c r="N40" s="29">
        <f>M40/L40-1</f>
        <v>-0.10204472381450302</v>
      </c>
    </row>
    <row r="41" spans="2:20" x14ac:dyDescent="0.35">
      <c r="K41" t="s">
        <v>66</v>
      </c>
      <c r="L41" s="28">
        <f>[1]SEMLI!F72*30</f>
        <v>162.6</v>
      </c>
      <c r="M41" s="28">
        <f>O33</f>
        <v>135.81863469386616</v>
      </c>
      <c r="N41" s="29">
        <f>M41/L41-1</f>
        <v>-0.16470704370316014</v>
      </c>
    </row>
    <row r="42" spans="2:20" x14ac:dyDescent="0.35">
      <c r="N42" s="15">
        <f>N40-N41</f>
        <v>6.2662319888657114E-2</v>
      </c>
    </row>
  </sheetData>
  <mergeCells count="4">
    <mergeCell ref="B1:D1"/>
    <mergeCell ref="E1:G1"/>
    <mergeCell ref="H1:J1"/>
    <mergeCell ref="K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SEMLI</vt:lpstr>
      <vt:lpstr>Data</vt:lpstr>
      <vt:lpstr>GTI Error Rectification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2025-03-05T08:55:20Z</dcterms:modified>
</cp:coreProperties>
</file>