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65a70bbe7088c/שולחן העבודה/Work in R- ניהול היצור/"/>
    </mc:Choice>
  </mc:AlternateContent>
  <xr:revisionPtr revIDLastSave="0" documentId="13_ncr:1_{5E0C0822-121D-4F54-87ED-DC04CC5C69CC}" xr6:coauthVersionLast="47" xr6:coauthVersionMax="47" xr10:uidLastSave="{00000000-0000-0000-0000-000000000000}"/>
  <workbookProtection workbookAlgorithmName="SHA-512" workbookHashValue="EfGDPEzZHPeyP/fErorExUWhDW3OlDXpnJy/byMfnrmC02iXViWOphQYuo4UeNJcLgmV5e7+52LlFemvqXknlg==" workbookSaltValue="WEiN8JrilKOUpwoOSfNuiA==" workbookSpinCount="100000" lockStructure="1"/>
  <bookViews>
    <workbookView xWindow="-110" yWindow="-110" windowWidth="19420" windowHeight="10300" activeTab="2" xr2:uid="{738FD6AD-7FE2-46D9-A0B9-F367889BEF9B}"/>
  </bookViews>
  <sheets>
    <sheet name="ID" sheetId="3" r:id="rId1"/>
    <sheet name="תרשים1" sheetId="4" state="hidden" r:id="rId2"/>
    <sheet name="Data316087337_NoaBarnov" sheetId="1" r:id="rId3"/>
    <sheet name="Admin" sheetId="2" state="hidden" r:id="rId4"/>
    <sheet name="Answers" sheetId="9" r:id="rId5"/>
    <sheet name="Graphs" sheetId="10" r:id="rId6"/>
    <sheet name="Data (2)" sheetId="5" state="hidden" r:id="rId7"/>
  </sheets>
  <definedNames>
    <definedName name="A0">Admin!$B$3</definedName>
    <definedName name="avg">Admin!$B$8</definedName>
    <definedName name="ID">ID!$B$2</definedName>
    <definedName name="Months">Admin!$P$2:$AA$2</definedName>
    <definedName name="RefNum">Admin!$B$1</definedName>
    <definedName name="Seasonality">Admin!$B$5</definedName>
    <definedName name="SeasonalityTable">Admin!$P$3:$AA$13</definedName>
    <definedName name="Std">Admin!$B$6</definedName>
    <definedName name="Trend">Admin!$B$4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G20" i="9"/>
  <c r="G17" i="9"/>
  <c r="G18" i="9"/>
  <c r="G19" i="9"/>
  <c r="G16" i="9"/>
  <c r="G15" i="9"/>
  <c r="G14" i="9"/>
  <c r="G13" i="9"/>
  <c r="G9" i="9"/>
  <c r="G10" i="9"/>
  <c r="G11" i="9"/>
  <c r="G12" i="9"/>
  <c r="G8" i="9"/>
  <c r="G5" i="9"/>
  <c r="G6" i="9"/>
  <c r="G7" i="9"/>
  <c r="G4" i="9"/>
  <c r="G3" i="9"/>
  <c r="G2" i="9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B14" i="2" l="1"/>
  <c r="C2" i="5" l="1"/>
  <c r="B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121" i="5"/>
  <c r="B121" i="5" s="1"/>
  <c r="C120" i="5"/>
  <c r="B120" i="5" s="1"/>
  <c r="C119" i="5"/>
  <c r="B119" i="5" s="1"/>
  <c r="C118" i="5"/>
  <c r="B118" i="5" s="1"/>
  <c r="C117" i="5"/>
  <c r="B117" i="5" s="1"/>
  <c r="C116" i="5"/>
  <c r="B116" i="5" s="1"/>
  <c r="C115" i="5"/>
  <c r="B115" i="5" s="1"/>
  <c r="C114" i="5"/>
  <c r="B114" i="5" s="1"/>
  <c r="C113" i="5"/>
  <c r="B113" i="5" s="1"/>
  <c r="C112" i="5"/>
  <c r="B112" i="5" s="1"/>
  <c r="C111" i="5"/>
  <c r="B111" i="5" s="1"/>
  <c r="C110" i="5"/>
  <c r="B110" i="5" s="1"/>
  <c r="C109" i="5"/>
  <c r="B109" i="5" s="1"/>
  <c r="C108" i="5"/>
  <c r="B108" i="5" s="1"/>
  <c r="C107" i="5"/>
  <c r="B107" i="5" s="1"/>
  <c r="C106" i="5"/>
  <c r="B106" i="5" s="1"/>
  <c r="C105" i="5"/>
  <c r="B105" i="5" s="1"/>
  <c r="C104" i="5"/>
  <c r="B104" i="5" s="1"/>
  <c r="C103" i="5"/>
  <c r="B103" i="5" s="1"/>
  <c r="C102" i="5"/>
  <c r="B102" i="5" s="1"/>
  <c r="C101" i="5"/>
  <c r="B101" i="5" s="1"/>
  <c r="C100" i="5"/>
  <c r="B100" i="5" s="1"/>
  <c r="C99" i="5"/>
  <c r="B99" i="5" s="1"/>
  <c r="C98" i="5"/>
  <c r="B98" i="5" s="1"/>
  <c r="C97" i="5"/>
  <c r="B97" i="5" s="1"/>
  <c r="C96" i="5"/>
  <c r="B96" i="5" s="1"/>
  <c r="C95" i="5"/>
  <c r="B95" i="5" s="1"/>
  <c r="C94" i="5"/>
  <c r="B94" i="5" s="1"/>
  <c r="C93" i="5"/>
  <c r="B93" i="5" s="1"/>
  <c r="C92" i="5"/>
  <c r="B92" i="5" s="1"/>
  <c r="C91" i="5"/>
  <c r="B91" i="5" s="1"/>
  <c r="C90" i="5"/>
  <c r="B90" i="5" s="1"/>
  <c r="C89" i="5"/>
  <c r="B89" i="5" s="1"/>
  <c r="C88" i="5"/>
  <c r="B88" i="5" s="1"/>
  <c r="C87" i="5"/>
  <c r="B87" i="5" s="1"/>
  <c r="C86" i="5"/>
  <c r="B86" i="5" s="1"/>
  <c r="C85" i="5"/>
  <c r="B85" i="5" s="1"/>
  <c r="C84" i="5"/>
  <c r="B84" i="5" s="1"/>
  <c r="C83" i="5"/>
  <c r="B83" i="5" s="1"/>
  <c r="C82" i="5"/>
  <c r="B82" i="5" s="1"/>
  <c r="C81" i="5"/>
  <c r="B81" i="5" s="1"/>
  <c r="C80" i="5"/>
  <c r="B80" i="5" s="1"/>
  <c r="C79" i="5"/>
  <c r="B79" i="5" s="1"/>
  <c r="C78" i="5"/>
  <c r="B78" i="5" s="1"/>
  <c r="C77" i="5"/>
  <c r="B77" i="5" s="1"/>
  <c r="C76" i="5"/>
  <c r="B76" i="5" s="1"/>
  <c r="C75" i="5"/>
  <c r="B75" i="5" s="1"/>
  <c r="C74" i="5"/>
  <c r="B74" i="5" s="1"/>
  <c r="C73" i="5"/>
  <c r="B73" i="5" s="1"/>
  <c r="C72" i="5"/>
  <c r="B72" i="5" s="1"/>
  <c r="C71" i="5"/>
  <c r="B71" i="5" s="1"/>
  <c r="C70" i="5"/>
  <c r="B70" i="5" s="1"/>
  <c r="C69" i="5"/>
  <c r="B69" i="5" s="1"/>
  <c r="C68" i="5"/>
  <c r="B68" i="5" s="1"/>
  <c r="C67" i="5"/>
  <c r="B67" i="5" s="1"/>
  <c r="C66" i="5"/>
  <c r="B66" i="5" s="1"/>
  <c r="C65" i="5"/>
  <c r="B65" i="5" s="1"/>
  <c r="C64" i="5"/>
  <c r="B64" i="5" s="1"/>
  <c r="C63" i="5"/>
  <c r="B63" i="5" s="1"/>
  <c r="C62" i="5"/>
  <c r="B62" i="5" s="1"/>
  <c r="C61" i="5"/>
  <c r="B61" i="5" s="1"/>
  <c r="C60" i="5"/>
  <c r="B60" i="5" s="1"/>
  <c r="C59" i="5"/>
  <c r="B59" i="5" s="1"/>
  <c r="C58" i="5"/>
  <c r="B58" i="5" s="1"/>
  <c r="C57" i="5"/>
  <c r="B57" i="5" s="1"/>
  <c r="C56" i="5"/>
  <c r="B56" i="5" s="1"/>
  <c r="C55" i="5"/>
  <c r="B55" i="5" s="1"/>
  <c r="C54" i="5"/>
  <c r="B54" i="5" s="1"/>
  <c r="C53" i="5"/>
  <c r="B53" i="5" s="1"/>
  <c r="C52" i="5"/>
  <c r="B52" i="5" s="1"/>
  <c r="C51" i="5"/>
  <c r="B51" i="5" s="1"/>
  <c r="C50" i="5"/>
  <c r="B50" i="5" s="1"/>
  <c r="C49" i="5"/>
  <c r="B49" i="5" s="1"/>
  <c r="C48" i="5"/>
  <c r="B48" i="5" s="1"/>
  <c r="C47" i="5"/>
  <c r="B47" i="5" s="1"/>
  <c r="C46" i="5"/>
  <c r="B46" i="5" s="1"/>
  <c r="C45" i="5"/>
  <c r="B45" i="5" s="1"/>
  <c r="C44" i="5"/>
  <c r="B44" i="5" s="1"/>
  <c r="C43" i="5"/>
  <c r="B43" i="5" s="1"/>
  <c r="C42" i="5"/>
  <c r="B42" i="5" s="1"/>
  <c r="C41" i="5"/>
  <c r="B41" i="5" s="1"/>
  <c r="C40" i="5"/>
  <c r="B40" i="5" s="1"/>
  <c r="C39" i="5"/>
  <c r="B39" i="5" s="1"/>
  <c r="C38" i="5"/>
  <c r="B38" i="5" s="1"/>
  <c r="C37" i="5"/>
  <c r="B37" i="5" s="1"/>
  <c r="C36" i="5"/>
  <c r="B36" i="5" s="1"/>
  <c r="C35" i="5"/>
  <c r="B35" i="5" s="1"/>
  <c r="C34" i="5"/>
  <c r="B34" i="5" s="1"/>
  <c r="C33" i="5"/>
  <c r="B33" i="5" s="1"/>
  <c r="C32" i="5"/>
  <c r="B32" i="5" s="1"/>
  <c r="C31" i="5"/>
  <c r="B31" i="5" s="1"/>
  <c r="C30" i="5"/>
  <c r="B30" i="5" s="1"/>
  <c r="C29" i="5"/>
  <c r="B29" i="5" s="1"/>
  <c r="C28" i="5"/>
  <c r="B28" i="5" s="1"/>
  <c r="C27" i="5"/>
  <c r="B27" i="5" s="1"/>
  <c r="C26" i="5"/>
  <c r="B26" i="5" s="1"/>
  <c r="C25" i="5"/>
  <c r="B25" i="5" s="1"/>
  <c r="AC4" i="2"/>
  <c r="AC5" i="2"/>
  <c r="AC6" i="2"/>
  <c r="AC7" i="2"/>
  <c r="AC8" i="2"/>
  <c r="AC9" i="2"/>
  <c r="AC10" i="2"/>
  <c r="AC11" i="2"/>
  <c r="AC12" i="2"/>
  <c r="AC13" i="2"/>
  <c r="AC3" i="2"/>
  <c r="B1" i="2" l="1"/>
  <c r="S18" i="2"/>
  <c r="P18" i="2"/>
  <c r="Q18" i="2"/>
  <c r="R18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Z21" i="2"/>
  <c r="X20" i="2"/>
  <c r="V26" i="2"/>
  <c r="T19" i="2"/>
  <c r="S24" i="2"/>
  <c r="U26" i="2"/>
  <c r="Y25" i="2"/>
  <c r="R24" i="2"/>
  <c r="P19" i="2"/>
  <c r="R21" i="2"/>
  <c r="R20" i="2"/>
  <c r="Z27" i="2"/>
  <c r="Q19" i="2"/>
  <c r="P24" i="2"/>
  <c r="P20" i="2"/>
  <c r="AA20" i="2"/>
  <c r="R19" i="2"/>
  <c r="P23" i="2"/>
  <c r="Z26" i="2"/>
  <c r="Z20" i="2"/>
  <c r="W27" i="2"/>
  <c r="S27" i="2"/>
  <c r="W22" i="2"/>
  <c r="S23" i="2"/>
  <c r="V25" i="2"/>
  <c r="Q21" i="2"/>
  <c r="T26" i="2"/>
  <c r="Y24" i="2"/>
  <c r="T24" i="2"/>
  <c r="Y26" i="2"/>
  <c r="V18" i="2"/>
  <c r="P22" i="2"/>
  <c r="AA24" i="2"/>
  <c r="S20" i="2"/>
  <c r="R26" i="2"/>
  <c r="V20" i="2"/>
  <c r="W26" i="2"/>
  <c r="Q23" i="2"/>
  <c r="X18" i="2"/>
  <c r="T27" i="2"/>
  <c r="T23" i="2"/>
  <c r="W23" i="2"/>
  <c r="V19" i="2"/>
  <c r="X19" i="2"/>
  <c r="Y22" i="2"/>
  <c r="AA27" i="2"/>
  <c r="Z25" i="2"/>
  <c r="Y21" i="2"/>
  <c r="AA25" i="2"/>
  <c r="W21" i="2"/>
  <c r="Z23" i="2"/>
  <c r="Y23" i="2"/>
  <c r="AA21" i="2"/>
  <c r="V22" i="2"/>
  <c r="Q24" i="2"/>
  <c r="Y27" i="2"/>
  <c r="Z22" i="2"/>
  <c r="U20" i="2"/>
  <c r="X21" i="2"/>
  <c r="V21" i="2"/>
  <c r="W18" i="2"/>
  <c r="X27" i="2"/>
  <c r="AA18" i="2"/>
  <c r="Q22" i="2"/>
  <c r="W25" i="2"/>
  <c r="X23" i="2"/>
  <c r="Z18" i="2"/>
  <c r="Q25" i="2"/>
  <c r="Y18" i="2"/>
  <c r="Q27" i="2"/>
  <c r="U18" i="2"/>
  <c r="T21" i="2"/>
  <c r="Y20" i="2"/>
  <c r="R22" i="2"/>
  <c r="P26" i="2"/>
  <c r="AA26" i="2"/>
  <c r="X22" i="2"/>
  <c r="X25" i="2"/>
  <c r="T18" i="2"/>
  <c r="AA19" i="2"/>
  <c r="Q26" i="2"/>
  <c r="V23" i="2"/>
  <c r="V27" i="2"/>
  <c r="R27" i="2"/>
  <c r="Q20" i="2"/>
  <c r="U24" i="2"/>
  <c r="S19" i="2"/>
  <c r="U25" i="2"/>
  <c r="Y19" i="2"/>
  <c r="T25" i="2"/>
  <c r="Z19" i="2"/>
  <c r="U22" i="2"/>
  <c r="W24" i="2"/>
  <c r="W20" i="2"/>
  <c r="Z24" i="2"/>
  <c r="R25" i="2"/>
  <c r="S25" i="2"/>
  <c r="W19" i="2"/>
  <c r="AA23" i="2"/>
  <c r="U23" i="2"/>
  <c r="AA22" i="2"/>
  <c r="U19" i="2"/>
  <c r="U27" i="2"/>
  <c r="R23" i="2"/>
  <c r="T22" i="2"/>
  <c r="T20" i="2"/>
  <c r="X24" i="2"/>
  <c r="P27" i="2"/>
  <c r="S21" i="2"/>
  <c r="U21" i="2"/>
  <c r="P21" i="2"/>
  <c r="V24" i="2"/>
  <c r="P25" i="2"/>
  <c r="X26" i="2"/>
  <c r="S26" i="2"/>
  <c r="S22" i="2"/>
  <c r="T30" i="2" l="1"/>
  <c r="X30" i="2"/>
  <c r="Z30" i="2"/>
  <c r="S30" i="2"/>
  <c r="AA30" i="2"/>
  <c r="W30" i="2"/>
  <c r="U30" i="2"/>
  <c r="Y30" i="2"/>
  <c r="Q30" i="2"/>
  <c r="V30" i="2"/>
  <c r="R30" i="2"/>
  <c r="P30" i="2"/>
  <c r="AB6" i="2"/>
  <c r="AB10" i="2"/>
  <c r="A1" i="2"/>
  <c r="F2" i="2"/>
  <c r="D15" i="2"/>
  <c r="D27" i="2" s="1"/>
  <c r="D39" i="2" s="1"/>
  <c r="D51" i="2" s="1"/>
  <c r="D63" i="2" s="1"/>
  <c r="D75" i="2" s="1"/>
  <c r="D87" i="2" s="1"/>
  <c r="D99" i="2" s="1"/>
  <c r="D111" i="2" s="1"/>
  <c r="D16" i="2"/>
  <c r="D28" i="2" s="1"/>
  <c r="D40" i="2" s="1"/>
  <c r="D52" i="2" s="1"/>
  <c r="D64" i="2" s="1"/>
  <c r="D76" i="2" s="1"/>
  <c r="D88" i="2" s="1"/>
  <c r="D100" i="2" s="1"/>
  <c r="D112" i="2" s="1"/>
  <c r="D17" i="2"/>
  <c r="D29" i="2" s="1"/>
  <c r="D41" i="2" s="1"/>
  <c r="D53" i="2" s="1"/>
  <c r="D65" i="2" s="1"/>
  <c r="D77" i="2" s="1"/>
  <c r="D89" i="2" s="1"/>
  <c r="D101" i="2" s="1"/>
  <c r="D113" i="2" s="1"/>
  <c r="D18" i="2"/>
  <c r="D30" i="2" s="1"/>
  <c r="D42" i="2" s="1"/>
  <c r="D54" i="2" s="1"/>
  <c r="D66" i="2" s="1"/>
  <c r="D78" i="2" s="1"/>
  <c r="D90" i="2" s="1"/>
  <c r="D102" i="2" s="1"/>
  <c r="D114" i="2" s="1"/>
  <c r="D19" i="2"/>
  <c r="D31" i="2" s="1"/>
  <c r="D43" i="2" s="1"/>
  <c r="D55" i="2" s="1"/>
  <c r="D67" i="2" s="1"/>
  <c r="D79" i="2" s="1"/>
  <c r="D91" i="2" s="1"/>
  <c r="D103" i="2" s="1"/>
  <c r="D115" i="2" s="1"/>
  <c r="D20" i="2"/>
  <c r="D32" i="2" s="1"/>
  <c r="D44" i="2" s="1"/>
  <c r="D56" i="2" s="1"/>
  <c r="D68" i="2" s="1"/>
  <c r="D80" i="2" s="1"/>
  <c r="D92" i="2" s="1"/>
  <c r="D104" i="2" s="1"/>
  <c r="D116" i="2" s="1"/>
  <c r="D21" i="2"/>
  <c r="D33" i="2" s="1"/>
  <c r="D45" i="2" s="1"/>
  <c r="D57" i="2" s="1"/>
  <c r="D69" i="2" s="1"/>
  <c r="D81" i="2" s="1"/>
  <c r="D93" i="2" s="1"/>
  <c r="D105" i="2" s="1"/>
  <c r="D117" i="2" s="1"/>
  <c r="D22" i="2"/>
  <c r="D34" i="2" s="1"/>
  <c r="D46" i="2" s="1"/>
  <c r="D58" i="2" s="1"/>
  <c r="D70" i="2" s="1"/>
  <c r="D82" i="2" s="1"/>
  <c r="D94" i="2" s="1"/>
  <c r="D106" i="2" s="1"/>
  <c r="D118" i="2" s="1"/>
  <c r="D23" i="2"/>
  <c r="D35" i="2" s="1"/>
  <c r="D47" i="2" s="1"/>
  <c r="D59" i="2" s="1"/>
  <c r="D71" i="2" s="1"/>
  <c r="D83" i="2" s="1"/>
  <c r="D95" i="2" s="1"/>
  <c r="D107" i="2" s="1"/>
  <c r="D119" i="2" s="1"/>
  <c r="D24" i="2"/>
  <c r="D36" i="2" s="1"/>
  <c r="D48" i="2" s="1"/>
  <c r="D60" i="2" s="1"/>
  <c r="D72" i="2" s="1"/>
  <c r="D84" i="2" s="1"/>
  <c r="D96" i="2" s="1"/>
  <c r="D108" i="2" s="1"/>
  <c r="D120" i="2" s="1"/>
  <c r="D25" i="2"/>
  <c r="D37" i="2" s="1"/>
  <c r="D14" i="2"/>
  <c r="D26" i="2" s="1"/>
  <c r="D38" i="2" s="1"/>
  <c r="D50" i="2" s="1"/>
  <c r="D62" i="2" s="1"/>
  <c r="D74" i="2" s="1"/>
  <c r="D86" i="2" s="1"/>
  <c r="D98" i="2" s="1"/>
  <c r="D110" i="2" s="1"/>
  <c r="AB30" i="2" l="1"/>
  <c r="P32" i="2" s="1"/>
  <c r="AB9" i="2"/>
  <c r="AB12" i="2"/>
  <c r="AB11" i="2"/>
  <c r="AB8" i="2"/>
  <c r="AB4" i="2"/>
  <c r="AB13" i="2"/>
  <c r="AB5" i="2"/>
  <c r="AB7" i="2"/>
  <c r="AB3" i="2"/>
  <c r="D49" i="2"/>
  <c r="B5" i="2"/>
  <c r="U32" i="2" l="1"/>
  <c r="Y32" i="2"/>
  <c r="Y34" i="2" s="1"/>
  <c r="Q32" i="2"/>
  <c r="Q34" i="2" s="1"/>
  <c r="R32" i="2"/>
  <c r="R34" i="2" s="1"/>
  <c r="S32" i="2"/>
  <c r="S34" i="2" s="1"/>
  <c r="V32" i="2"/>
  <c r="W32" i="2"/>
  <c r="W34" i="2" s="1"/>
  <c r="Z32" i="2"/>
  <c r="Z34" i="2" s="1"/>
  <c r="T32" i="2"/>
  <c r="T34" i="2" s="1"/>
  <c r="X32" i="2"/>
  <c r="X34" i="2" s="1"/>
  <c r="AA32" i="2"/>
  <c r="AA34" i="2" s="1"/>
  <c r="P34" i="2"/>
  <c r="U34" i="2"/>
  <c r="V34" i="2"/>
  <c r="B3" i="2"/>
  <c r="D61" i="2"/>
  <c r="B4" i="2" l="1"/>
  <c r="AB34" i="2"/>
  <c r="D73" i="2"/>
  <c r="G50" i="2" l="1"/>
  <c r="G82" i="2"/>
  <c r="I82" i="2" s="1"/>
  <c r="G78" i="2"/>
  <c r="G39" i="2"/>
  <c r="I39" i="2" s="1"/>
  <c r="G37" i="2"/>
  <c r="G69" i="2"/>
  <c r="G3" i="2"/>
  <c r="I3" i="2" s="1"/>
  <c r="G13" i="2"/>
  <c r="I13" i="2" s="1"/>
  <c r="G71" i="2"/>
  <c r="I71" i="2" s="1"/>
  <c r="G43" i="2"/>
  <c r="G10" i="2"/>
  <c r="G121" i="2"/>
  <c r="G94" i="2"/>
  <c r="G84" i="2"/>
  <c r="G117" i="2"/>
  <c r="I117" i="2" s="1"/>
  <c r="B6" i="2"/>
  <c r="B21" i="2"/>
  <c r="H16" i="2"/>
  <c r="H11" i="2"/>
  <c r="H65" i="2"/>
  <c r="H120" i="2"/>
  <c r="H67" i="2"/>
  <c r="H100" i="2"/>
  <c r="H95" i="2"/>
  <c r="H109" i="2"/>
  <c r="H45" i="2"/>
  <c r="H80" i="2"/>
  <c r="H118" i="2"/>
  <c r="H76" i="2"/>
  <c r="H71" i="2"/>
  <c r="H97" i="2"/>
  <c r="H33" i="2"/>
  <c r="H56" i="2"/>
  <c r="H58" i="2"/>
  <c r="H36" i="2"/>
  <c r="H35" i="2"/>
  <c r="H77" i="2"/>
  <c r="H13" i="2"/>
  <c r="H12" i="2"/>
  <c r="B20" i="2"/>
  <c r="H68" i="2"/>
  <c r="H8" i="2"/>
  <c r="H63" i="2"/>
  <c r="H7" i="2"/>
  <c r="H93" i="2"/>
  <c r="H61" i="2"/>
  <c r="H29" i="2"/>
  <c r="H112" i="2"/>
  <c r="H48" i="2"/>
  <c r="H99" i="2"/>
  <c r="H31" i="2"/>
  <c r="H90" i="2"/>
  <c r="H26" i="2"/>
  <c r="H107" i="2"/>
  <c r="H43" i="2"/>
  <c r="H106" i="2"/>
  <c r="H42" i="2"/>
  <c r="H108" i="2"/>
  <c r="H44" i="2"/>
  <c r="H103" i="2"/>
  <c r="H39" i="2"/>
  <c r="H113" i="2"/>
  <c r="H81" i="2"/>
  <c r="H49" i="2"/>
  <c r="H17" i="2"/>
  <c r="H88" i="2"/>
  <c r="H20" i="2"/>
  <c r="H75" i="2"/>
  <c r="H3" i="2"/>
  <c r="H74" i="2"/>
  <c r="H10" i="2"/>
  <c r="H102" i="2"/>
  <c r="H86" i="2"/>
  <c r="H70" i="2"/>
  <c r="H54" i="2"/>
  <c r="H38" i="2"/>
  <c r="H22" i="2"/>
  <c r="H6" i="2"/>
  <c r="H116" i="2"/>
  <c r="H84" i="2"/>
  <c r="H52" i="2"/>
  <c r="H24" i="2"/>
  <c r="H111" i="2"/>
  <c r="H79" i="2"/>
  <c r="H47" i="2"/>
  <c r="H23" i="2"/>
  <c r="H117" i="2"/>
  <c r="H101" i="2"/>
  <c r="H85" i="2"/>
  <c r="H69" i="2"/>
  <c r="H53" i="2"/>
  <c r="H37" i="2"/>
  <c r="H21" i="2"/>
  <c r="H5" i="2"/>
  <c r="H96" i="2"/>
  <c r="H64" i="2"/>
  <c r="H32" i="2"/>
  <c r="H115" i="2"/>
  <c r="H83" i="2"/>
  <c r="H51" i="2"/>
  <c r="H15" i="2"/>
  <c r="H110" i="2"/>
  <c r="H94" i="2"/>
  <c r="H78" i="2"/>
  <c r="H62" i="2"/>
  <c r="H46" i="2"/>
  <c r="H30" i="2"/>
  <c r="H14" i="2"/>
  <c r="H92" i="2"/>
  <c r="H60" i="2"/>
  <c r="H28" i="2"/>
  <c r="H119" i="2"/>
  <c r="H87" i="2"/>
  <c r="H55" i="2"/>
  <c r="H27" i="2"/>
  <c r="H121" i="2"/>
  <c r="H105" i="2"/>
  <c r="H89" i="2"/>
  <c r="H73" i="2"/>
  <c r="H57" i="2"/>
  <c r="H41" i="2"/>
  <c r="H25" i="2"/>
  <c r="H9" i="2"/>
  <c r="H104" i="2"/>
  <c r="H72" i="2"/>
  <c r="H40" i="2"/>
  <c r="H4" i="2"/>
  <c r="H91" i="2"/>
  <c r="H59" i="2"/>
  <c r="H19" i="2"/>
  <c r="H114" i="2"/>
  <c r="H98" i="2"/>
  <c r="H82" i="2"/>
  <c r="H66" i="2"/>
  <c r="H50" i="2"/>
  <c r="H34" i="2"/>
  <c r="H18" i="2"/>
  <c r="H2" i="2"/>
  <c r="B8" i="2"/>
  <c r="B15" i="2" s="1"/>
  <c r="B16" i="2" s="1"/>
  <c r="B17" i="2" s="1"/>
  <c r="D85" i="2"/>
  <c r="B10" i="2" l="1"/>
  <c r="G60" i="2"/>
  <c r="I60" i="2" s="1"/>
  <c r="G113" i="2"/>
  <c r="I113" i="2" s="1"/>
  <c r="G38" i="2"/>
  <c r="I38" i="2" s="1"/>
  <c r="G21" i="2"/>
  <c r="I21" i="2" s="1"/>
  <c r="G102" i="2"/>
  <c r="I102" i="2" s="1"/>
  <c r="G85" i="2"/>
  <c r="I85" i="2" s="1"/>
  <c r="G55" i="2"/>
  <c r="I55" i="2" s="1"/>
  <c r="G105" i="2"/>
  <c r="G108" i="2"/>
  <c r="I108" i="2" s="1"/>
  <c r="G96" i="2"/>
  <c r="I96" i="2" s="1"/>
  <c r="G45" i="2"/>
  <c r="I45" i="2" s="1"/>
  <c r="G59" i="2"/>
  <c r="I59" i="2" s="1"/>
  <c r="G106" i="2"/>
  <c r="I106" i="2" s="1"/>
  <c r="G103" i="2"/>
  <c r="I103" i="2" s="1"/>
  <c r="G7" i="2"/>
  <c r="I7" i="2" s="1"/>
  <c r="G107" i="2"/>
  <c r="G57" i="2"/>
  <c r="I57" i="2" s="1"/>
  <c r="G61" i="2"/>
  <c r="I61" i="2" s="1"/>
  <c r="G92" i="2"/>
  <c r="I92" i="2" s="1"/>
  <c r="G24" i="2"/>
  <c r="I24" i="2" s="1"/>
  <c r="G29" i="2"/>
  <c r="I29" i="2" s="1"/>
  <c r="G51" i="2"/>
  <c r="I51" i="2" s="1"/>
  <c r="G34" i="2"/>
  <c r="I34" i="2" s="1"/>
  <c r="G20" i="2"/>
  <c r="I20" i="2" s="1"/>
  <c r="G16" i="2"/>
  <c r="I16" i="2" s="1"/>
  <c r="G64" i="2"/>
  <c r="I64" i="2" s="1"/>
  <c r="G18" i="2"/>
  <c r="I18" i="2" s="1"/>
  <c r="G81" i="2"/>
  <c r="I81" i="2" s="1"/>
  <c r="G54" i="2"/>
  <c r="I54" i="2" s="1"/>
  <c r="G22" i="2"/>
  <c r="I22" i="2" s="1"/>
  <c r="G48" i="2"/>
  <c r="I48" i="2" s="1"/>
  <c r="G28" i="2"/>
  <c r="I28" i="2" s="1"/>
  <c r="G119" i="2"/>
  <c r="I119" i="2" s="1"/>
  <c r="G65" i="2"/>
  <c r="I65" i="2" s="1"/>
  <c r="G44" i="2"/>
  <c r="I44" i="2" s="1"/>
  <c r="G32" i="2"/>
  <c r="I32" i="2" s="1"/>
  <c r="G31" i="2"/>
  <c r="I31" i="2" s="1"/>
  <c r="G6" i="2"/>
  <c r="I6" i="2" s="1"/>
  <c r="G114" i="2"/>
  <c r="I114" i="2" s="1"/>
  <c r="G77" i="2"/>
  <c r="I77" i="2" s="1"/>
  <c r="G33" i="2"/>
  <c r="I33" i="2" s="1"/>
  <c r="G72" i="2"/>
  <c r="I72" i="2" s="1"/>
  <c r="G101" i="2"/>
  <c r="I101" i="2" s="1"/>
  <c r="G90" i="2"/>
  <c r="I90" i="2" s="1"/>
  <c r="G49" i="2"/>
  <c r="I49" i="2" s="1"/>
  <c r="G97" i="2"/>
  <c r="I97" i="2" s="1"/>
  <c r="G104" i="2"/>
  <c r="I104" i="2" s="1"/>
  <c r="G4" i="2"/>
  <c r="I4" i="2" s="1"/>
  <c r="G99" i="2"/>
  <c r="I99" i="2" s="1"/>
  <c r="G68" i="2"/>
  <c r="I68" i="2" s="1"/>
  <c r="G36" i="2"/>
  <c r="I36" i="2" s="1"/>
  <c r="G74" i="2"/>
  <c r="I74" i="2" s="1"/>
  <c r="G87" i="2"/>
  <c r="I87" i="2" s="1"/>
  <c r="G115" i="2"/>
  <c r="I115" i="2" s="1"/>
  <c r="G98" i="2"/>
  <c r="I98" i="2" s="1"/>
  <c r="G11" i="2"/>
  <c r="I11" i="2" s="1"/>
  <c r="G26" i="2"/>
  <c r="I26" i="2" s="1"/>
  <c r="G58" i="2"/>
  <c r="I58" i="2" s="1"/>
  <c r="G62" i="2"/>
  <c r="I62" i="2" s="1"/>
  <c r="G118" i="2"/>
  <c r="I118" i="2" s="1"/>
  <c r="G67" i="2"/>
  <c r="I67" i="2" s="1"/>
  <c r="G35" i="2"/>
  <c r="I35" i="2" s="1"/>
  <c r="G111" i="2"/>
  <c r="I111" i="2" s="1"/>
  <c r="G79" i="2"/>
  <c r="I79" i="2" s="1"/>
  <c r="G41" i="2"/>
  <c r="I41" i="2" s="1"/>
  <c r="G9" i="2"/>
  <c r="I9" i="2" s="1"/>
  <c r="G46" i="2"/>
  <c r="I46" i="2" s="1"/>
  <c r="G93" i="2"/>
  <c r="I93" i="2" s="1"/>
  <c r="G95" i="2"/>
  <c r="I95" i="2" s="1"/>
  <c r="G70" i="2"/>
  <c r="I70" i="2" s="1"/>
  <c r="G91" i="2"/>
  <c r="I91" i="2" s="1"/>
  <c r="G112" i="2"/>
  <c r="I112" i="2" s="1"/>
  <c r="G116" i="2"/>
  <c r="I116" i="2" s="1"/>
  <c r="G83" i="2"/>
  <c r="I83" i="2" s="1"/>
  <c r="G8" i="2"/>
  <c r="I8" i="2" s="1"/>
  <c r="G47" i="2"/>
  <c r="I47" i="2" s="1"/>
  <c r="G15" i="2"/>
  <c r="I15" i="2" s="1"/>
  <c r="G12" i="2"/>
  <c r="I12" i="2" s="1"/>
  <c r="G23" i="2"/>
  <c r="I23" i="2" s="1"/>
  <c r="G76" i="2"/>
  <c r="I76" i="2" s="1"/>
  <c r="G73" i="2"/>
  <c r="I73" i="2" s="1"/>
  <c r="G30" i="2"/>
  <c r="I30" i="2" s="1"/>
  <c r="G40" i="2"/>
  <c r="I40" i="2" s="1"/>
  <c r="G120" i="2"/>
  <c r="I120" i="2" s="1"/>
  <c r="G42" i="2"/>
  <c r="I42" i="2" s="1"/>
  <c r="G52" i="2"/>
  <c r="I52" i="2" s="1"/>
  <c r="G19" i="2"/>
  <c r="I19" i="2" s="1"/>
  <c r="G89" i="2"/>
  <c r="I89" i="2" s="1"/>
  <c r="G63" i="2"/>
  <c r="I63" i="2" s="1"/>
  <c r="G86" i="2"/>
  <c r="I86" i="2" s="1"/>
  <c r="G75" i="2"/>
  <c r="I75" i="2" s="1"/>
  <c r="G66" i="2"/>
  <c r="I66" i="2" s="1"/>
  <c r="G109" i="2"/>
  <c r="I109" i="2" s="1"/>
  <c r="G88" i="2"/>
  <c r="I88" i="2" s="1"/>
  <c r="G17" i="2"/>
  <c r="I17" i="2" s="1"/>
  <c r="G53" i="2"/>
  <c r="I53" i="2" s="1"/>
  <c r="G5" i="2"/>
  <c r="I5" i="2" s="1"/>
  <c r="G100" i="2"/>
  <c r="I100" i="2" s="1"/>
  <c r="G110" i="2"/>
  <c r="I110" i="2" s="1"/>
  <c r="G14" i="2"/>
  <c r="I14" i="2" s="1"/>
  <c r="G25" i="2"/>
  <c r="I25" i="2" s="1"/>
  <c r="G80" i="2"/>
  <c r="I80" i="2" s="1"/>
  <c r="G56" i="2"/>
  <c r="I56" i="2" s="1"/>
  <c r="G27" i="2"/>
  <c r="I27" i="2" s="1"/>
  <c r="G2" i="2"/>
  <c r="I2" i="2" s="1"/>
  <c r="I107" i="2"/>
  <c r="I69" i="2"/>
  <c r="I10" i="2"/>
  <c r="I105" i="2"/>
  <c r="B25" i="2"/>
  <c r="B24" i="2"/>
  <c r="B23" i="2"/>
  <c r="B22" i="2"/>
  <c r="I43" i="2"/>
  <c r="I121" i="2"/>
  <c r="I78" i="2"/>
  <c r="I37" i="2"/>
  <c r="I84" i="2"/>
  <c r="I94" i="2"/>
  <c r="I50" i="2"/>
  <c r="D97" i="2"/>
  <c r="D109" i="2" l="1"/>
  <c r="D121" i="2" l="1"/>
</calcChain>
</file>

<file path=xl/sharedStrings.xml><?xml version="1.0" encoding="utf-8"?>
<sst xmlns="http://schemas.openxmlformats.org/spreadsheetml/2006/main" count="366" uniqueCount="78">
  <si>
    <t>A0</t>
  </si>
  <si>
    <t>Trend</t>
  </si>
  <si>
    <t>Year</t>
  </si>
  <si>
    <t>Month</t>
  </si>
  <si>
    <t>Demand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</si>
  <si>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</si>
  <si>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</si>
  <si>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</si>
  <si>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</si>
  <si>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</si>
  <si>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</si>
  <si>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</si>
  <si>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</si>
  <si>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</si>
  <si>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</si>
  <si>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</si>
  <si>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</si>
  <si>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סכום של Demand</t>
  </si>
  <si>
    <t>Std</t>
  </si>
  <si>
    <t>Rand</t>
  </si>
  <si>
    <t>Avg</t>
  </si>
  <si>
    <t>Seasonality</t>
  </si>
  <si>
    <t>סה"כ</t>
  </si>
  <si>
    <t xml:space="preserve">רשום בתא הסמוך B2 את מספר תעודת הזהות שלך : </t>
  </si>
  <si>
    <t>Season</t>
  </si>
  <si>
    <t>t</t>
  </si>
  <si>
    <t>S</t>
  </si>
  <si>
    <t>varReg</t>
  </si>
  <si>
    <t>varSeas</t>
  </si>
  <si>
    <t>varTot</t>
  </si>
  <si>
    <t>rSsqare</t>
  </si>
  <si>
    <t>est</t>
  </si>
  <si>
    <t>dif</t>
  </si>
  <si>
    <t>A120</t>
  </si>
  <si>
    <t>T120</t>
  </si>
  <si>
    <t>est20</t>
  </si>
  <si>
    <t>est2</t>
  </si>
  <si>
    <t>est3</t>
  </si>
  <si>
    <t>est4</t>
  </si>
  <si>
    <t>שאלה</t>
  </si>
  <si>
    <t>סעיף</t>
  </si>
  <si>
    <t>תשובה</t>
  </si>
  <si>
    <t>ניקוד</t>
  </si>
  <si>
    <t>ציון</t>
  </si>
  <si>
    <t>פתרון</t>
  </si>
  <si>
    <t>סוג נתון</t>
  </si>
  <si>
    <t>מספר שלם</t>
  </si>
  <si>
    <t>מחרוזת</t>
  </si>
  <si>
    <t>גרף 3.1</t>
  </si>
  <si>
    <t>גרף 3.2</t>
  </si>
  <si>
    <t>גרף 4.1</t>
  </si>
  <si>
    <t>גרף 4.2</t>
  </si>
  <si>
    <t>a)</t>
  </si>
  <si>
    <t>b)</t>
  </si>
  <si>
    <t>c)</t>
  </si>
  <si>
    <t>d)</t>
  </si>
  <si>
    <t>e)</t>
  </si>
  <si>
    <t>תרשים 5 e)</t>
  </si>
  <si>
    <t>תרשים 6</t>
  </si>
  <si>
    <t>תרשים 7 f)</t>
  </si>
  <si>
    <t>2 נקודות</t>
  </si>
  <si>
    <t>1 נקודה</t>
  </si>
  <si>
    <t>3 נקודות</t>
  </si>
  <si>
    <t>5 נקודות</t>
  </si>
  <si>
    <t>מספר עשרוני</t>
  </si>
  <si>
    <t>f)</t>
  </si>
  <si>
    <t>תרשים 8 c)</t>
  </si>
  <si>
    <t>1 נקודות</t>
  </si>
  <si>
    <t>כן/לא</t>
  </si>
  <si>
    <t>1/-1</t>
  </si>
  <si>
    <t>תרשים 9 a)</t>
  </si>
  <si>
    <t>תרשים 9 e)</t>
  </si>
  <si>
    <t>את העתקת הגרף לגיליון יש לבצע בתא הצהוב שליד שם הגרף המתאים.
לאחר העתקת הגרף יש להקטינו כך שלא יגלוש לשורות של הגרף הבא אחריו</t>
  </si>
  <si>
    <t>Time-Series</t>
  </si>
  <si>
    <t>לא ביקשו להציג גרף</t>
  </si>
  <si>
    <t>DT &lt;- DATA[1:115,]</t>
  </si>
  <si>
    <t>הרעש קטן</t>
  </si>
  <si>
    <t>לא נשאלה השאלה במייל, צורף גרף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</si>
</sst>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"/>
    <numFmt numFmtId="166" formatCode="0.00000"/>
    <numFmt numFmtId="167" formatCode="0.0"/>
  </numFmts>
  <fonts count="6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5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Font="1"/>
    <xf numFmtId="166" fontId="0" fillId="0" borderId="0" xfId="0" applyNumberFormat="1"/>
    <xf numFmtId="167" fontId="0" fillId="0" borderId="0" xfId="0" applyNumberFormat="1"/>
    <xf numFmtId="0" fontId="0" fillId="0" borderId="0" xfId="0" applyProtection="1">
      <protection locked="0"/>
    </xf>
    <xf numFmtId="0" fontId="3" fillId="0" borderId="0" xfId="0" applyFont="1"/>
    <xf numFmtId="0" fontId="0" fillId="2" borderId="0" xfId="0" applyFill="1" applyProtection="1">
      <protection locked="0"/>
    </xf>
    <xf numFmtId="0" fontId="5" fillId="0" borderId="0" xfId="0" applyFont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11">
    <dxf>
      <numFmt numFmtId="2" formatCode="0.00"/>
    </dxf>
    <dxf>
      <alignment horizontal="center" vertical="center" textRotation="0" wrapText="0" indent="0" justifyLastLine="0" shrinkToFit="0" readingOrder="0"/>
    </dxf>
    <dxf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Data316087337_NoaBarnov!$A$1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6396408185104"/>
                  <c:y val="0.1943592088300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yVal>
            <c:numRef>
              <c:f>Data316087337_NoaBarnov!$A$2:$A$121</c:f>
              <c:numCache>
                <c:formatCode>General</c:formatCode>
                <c:ptCount val="120"/>
                <c:pt idx="0">
                  <c:v>825</c:v>
                </c:pt>
                <c:pt idx="1">
                  <c:v>928</c:v>
                </c:pt>
                <c:pt idx="2">
                  <c:v>1048</c:v>
                </c:pt>
                <c:pt idx="3">
                  <c:v>961</c:v>
                </c:pt>
                <c:pt idx="4">
                  <c:v>850</c:v>
                </c:pt>
                <c:pt idx="5">
                  <c:v>978</c:v>
                </c:pt>
                <c:pt idx="6">
                  <c:v>862</c:v>
                </c:pt>
                <c:pt idx="7">
                  <c:v>1025</c:v>
                </c:pt>
                <c:pt idx="8">
                  <c:v>877</c:v>
                </c:pt>
                <c:pt idx="9">
                  <c:v>997</c:v>
                </c:pt>
                <c:pt idx="10">
                  <c:v>837</c:v>
                </c:pt>
                <c:pt idx="11">
                  <c:v>956</c:v>
                </c:pt>
                <c:pt idx="12">
                  <c:v>807</c:v>
                </c:pt>
                <c:pt idx="13">
                  <c:v>905</c:v>
                </c:pt>
                <c:pt idx="14">
                  <c:v>1022</c:v>
                </c:pt>
                <c:pt idx="15">
                  <c:v>940</c:v>
                </c:pt>
                <c:pt idx="16">
                  <c:v>826</c:v>
                </c:pt>
                <c:pt idx="17">
                  <c:v>954</c:v>
                </c:pt>
                <c:pt idx="18">
                  <c:v>842</c:v>
                </c:pt>
                <c:pt idx="19">
                  <c:v>1004</c:v>
                </c:pt>
                <c:pt idx="20">
                  <c:v>857</c:v>
                </c:pt>
                <c:pt idx="21">
                  <c:v>972</c:v>
                </c:pt>
                <c:pt idx="22">
                  <c:v>818</c:v>
                </c:pt>
                <c:pt idx="23">
                  <c:v>932</c:v>
                </c:pt>
                <c:pt idx="24">
                  <c:v>786</c:v>
                </c:pt>
                <c:pt idx="25">
                  <c:v>884</c:v>
                </c:pt>
                <c:pt idx="26">
                  <c:v>995</c:v>
                </c:pt>
                <c:pt idx="27">
                  <c:v>915</c:v>
                </c:pt>
                <c:pt idx="28">
                  <c:v>806</c:v>
                </c:pt>
                <c:pt idx="29">
                  <c:v>930</c:v>
                </c:pt>
                <c:pt idx="30">
                  <c:v>821</c:v>
                </c:pt>
                <c:pt idx="31">
                  <c:v>978</c:v>
                </c:pt>
                <c:pt idx="32">
                  <c:v>837</c:v>
                </c:pt>
                <c:pt idx="33">
                  <c:v>947</c:v>
                </c:pt>
                <c:pt idx="34">
                  <c:v>797</c:v>
                </c:pt>
                <c:pt idx="35">
                  <c:v>911</c:v>
                </c:pt>
                <c:pt idx="36">
                  <c:v>763</c:v>
                </c:pt>
                <c:pt idx="37">
                  <c:v>860</c:v>
                </c:pt>
                <c:pt idx="38">
                  <c:v>972</c:v>
                </c:pt>
                <c:pt idx="39">
                  <c:v>890</c:v>
                </c:pt>
                <c:pt idx="40">
                  <c:v>786</c:v>
                </c:pt>
                <c:pt idx="41">
                  <c:v>905</c:v>
                </c:pt>
                <c:pt idx="42">
                  <c:v>800</c:v>
                </c:pt>
                <c:pt idx="43">
                  <c:v>951</c:v>
                </c:pt>
                <c:pt idx="44">
                  <c:v>812</c:v>
                </c:pt>
                <c:pt idx="45">
                  <c:v>924</c:v>
                </c:pt>
                <c:pt idx="46">
                  <c:v>779</c:v>
                </c:pt>
                <c:pt idx="47">
                  <c:v>886</c:v>
                </c:pt>
                <c:pt idx="48">
                  <c:v>747</c:v>
                </c:pt>
                <c:pt idx="49">
                  <c:v>837</c:v>
                </c:pt>
                <c:pt idx="50">
                  <c:v>946</c:v>
                </c:pt>
                <c:pt idx="51">
                  <c:v>867</c:v>
                </c:pt>
                <c:pt idx="52">
                  <c:v>769</c:v>
                </c:pt>
                <c:pt idx="53">
                  <c:v>878</c:v>
                </c:pt>
                <c:pt idx="54">
                  <c:v>778</c:v>
                </c:pt>
                <c:pt idx="55">
                  <c:v>928</c:v>
                </c:pt>
                <c:pt idx="56">
                  <c:v>792</c:v>
                </c:pt>
                <c:pt idx="57">
                  <c:v>896</c:v>
                </c:pt>
                <c:pt idx="58">
                  <c:v>754</c:v>
                </c:pt>
                <c:pt idx="59">
                  <c:v>861</c:v>
                </c:pt>
                <c:pt idx="60">
                  <c:v>728</c:v>
                </c:pt>
                <c:pt idx="61">
                  <c:v>815</c:v>
                </c:pt>
                <c:pt idx="62">
                  <c:v>920</c:v>
                </c:pt>
                <c:pt idx="63">
                  <c:v>845</c:v>
                </c:pt>
                <c:pt idx="64">
                  <c:v>743</c:v>
                </c:pt>
                <c:pt idx="65">
                  <c:v>857</c:v>
                </c:pt>
                <c:pt idx="66">
                  <c:v>758</c:v>
                </c:pt>
                <c:pt idx="67">
                  <c:v>903</c:v>
                </c:pt>
                <c:pt idx="68">
                  <c:v>773</c:v>
                </c:pt>
                <c:pt idx="69">
                  <c:v>871</c:v>
                </c:pt>
                <c:pt idx="70">
                  <c:v>736</c:v>
                </c:pt>
                <c:pt idx="71">
                  <c:v>837</c:v>
                </c:pt>
                <c:pt idx="72">
                  <c:v>708</c:v>
                </c:pt>
                <c:pt idx="73">
                  <c:v>794</c:v>
                </c:pt>
                <c:pt idx="74">
                  <c:v>898</c:v>
                </c:pt>
                <c:pt idx="75">
                  <c:v>824</c:v>
                </c:pt>
                <c:pt idx="76">
                  <c:v>724</c:v>
                </c:pt>
                <c:pt idx="77">
                  <c:v>828</c:v>
                </c:pt>
                <c:pt idx="78">
                  <c:v>737</c:v>
                </c:pt>
                <c:pt idx="79">
                  <c:v>880</c:v>
                </c:pt>
                <c:pt idx="80">
                  <c:v>749</c:v>
                </c:pt>
                <c:pt idx="81">
                  <c:v>847</c:v>
                </c:pt>
                <c:pt idx="82">
                  <c:v>717</c:v>
                </c:pt>
                <c:pt idx="83">
                  <c:v>814</c:v>
                </c:pt>
                <c:pt idx="84">
                  <c:v>687</c:v>
                </c:pt>
                <c:pt idx="85">
                  <c:v>773</c:v>
                </c:pt>
                <c:pt idx="86">
                  <c:v>870</c:v>
                </c:pt>
                <c:pt idx="87">
                  <c:v>798</c:v>
                </c:pt>
                <c:pt idx="88">
                  <c:v>706</c:v>
                </c:pt>
                <c:pt idx="89">
                  <c:v>811</c:v>
                </c:pt>
                <c:pt idx="90">
                  <c:v>719</c:v>
                </c:pt>
                <c:pt idx="91">
                  <c:v>850</c:v>
                </c:pt>
                <c:pt idx="92">
                  <c:v>728</c:v>
                </c:pt>
                <c:pt idx="93">
                  <c:v>825</c:v>
                </c:pt>
                <c:pt idx="94">
                  <c:v>692</c:v>
                </c:pt>
                <c:pt idx="95">
                  <c:v>788</c:v>
                </c:pt>
                <c:pt idx="96">
                  <c:v>667</c:v>
                </c:pt>
                <c:pt idx="97">
                  <c:v>749</c:v>
                </c:pt>
                <c:pt idx="98">
                  <c:v>846</c:v>
                </c:pt>
                <c:pt idx="99">
                  <c:v>775</c:v>
                </c:pt>
                <c:pt idx="100">
                  <c:v>684</c:v>
                </c:pt>
                <c:pt idx="101">
                  <c:v>782</c:v>
                </c:pt>
                <c:pt idx="102">
                  <c:v>692</c:v>
                </c:pt>
                <c:pt idx="103">
                  <c:v>826</c:v>
                </c:pt>
                <c:pt idx="104">
                  <c:v>705</c:v>
                </c:pt>
                <c:pt idx="105">
                  <c:v>801</c:v>
                </c:pt>
                <c:pt idx="106">
                  <c:v>673</c:v>
                </c:pt>
                <c:pt idx="107">
                  <c:v>764</c:v>
                </c:pt>
                <c:pt idx="108">
                  <c:v>648</c:v>
                </c:pt>
                <c:pt idx="109">
                  <c:v>728</c:v>
                </c:pt>
                <c:pt idx="110">
                  <c:v>817</c:v>
                </c:pt>
                <c:pt idx="111">
                  <c:v>750</c:v>
                </c:pt>
                <c:pt idx="112">
                  <c:v>664</c:v>
                </c:pt>
                <c:pt idx="113">
                  <c:v>763</c:v>
                </c:pt>
                <c:pt idx="114">
                  <c:v>675</c:v>
                </c:pt>
                <c:pt idx="115">
                  <c:v>803</c:v>
                </c:pt>
                <c:pt idx="116">
                  <c:v>684</c:v>
                </c:pt>
                <c:pt idx="117">
                  <c:v>776</c:v>
                </c:pt>
                <c:pt idx="118">
                  <c:v>654</c:v>
                </c:pt>
                <c:pt idx="119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1B6-8635-310E4DE3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1976"/>
        <c:axId val="298372304"/>
      </c:scatterChart>
      <c:valAx>
        <c:axId val="298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8372304"/>
        <c:crosses val="autoZero"/>
        <c:crossBetween val="midCat"/>
      </c:valAx>
      <c:valAx>
        <c:axId val="298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83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0A507-E18C-48FA-B198-4349D8712D9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B099FF-2FE2-4AAE-88C7-3F10E80120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46</xdr:row>
      <xdr:rowOff>180906</xdr:rowOff>
    </xdr:from>
    <xdr:to>
      <xdr:col>8</xdr:col>
      <xdr:colOff>504825</xdr:colOff>
      <xdr:row>59</xdr:row>
      <xdr:rowOff>47006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C0246426-4AB3-9EA7-CD57-4D4DF7EAE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8924856"/>
          <a:ext cx="4829175" cy="2266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371476</xdr:colOff>
      <xdr:row>31</xdr:row>
      <xdr:rowOff>171450</xdr:rowOff>
    </xdr:from>
    <xdr:to>
      <xdr:col>8</xdr:col>
      <xdr:colOff>656347</xdr:colOff>
      <xdr:row>44</xdr:row>
      <xdr:rowOff>95250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7F1BE09A-A70A-F740-28FA-8547BC6D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6" y="6153150"/>
          <a:ext cx="4952121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361951</xdr:colOff>
      <xdr:row>16</xdr:row>
      <xdr:rowOff>161925</xdr:rowOff>
    </xdr:from>
    <xdr:to>
      <xdr:col>8</xdr:col>
      <xdr:colOff>341069</xdr:colOff>
      <xdr:row>28</xdr:row>
      <xdr:rowOff>123206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AE7B828E-50B9-D578-1750-68CFAAA51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1" y="3381375"/>
          <a:ext cx="4646368" cy="2180606"/>
        </a:xfrm>
        <a:prstGeom prst="rect">
          <a:avLst/>
        </a:prstGeom>
      </xdr:spPr>
    </xdr:pic>
    <xdr:clientData/>
  </xdr:twoCellAnchor>
  <xdr:twoCellAnchor editAs="oneCell">
    <xdr:from>
      <xdr:col>1</xdr:col>
      <xdr:colOff>545728</xdr:colOff>
      <xdr:row>1</xdr:row>
      <xdr:rowOff>174587</xdr:rowOff>
    </xdr:from>
    <xdr:to>
      <xdr:col>8</xdr:col>
      <xdr:colOff>145677</xdr:colOff>
      <xdr:row>12</xdr:row>
      <xdr:rowOff>140575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5075DE7C-7BCE-A161-6949-A2BC3E489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081" y="634028"/>
          <a:ext cx="4306420" cy="1983047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371476</xdr:colOff>
      <xdr:row>61</xdr:row>
      <xdr:rowOff>175975</xdr:rowOff>
    </xdr:from>
    <xdr:to>
      <xdr:col>8</xdr:col>
      <xdr:colOff>4474</xdr:colOff>
      <xdr:row>75</xdr:row>
      <xdr:rowOff>9526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7477C255-E5AF-9BE9-B981-58295AD6B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9226" y="11682175"/>
          <a:ext cx="4300248" cy="2414826"/>
        </a:xfrm>
        <a:prstGeom prst="rect">
          <a:avLst/>
        </a:prstGeom>
      </xdr:spPr>
    </xdr:pic>
    <xdr:clientData/>
  </xdr:twoCellAnchor>
  <xdr:twoCellAnchor editAs="oneCell">
    <xdr:from>
      <xdr:col>1</xdr:col>
      <xdr:colOff>91441</xdr:colOff>
      <xdr:row>76</xdr:row>
      <xdr:rowOff>178973</xdr:rowOff>
    </xdr:from>
    <xdr:to>
      <xdr:col>7</xdr:col>
      <xdr:colOff>554356</xdr:colOff>
      <xdr:row>91</xdr:row>
      <xdr:rowOff>26052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9F0C2BDC-3A2E-C933-D5EB-ED7BF2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1" y="14580773"/>
          <a:ext cx="4486275" cy="26359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</xdr:colOff>
      <xdr:row>91</xdr:row>
      <xdr:rowOff>176590</xdr:rowOff>
    </xdr:from>
    <xdr:to>
      <xdr:col>7</xdr:col>
      <xdr:colOff>602141</xdr:colOff>
      <xdr:row>106</xdr:row>
      <xdr:rowOff>7620</xdr:rowOff>
    </xdr:to>
    <xdr:pic>
      <xdr:nvPicPr>
        <xdr:cNvPr id="15" name="תמונה 14">
          <a:extLst>
            <a:ext uri="{FF2B5EF4-FFF2-40B4-BE49-F238E27FC236}">
              <a16:creationId xmlns:a16="http://schemas.microsoft.com/office/drawing/2014/main" id="{B717CA4C-6B2C-0A9B-9F0C-6362FAAD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4434" y="17367310"/>
          <a:ext cx="4482627" cy="2619950"/>
        </a:xfrm>
        <a:prstGeom prst="rect">
          <a:avLst/>
        </a:prstGeom>
      </xdr:spPr>
    </xdr:pic>
    <xdr:clientData/>
  </xdr:twoCellAnchor>
  <xdr:twoCellAnchor editAs="oneCell">
    <xdr:from>
      <xdr:col>1</xdr:col>
      <xdr:colOff>336791</xdr:colOff>
      <xdr:row>122</xdr:row>
      <xdr:rowOff>15015</xdr:rowOff>
    </xdr:from>
    <xdr:to>
      <xdr:col>7</xdr:col>
      <xdr:colOff>641607</xdr:colOff>
      <xdr:row>135</xdr:row>
      <xdr:rowOff>130603</xdr:rowOff>
    </xdr:to>
    <xdr:pic>
      <xdr:nvPicPr>
        <xdr:cNvPr id="16" name="תמונה 15">
          <a:extLst>
            <a:ext uri="{FF2B5EF4-FFF2-40B4-BE49-F238E27FC236}">
              <a16:creationId xmlns:a16="http://schemas.microsoft.com/office/drawing/2014/main" id="{B81FA4BD-402B-E389-E5A1-DEA3B1736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0144" y="22527633"/>
          <a:ext cx="4338934" cy="2491235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314324</xdr:colOff>
      <xdr:row>136</xdr:row>
      <xdr:rowOff>174872</xdr:rowOff>
    </xdr:from>
    <xdr:to>
      <xdr:col>8</xdr:col>
      <xdr:colOff>280227</xdr:colOff>
      <xdr:row>151</xdr:row>
      <xdr:rowOff>129540</xdr:rowOff>
    </xdr:to>
    <xdr:pic>
      <xdr:nvPicPr>
        <xdr:cNvPr id="17" name="תמונה 16">
          <a:extLst>
            <a:ext uri="{FF2B5EF4-FFF2-40B4-BE49-F238E27FC236}">
              <a16:creationId xmlns:a16="http://schemas.microsoft.com/office/drawing/2014/main" id="{AA8ABE47-24C7-DD28-194A-4628346D3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5884" y="25732352"/>
          <a:ext cx="4659823" cy="27435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Barnov" refreshedDate="44905.764607754631" createdVersion="6" refreshedVersion="8" minRefreshableVersion="3" recordCount="120" xr:uid="{3670ABC6-6E0B-4280-9C74-CC71BA33445C}">
  <cacheSource type="worksheet">
    <worksheetSource name="טבלה1"/>
  </cacheSource>
  <cacheFields count="6">
    <cacheField name="Year" numFmtId="0">
      <sharedItems containsSemiMixedTypes="0" containsString="0" containsNumber="1" containsInteger="1" minValue="2008" maxValue="2021" count="14">
        <n v="2012"/>
        <n v="2013"/>
        <n v="2014"/>
        <n v="2015"/>
        <n v="2016"/>
        <n v="2017"/>
        <n v="2018"/>
        <n v="2019"/>
        <n v="2020"/>
        <n v="2021"/>
        <n v="2008" u="1"/>
        <n v="2011" u="1"/>
        <n v="2009" u="1"/>
        <n v="2010" u="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and" numFmtId="166">
      <sharedItems containsSemiMixedTypes="0" containsString="0" containsNumber="1" minValue="8.022537961599463E-4" maxValue="0.99169131560621748"/>
    </cacheField>
    <cacheField name="Demand" numFmtId="0">
      <sharedItems containsSemiMixedTypes="0" containsString="0" containsNumber="1" containsInteger="1" minValue="648" maxValue="1048"/>
    </cacheField>
    <cacheField name="est" numFmtId="0">
      <sharedItems containsSemiMixedTypes="0" containsString="0" containsNumber="1" minValue="647.75040000000001" maxValue="1047.6032"/>
    </cacheField>
    <cacheField name="dif" numFmtId="0">
      <sharedItems containsSemiMixedTypes="0" containsString="0" containsNumber="1" minValue="-6.0780000000000882" maxValue="3.3623999999999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13972502783115182"/>
    <n v="825"/>
    <n v="826.42560000000003"/>
    <n v="-1.4256000000000313"/>
  </r>
  <r>
    <x v="0"/>
    <x v="1"/>
    <n v="0.4220937856263729"/>
    <n v="928"/>
    <n v="927.86760000000004"/>
    <n v="0.13239999999996144"/>
  </r>
  <r>
    <x v="0"/>
    <x v="2"/>
    <n v="0.49449934659889405"/>
    <n v="1048"/>
    <n v="1047.6032"/>
    <n v="0.39679999999998472"/>
  </r>
  <r>
    <x v="0"/>
    <x v="3"/>
    <n v="0.32738503726531132"/>
    <n v="961"/>
    <n v="961.48440000000005"/>
    <n v="-0.48440000000005057"/>
  </r>
  <r>
    <x v="0"/>
    <x v="4"/>
    <n v="0.96049352917991682"/>
    <n v="850"/>
    <n v="847.75600000000009"/>
    <n v="2.2439999999999145"/>
  </r>
  <r>
    <x v="0"/>
    <x v="5"/>
    <n v="0.84601242611662464"/>
    <n v="978"/>
    <n v="976.20600000000002"/>
    <n v="1.7939999999999827"/>
  </r>
  <r>
    <x v="0"/>
    <x v="6"/>
    <n v="0.32787899710406454"/>
    <n v="862"/>
    <n v="862.89120000000003"/>
    <n v="-0.89120000000002619"/>
  </r>
  <r>
    <x v="0"/>
    <x v="7"/>
    <n v="7.2717758454888148E-2"/>
    <n v="1025"/>
    <n v="1027.8156000000001"/>
    <n v="-2.8156000000001313"/>
  </r>
  <r>
    <x v="0"/>
    <x v="8"/>
    <n v="0.24195258845138656"/>
    <n v="877"/>
    <n v="877.87599999999998"/>
    <n v="-0.87599999999997635"/>
  </r>
  <r>
    <x v="0"/>
    <x v="9"/>
    <n v="0.78007191507787788"/>
    <n v="997"/>
    <n v="995.97600000000011"/>
    <n v="1.0239999999998872"/>
  </r>
  <r>
    <x v="0"/>
    <x v="10"/>
    <n v="0.28695878900118921"/>
    <n v="837"/>
    <n v="837.49120000000005"/>
    <n v="-0.49120000000004893"/>
  </r>
  <r>
    <x v="0"/>
    <x v="11"/>
    <n v="0.69038326137745298"/>
    <n v="956"/>
    <n v="955.1776000000001"/>
    <n v="0.82239999999990232"/>
  </r>
  <r>
    <x v="1"/>
    <x v="0"/>
    <n v="0.57929401143221371"/>
    <n v="807"/>
    <n v="806.57279999999992"/>
    <n v="0.4272000000000844"/>
  </r>
  <r>
    <x v="1"/>
    <x v="1"/>
    <n v="0.43119286779191779"/>
    <n v="905"/>
    <n v="905.53319999999997"/>
    <n v="-0.53319999999996526"/>
  </r>
  <r>
    <x v="1"/>
    <x v="2"/>
    <n v="0.49582664972545509"/>
    <n v="1022"/>
    <n v="1022.336"/>
    <n v="-0.33600000000001273"/>
  </r>
  <r>
    <x v="1"/>
    <x v="3"/>
    <n v="0.77372239558626887"/>
    <n v="940"/>
    <n v="938.24760000000003"/>
    <n v="1.752399999999966"/>
  </r>
  <r>
    <x v="1"/>
    <x v="4"/>
    <n v="0.30444719619397087"/>
    <n v="826"/>
    <n v="827.22640000000001"/>
    <n v="-1.2264000000000124"/>
  </r>
  <r>
    <x v="1"/>
    <x v="5"/>
    <n v="0.77487334128132146"/>
    <n v="954"/>
    <n v="952.51800000000003"/>
    <n v="1.4819999999999709"/>
  </r>
  <r>
    <x v="1"/>
    <x v="6"/>
    <n v="0.50603144337631167"/>
    <n v="842"/>
    <n v="841.91039999999987"/>
    <n v="8.9600000000132241E-2"/>
  </r>
  <r>
    <x v="1"/>
    <x v="7"/>
    <n v="0.77453224046574198"/>
    <n v="1004"/>
    <n v="1002.7740000000001"/>
    <n v="1.2259999999998854"/>
  </r>
  <r>
    <x v="1"/>
    <x v="8"/>
    <n v="0.5348587328238934"/>
    <n v="857"/>
    <n v="856.44399999999996"/>
    <n v="0.55600000000004002"/>
  </r>
  <r>
    <x v="1"/>
    <x v="9"/>
    <n v="0.54200108264804803"/>
    <n v="972"/>
    <n v="971.61120000000005"/>
    <n v="0.38879999999994652"/>
  </r>
  <r>
    <x v="1"/>
    <x v="10"/>
    <n v="0.74327749433523971"/>
    <n v="818"/>
    <n v="816.96159999999998"/>
    <n v="1.0384000000000242"/>
  </r>
  <r>
    <x v="1"/>
    <x v="11"/>
    <n v="0.56241688479166407"/>
    <n v="932"/>
    <n v="931.71519999999998"/>
    <n v="0.28480000000001837"/>
  </r>
  <r>
    <x v="2"/>
    <x v="0"/>
    <n v="0.21674626637335836"/>
    <n v="786"/>
    <n v="786.72"/>
    <n v="-0.72000000000002728"/>
  </r>
  <r>
    <x v="2"/>
    <x v="1"/>
    <n v="0.76100763589289111"/>
    <n v="884"/>
    <n v="883.19880000000001"/>
    <n v="0.80119999999999436"/>
  </r>
  <r>
    <x v="2"/>
    <x v="2"/>
    <n v="0.15025651749727287"/>
    <n v="995"/>
    <n v="997.06880000000012"/>
    <n v="-2.0688000000001239"/>
  </r>
  <r>
    <x v="2"/>
    <x v="3"/>
    <n v="0.46480163559756194"/>
    <n v="915"/>
    <n v="915.01080000000002"/>
    <n v="-1.0800000000017462E-2"/>
  </r>
  <r>
    <x v="2"/>
    <x v="4"/>
    <n v="0.28433784779338223"/>
    <n v="806"/>
    <n v="806.69680000000005"/>
    <n v="-0.69680000000005293"/>
  </r>
  <r>
    <x v="2"/>
    <x v="5"/>
    <n v="0.69728755487569827"/>
    <n v="930"/>
    <n v="928.83"/>
    <n v="1.1699999999999591"/>
  </r>
  <r>
    <x v="2"/>
    <x v="6"/>
    <n v="0.47844681595055194"/>
    <n v="821"/>
    <n v="820.92959999999994"/>
    <n v="7.0400000000063301E-2"/>
  </r>
  <r>
    <x v="2"/>
    <x v="7"/>
    <n v="0.58318518657441498"/>
    <n v="978"/>
    <n v="977.7324000000001"/>
    <n v="0.26759999999990214"/>
  </r>
  <r>
    <x v="2"/>
    <x v="8"/>
    <n v="0.91446360817996586"/>
    <n v="837"/>
    <n v="835.01199999999994"/>
    <n v="1.9880000000000564"/>
  </r>
  <r>
    <x v="2"/>
    <x v="9"/>
    <n v="0.406643689612739"/>
    <n v="947"/>
    <n v="947.24640000000011"/>
    <n v="-0.24640000000010787"/>
  </r>
  <r>
    <x v="2"/>
    <x v="10"/>
    <n v="0.70149586258906771"/>
    <n v="797"/>
    <n v="796.43200000000002"/>
    <n v="0.56799999999998363"/>
  </r>
  <r>
    <x v="2"/>
    <x v="11"/>
    <n v="0.94113671015368039"/>
    <n v="911"/>
    <n v="908.25280000000009"/>
    <n v="2.747199999999907"/>
  </r>
  <r>
    <x v="3"/>
    <x v="0"/>
    <n v="1.226733489537768E-2"/>
    <n v="763"/>
    <n v="766.86720000000003"/>
    <n v="-3.8672000000000253"/>
  </r>
  <r>
    <x v="3"/>
    <x v="1"/>
    <n v="0.36625748931069158"/>
    <n v="860"/>
    <n v="860.86439999999993"/>
    <n v="-0.86439999999993233"/>
  </r>
  <r>
    <x v="3"/>
    <x v="2"/>
    <n v="0.5763498407929788"/>
    <n v="972"/>
    <n v="971.80160000000012"/>
    <n v="0.19839999999987867"/>
  </r>
  <r>
    <x v="3"/>
    <x v="3"/>
    <n v="0.13597449764560721"/>
    <n v="890"/>
    <n v="891.774"/>
    <n v="-1.7740000000000009"/>
  </r>
  <r>
    <x v="3"/>
    <x v="4"/>
    <n v="0.45682241280925395"/>
    <n v="786"/>
    <n v="786.16719999999998"/>
    <n v="-0.16719999999997981"/>
  </r>
  <r>
    <x v="3"/>
    <x v="5"/>
    <n v="0.5486549220214374"/>
    <n v="905"/>
    <n v="905.14200000000005"/>
    <n v="-0.14200000000005275"/>
  </r>
  <r>
    <x v="3"/>
    <x v="6"/>
    <n v="0.55091971561781206"/>
    <n v="800"/>
    <n v="799.94879999999989"/>
    <n v="5.1200000000108048E-2"/>
  </r>
  <r>
    <x v="3"/>
    <x v="7"/>
    <n v="0.19587317592529108"/>
    <n v="951"/>
    <n v="952.69080000000008"/>
    <n v="-1.6908000000000811"/>
  </r>
  <r>
    <x v="3"/>
    <x v="8"/>
    <n v="0.19380067835407566"/>
    <n v="812"/>
    <n v="813.57999999999993"/>
    <n v="-1.5799999999999272"/>
  </r>
  <r>
    <x v="3"/>
    <x v="9"/>
    <n v="0.72684402492613298"/>
    <n v="924"/>
    <n v="922.88160000000005"/>
    <n v="1.1183999999999514"/>
  </r>
  <r>
    <x v="3"/>
    <x v="10"/>
    <n v="0.97307607008908426"/>
    <n v="779"/>
    <n v="775.90240000000006"/>
    <n v="3.0975999999999431"/>
  </r>
  <r>
    <x v="3"/>
    <x v="11"/>
    <n v="0.72758750646102244"/>
    <n v="886"/>
    <n v="884.79039999999998"/>
    <n v="1.2096000000000231"/>
  </r>
  <r>
    <x v="4"/>
    <x v="0"/>
    <n v="0.47205377273029803"/>
    <n v="747"/>
    <n v="747.01440000000002"/>
    <n v="-1.4400000000023283E-2"/>
  </r>
  <r>
    <x v="4"/>
    <x v="1"/>
    <n v="0.24025954294327934"/>
    <n v="837"/>
    <n v="838.53"/>
    <n v="-1.5299999999999727"/>
  </r>
  <r>
    <x v="4"/>
    <x v="2"/>
    <n v="0.45039525604202579"/>
    <n v="946"/>
    <n v="946.53440000000012"/>
    <n v="-0.53440000000011878"/>
  </r>
  <r>
    <x v="4"/>
    <x v="3"/>
    <n v="0.20932922456986536"/>
    <n v="867"/>
    <n v="868.53719999999998"/>
    <n v="-1.5371999999999844"/>
  </r>
  <r>
    <x v="4"/>
    <x v="4"/>
    <n v="0.99169131560621748"/>
    <n v="769"/>
    <n v="765.63760000000002"/>
    <n v="3.3623999999999796"/>
  </r>
  <r>
    <x v="4"/>
    <x v="5"/>
    <n v="4.9523702825230664E-2"/>
    <n v="878"/>
    <n v="881.45400000000006"/>
    <n v="-3.4540000000000646"/>
  </r>
  <r>
    <x v="4"/>
    <x v="6"/>
    <n v="0.3841350356248282"/>
    <n v="778"/>
    <n v="778.96799999999996"/>
    <n v="-0.96799999999996089"/>
  </r>
  <r>
    <x v="4"/>
    <x v="7"/>
    <n v="0.50775221228372847"/>
    <n v="928"/>
    <n v="927.64920000000006"/>
    <n v="0.35079999999993561"/>
  </r>
  <r>
    <x v="4"/>
    <x v="8"/>
    <n v="0.37229191807905226"/>
    <n v="792"/>
    <n v="792.14800000000002"/>
    <n v="-0.14800000000002456"/>
  </r>
  <r>
    <x v="4"/>
    <x v="9"/>
    <n v="6.0762041745817008E-2"/>
    <n v="896"/>
    <n v="898.5168000000001"/>
    <n v="-2.516800000000103"/>
  </r>
  <r>
    <x v="4"/>
    <x v="10"/>
    <n v="0.13701494774122458"/>
    <n v="754"/>
    <n v="755.3728000000001"/>
    <n v="-1.3728000000000975"/>
  </r>
  <r>
    <x v="4"/>
    <x v="11"/>
    <n v="0.52122254432331894"/>
    <n v="861"/>
    <n v="861.32800000000009"/>
    <n v="-0.32800000000008822"/>
  </r>
  <r>
    <x v="5"/>
    <x v="0"/>
    <n v="0.80371258229890175"/>
    <n v="728"/>
    <n v="727.16160000000002"/>
    <n v="0.83839999999997872"/>
  </r>
  <r>
    <x v="5"/>
    <x v="1"/>
    <n v="0.23407782026227586"/>
    <n v="815"/>
    <n v="816.19560000000001"/>
    <n v="-1.1956000000000131"/>
  </r>
  <r>
    <x v="5"/>
    <x v="2"/>
    <n v="0.31040145830813304"/>
    <n v="920"/>
    <n v="921.2672"/>
    <n v="-1.2672000000000025"/>
  </r>
  <r>
    <x v="5"/>
    <x v="3"/>
    <n v="0.49298030443753516"/>
    <n v="845"/>
    <n v="845.30040000000008"/>
    <n v="-0.30040000000008149"/>
  </r>
  <r>
    <x v="5"/>
    <x v="4"/>
    <n v="5.129852592246964E-2"/>
    <n v="743"/>
    <n v="745.10799999999995"/>
    <n v="-2.1079999999999472"/>
  </r>
  <r>
    <x v="5"/>
    <x v="5"/>
    <n v="0.29884047648611334"/>
    <n v="857"/>
    <n v="857.76599999999996"/>
    <n v="-0.76599999999996271"/>
  </r>
  <r>
    <x v="5"/>
    <x v="6"/>
    <n v="0.59823055791124868"/>
    <n v="758"/>
    <n v="757.98719999999992"/>
    <n v="1.2800000000083855E-2"/>
  </r>
  <r>
    <x v="5"/>
    <x v="7"/>
    <n v="0.56805110498086941"/>
    <n v="903"/>
    <n v="902.60760000000005"/>
    <n v="0.39239999999995234"/>
  </r>
  <r>
    <x v="5"/>
    <x v="8"/>
    <n v="0.93860644562113549"/>
    <n v="773"/>
    <n v="770.71599999999989"/>
    <n v="2.2840000000001055"/>
  </r>
  <r>
    <x v="5"/>
    <x v="9"/>
    <n v="3.9063169072004023E-2"/>
    <n v="871"/>
    <n v="874.15200000000004"/>
    <n v="-3.1520000000000437"/>
  </r>
  <r>
    <x v="5"/>
    <x v="10"/>
    <n v="0.69651492867520459"/>
    <n v="736"/>
    <n v="734.84320000000002"/>
    <n v="1.1567999999999756"/>
  </r>
  <r>
    <x v="5"/>
    <x v="11"/>
    <n v="0.3662026446080785"/>
    <n v="837"/>
    <n v="837.86559999999997"/>
    <n v="-0.86559999999997217"/>
  </r>
  <r>
    <x v="6"/>
    <x v="0"/>
    <n v="0.6853496725615682"/>
    <n v="708"/>
    <n v="707.30880000000002"/>
    <n v="0.69119999999998072"/>
  </r>
  <r>
    <x v="6"/>
    <x v="1"/>
    <n v="0.4213997136287686"/>
    <n v="794"/>
    <n v="793.86119999999994"/>
    <n v="0.13880000000006021"/>
  </r>
  <r>
    <x v="6"/>
    <x v="2"/>
    <n v="0.89268116041936085"/>
    <n v="898"/>
    <n v="896.00000000000011"/>
    <n v="1.9999999999998863"/>
  </r>
  <r>
    <x v="6"/>
    <x v="3"/>
    <n v="0.79423494089393776"/>
    <n v="824"/>
    <n v="822.06360000000006"/>
    <n v="1.9363999999999351"/>
  </r>
  <r>
    <x v="6"/>
    <x v="4"/>
    <n v="0.32697134374081793"/>
    <n v="724"/>
    <n v="724.57839999999999"/>
    <n v="-0.57839999999998781"/>
  </r>
  <r>
    <x v="6"/>
    <x v="5"/>
    <n v="8.022537961599463E-4"/>
    <n v="828"/>
    <n v="834.07800000000009"/>
    <n v="-6.0780000000000882"/>
  </r>
  <r>
    <x v="6"/>
    <x v="6"/>
    <n v="0.46222450483253341"/>
    <n v="737"/>
    <n v="737.00639999999999"/>
    <n v="-6.3999999999850843E-3"/>
  </r>
  <r>
    <x v="6"/>
    <x v="7"/>
    <n v="0.89666703242154222"/>
    <n v="880"/>
    <n v="877.56600000000014"/>
    <n v="2.4339999999998554"/>
  </r>
  <r>
    <x v="6"/>
    <x v="8"/>
    <n v="0.53847340305083369"/>
    <n v="749"/>
    <n v="749.28399999999999"/>
    <n v="-0.28399999999999181"/>
  </r>
  <r>
    <x v="6"/>
    <x v="9"/>
    <n v="8.6703232579309009E-2"/>
    <n v="847"/>
    <n v="849.7872000000001"/>
    <n v="-2.787200000000098"/>
  </r>
  <r>
    <x v="6"/>
    <x v="10"/>
    <n v="0.92374396382151169"/>
    <n v="717"/>
    <n v="714.31360000000006"/>
    <n v="2.6863999999999351"/>
  </r>
  <r>
    <x v="6"/>
    <x v="11"/>
    <n v="0.47038197630113132"/>
    <n v="814"/>
    <n v="814.40320000000008"/>
    <n v="-0.40320000000008349"/>
  </r>
  <r>
    <x v="7"/>
    <x v="0"/>
    <n v="0.42653143784775593"/>
    <n v="687"/>
    <n v="687.45600000000002"/>
    <n v="-0.45600000000001728"/>
  </r>
  <r>
    <x v="7"/>
    <x v="1"/>
    <n v="0.83452566731579925"/>
    <n v="773"/>
    <n v="771.52680000000009"/>
    <n v="1.4731999999999061"/>
  </r>
  <r>
    <x v="7"/>
    <x v="2"/>
    <n v="0.31566515699265707"/>
    <n v="870"/>
    <n v="870.73280000000011"/>
    <n v="-0.73280000000011114"/>
  </r>
  <r>
    <x v="7"/>
    <x v="3"/>
    <n v="0.36353889278389473"/>
    <n v="798"/>
    <n v="798.82679999999993"/>
    <n v="-0.8267999999999347"/>
  </r>
  <r>
    <x v="7"/>
    <x v="4"/>
    <n v="0.87277287536155312"/>
    <n v="706"/>
    <n v="704.04880000000003"/>
    <n v="1.9511999999999716"/>
  </r>
  <r>
    <x v="7"/>
    <x v="5"/>
    <n v="0.70724680255644889"/>
    <n v="811"/>
    <n v="810.39"/>
    <n v="0.61000000000001364"/>
  </r>
  <r>
    <x v="7"/>
    <x v="6"/>
    <n v="0.96179504993334353"/>
    <n v="719"/>
    <n v="716.02560000000005"/>
    <n v="2.974399999999946"/>
  </r>
  <r>
    <x v="7"/>
    <x v="7"/>
    <n v="8.519167040915443E-2"/>
    <n v="850"/>
    <n v="852.52440000000001"/>
    <n v="-2.5244000000000142"/>
  </r>
  <r>
    <x v="7"/>
    <x v="8"/>
    <n v="0.5352039111097906"/>
    <n v="728"/>
    <n v="727.85199999999998"/>
    <n v="0.14800000000002456"/>
  </r>
  <r>
    <x v="7"/>
    <x v="9"/>
    <n v="0.49985573792711768"/>
    <n v="825"/>
    <n v="825.42240000000004"/>
    <n v="-0.42240000000003874"/>
  </r>
  <r>
    <x v="7"/>
    <x v="10"/>
    <n v="0.10945868316788787"/>
    <n v="692"/>
    <n v="693.78399999999999"/>
    <n v="-1.7839999999999918"/>
  </r>
  <r>
    <x v="7"/>
    <x v="11"/>
    <n v="5.3249542106058478E-2"/>
    <n v="788"/>
    <n v="790.94079999999997"/>
    <n v="-2.9407999999999674"/>
  </r>
  <r>
    <x v="8"/>
    <x v="0"/>
    <n v="0.44898992559915141"/>
    <n v="667"/>
    <n v="667.60320000000002"/>
    <n v="-0.60320000000001528"/>
  </r>
  <r>
    <x v="8"/>
    <x v="1"/>
    <n v="0.38617217310794916"/>
    <n v="749"/>
    <n v="749.19240000000002"/>
    <n v="-0.19240000000002055"/>
  </r>
  <r>
    <x v="8"/>
    <x v="2"/>
    <n v="0.50953068268292367"/>
    <n v="846"/>
    <n v="845.46560000000011"/>
    <n v="0.53439999999989141"/>
  </r>
  <r>
    <x v="8"/>
    <x v="3"/>
    <n v="0.453014544299985"/>
    <n v="775"/>
    <n v="775.59"/>
    <n v="-0.59000000000003183"/>
  </r>
  <r>
    <x v="8"/>
    <x v="4"/>
    <n v="0.6001221426519463"/>
    <n v="684"/>
    <n v="683.51920000000007"/>
    <n v="0.48079999999993106"/>
  </r>
  <r>
    <x v="8"/>
    <x v="5"/>
    <n v="7.7504459305159923E-3"/>
    <n v="782"/>
    <n v="786.702"/>
    <n v="-4.7019999999999982"/>
  </r>
  <r>
    <x v="8"/>
    <x v="6"/>
    <n v="2.5789613253734966E-2"/>
    <n v="692"/>
    <n v="695.04480000000001"/>
    <n v="-3.0448000000000093"/>
  </r>
  <r>
    <x v="8"/>
    <x v="7"/>
    <n v="0.16788479687629299"/>
    <n v="826"/>
    <n v="827.48280000000011"/>
    <n v="-1.4828000000001111"/>
  </r>
  <r>
    <x v="8"/>
    <x v="8"/>
    <n v="0.22964645920062432"/>
    <n v="705"/>
    <n v="706.42"/>
    <n v="-1.4199999999999591"/>
  </r>
  <r>
    <x v="8"/>
    <x v="9"/>
    <n v="0.59321005152782502"/>
    <n v="801"/>
    <n v="801.05760000000009"/>
    <n v="-5.7600000000093132E-2"/>
  </r>
  <r>
    <x v="8"/>
    <x v="10"/>
    <n v="0.4063071360309648"/>
    <n v="673"/>
    <n v="673.25440000000003"/>
    <n v="-0.25440000000003238"/>
  </r>
  <r>
    <x v="8"/>
    <x v="11"/>
    <n v="1.9277411630892249E-2"/>
    <n v="764"/>
    <n v="767.47840000000008"/>
    <n v="-3.4784000000000788"/>
  </r>
  <r>
    <x v="9"/>
    <x v="0"/>
    <n v="0.66538245737587853"/>
    <n v="648"/>
    <n v="647.75040000000001"/>
    <n v="0.24959999999998672"/>
  </r>
  <r>
    <x v="9"/>
    <x v="1"/>
    <n v="0.68053607332440336"/>
    <n v="728"/>
    <n v="726.85800000000006"/>
    <n v="1.1419999999999391"/>
  </r>
  <r>
    <x v="9"/>
    <x v="2"/>
    <n v="4.3304411029310708E-2"/>
    <n v="817"/>
    <n v="820.19840000000011"/>
    <n v="-3.198400000000106"/>
  </r>
  <r>
    <x v="9"/>
    <x v="3"/>
    <n v="0.101431601244095"/>
    <n v="750"/>
    <n v="752.35320000000013"/>
    <n v="-2.353200000000129"/>
  </r>
  <r>
    <x v="9"/>
    <x v="4"/>
    <n v="0.72215632680324726"/>
    <n v="664"/>
    <n v="662.9896"/>
    <n v="1.0104000000000042"/>
  </r>
  <r>
    <x v="9"/>
    <x v="5"/>
    <n v="0.53698898553599006"/>
    <n v="763"/>
    <n v="763.01400000000012"/>
    <n v="-1.4000000000123691E-2"/>
  </r>
  <r>
    <x v="9"/>
    <x v="6"/>
    <n v="0.80968383393634702"/>
    <n v="675"/>
    <n v="674.06399999999996"/>
    <n v="0.93600000000003547"/>
  </r>
  <r>
    <x v="9"/>
    <x v="7"/>
    <n v="0.66141496953891643"/>
    <n v="803"/>
    <n v="802.44120000000021"/>
    <n v="0.55879999999979191"/>
  </r>
  <r>
    <x v="9"/>
    <x v="8"/>
    <n v="0.24103335480212973"/>
    <n v="684"/>
    <n v="684.98799999999994"/>
    <n v="-0.9879999999999427"/>
  </r>
  <r>
    <x v="9"/>
    <x v="9"/>
    <n v="0.32589956638276285"/>
    <n v="776"/>
    <n v="776.69280000000015"/>
    <n v="-0.69280000000014752"/>
  </r>
  <r>
    <x v="9"/>
    <x v="10"/>
    <n v="0.80805306283125355"/>
    <n v="654"/>
    <n v="652.72479999999996"/>
    <n v="1.2752000000000407"/>
  </r>
  <r>
    <x v="9"/>
    <x v="11"/>
    <n v="0.77934552555540582"/>
    <n v="745"/>
    <n v="744.01599999999996"/>
    <n v="0.984000000000037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1022A-A309-4ACC-89FF-BE00C05BB48A}" name="PivotTable1" cacheId="0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6" indent="0" compact="0" compactData="0" gridDropZones="1" multipleFieldFilters="0">
  <location ref="K2:M123" firstHeaderRow="2" firstDataRow="2" firstDataCol="2"/>
  <pivotFields count="6">
    <pivotField axis="axisRow" compact="0" outline="0" showAll="0" defaultSubtotal="0">
      <items count="14">
        <item m="1" x="10"/>
        <item m="1" x="12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120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סכום של Dem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C2F9F-686E-4022-9A3F-BB66E8DBB881}" name="טבלה1" displayName="טבלה1" ref="D1:I121" totalsRowShown="0" headerRowDxfId="10">
  <tableColumns count="6">
    <tableColumn id="1" xr3:uid="{B26AFED5-42C8-4ED6-9FE1-C1B55A3973A5}" name="Year"/>
    <tableColumn id="2" xr3:uid="{42B84206-BDD1-4E4B-939E-7E10B59592C7}" name="Month"/>
    <tableColumn id="4" xr3:uid="{FCB8DFFC-4CAD-43C0-9AFE-F4613667D923}" name="Rand" dataDxfId="9">
      <calculatedColumnFormula>RAND()</calculatedColumnFormula>
    </tableColumn>
    <tableColumn id="3" xr3:uid="{A20779AE-C9C1-4CDD-9B02-C060B894EEFB}" name="Demand" dataDxfId="8">
      <calculatedColumnFormula>IF($A$1=0,"",ROUND(_xlfn.NORM.INV(טבלה1[[#This Row],[Rand]],A0+Trend*(ROW()-1),Std)*INDEX(SeasonalityTable,Seasonality,MATCH(טבלה1[[#This Row],[Month]],Months,0)),0))</calculatedColumnFormula>
    </tableColumn>
    <tableColumn id="5" xr3:uid="{58766E25-71BB-44C7-9CBA-7ED94B828AC8}" name="est" dataDxfId="7">
      <calculatedColumnFormula>(A0+(ROW()-1)*Trend)*INDEX(SeasonalityTable,Seasonality,MOD(ROW()-2,12)+1)</calculatedColumnFormula>
    </tableColumn>
    <tableColumn id="6" xr3:uid="{6BE36883-1AD6-4C63-8425-3D748FDE385C}" name="dif" dataDxfId="6">
      <calculatedColumnFormula>טבלה1[[#This Row],[Demand]]-טבלה1[[#This Row],[est]]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1D77D-BC6F-46DA-A2B9-64A20176D697}" name="טבלה3" displayName="טבלה3" ref="A1:G20" totalsRowShown="0">
  <tableColumns count="7">
    <tableColumn id="1" xr3:uid="{A680A086-6986-4B88-911F-883B190FB1EA}" name="שאלה" dataDxfId="5"/>
    <tableColumn id="2" xr3:uid="{3310B499-B099-48F4-8616-65D79EC580C7}" name="סעיף" dataDxfId="4"/>
    <tableColumn id="3" xr3:uid="{4A2E1E74-5589-4C48-8CC1-4A8A4B70DA9C}" name="ניקוד" dataDxfId="3"/>
    <tableColumn id="4" xr3:uid="{0CFE73A9-2C0A-42C5-AC87-CE162FAE48AE}" name="תשובה" dataDxfId="2"/>
    <tableColumn id="7" xr3:uid="{7E8BAF31-7FF4-4A05-BC53-78CE4812E7A5}" name="סוג נתון"/>
    <tableColumn id="5" xr3:uid="{7357595C-98BA-44E7-87CE-AF15EDC11DA1}" name="פתרון"/>
    <tableColumn id="6" xr3:uid="{C421DB38-3AD3-4097-946C-BF3BC5ECEAD1}" name="ציון">
      <calculatedColumnFormula>IF(טבלה3[[#This Row],[תשובה]]=טבלה3[[#This Row],[פתרון]],טבלה3[[#This Row],[ניקוד]],0)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A6052-9C4B-45AE-B6DB-4BD60477AAA7}" name="טבלה2" displayName="טבלה2" ref="A1:D121" totalsRowShown="0" headerRowDxfId="1">
  <tableColumns count="4">
    <tableColumn id="1" xr3:uid="{64B62397-5F65-49C5-8DE9-EAB1D6315742}" name="t"/>
    <tableColumn id="3" xr3:uid="{1619FF93-4253-4538-8442-74C638498BC2}" name="Season" dataDxfId="0">
      <calculatedColumnFormula>טבלה2[[#This Row],[Demand]]/טבלה2[[#This Row],[S]]*(טבלה2[[#This Row],[S]]-1)</calculatedColumnFormula>
    </tableColumn>
    <tableColumn id="2" xr3:uid="{6CB7705D-2E4A-45FD-88C7-C4DF144F295D}" name="Demand">
      <calculatedColumnFormula>Admin!M4</calculatedColumnFormula>
    </tableColumn>
    <tableColumn id="4" xr3:uid="{400C698E-F0CC-41A0-8B56-F3DF51763AFF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E5A-B8F3-4EFF-8B12-D5655A3A9C05}">
  <dimension ref="B1:C2"/>
  <sheetViews>
    <sheetView showGridLines="0" tabSelected="1" workbookViewId="0">
      <selection sqref="A1:A121"/>
    </sheetView>
  </sheetViews>
  <sheetFormatPr defaultRowHeight="14.5" x14ac:dyDescent="0.35"/>
  <cols>
    <col min="1" max="1" width="9.36328125" customWidth="1"/>
    <col min="2" max="2" width="13.08984375" customWidth="1"/>
  </cols>
  <sheetData>
    <row r="1" spans="2:3" ht="15" thickBot="1" x14ac:dyDescent="0.4"/>
    <row r="2" spans="2:3" ht="16" thickBot="1" x14ac:dyDescent="0.4">
      <c r="B2" s="4">
        <v>316087337</v>
      </c>
      <c r="C2" s="3" t="s">
        <v>23</v>
      </c>
    </row>
  </sheetData>
  <sheetProtection algorithmName="SHA-512" hashValue="q08j5DrP2zQtphsFJnUlcZZF4CucPJ66mwQU8lMFsmuz3rzvueuAYTlUpbd/VzgpnkcfJHfBM0vtjQqGQy4fmw==" saltValue="gSOayxzhUvWBK5mES5wo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2F0D-AB3D-4065-8729-BAD2FAC61F63}">
  <dimension ref="A1:A121"/>
  <sheetViews>
    <sheetView tabSelected="1" workbookViewId="0">
      <selection sqref="A1:A121"/>
    </sheetView>
  </sheetViews>
  <sheetFormatPr defaultRowHeight="14.5" x14ac:dyDescent="0.35"/>
  <cols>
    <col min="1" max="1" width="7.6328125" bestFit="1" customWidth="1"/>
  </cols>
  <sheetData>
    <row r="1" spans="1:1" x14ac:dyDescent="0.35">
      <c r="A1" t="s">
        <v>4</v>
      </c>
    </row>
    <row r="2" spans="1:1" x14ac:dyDescent="0.35">
      <c r="A2">
        <f>Admin!M4</f>
        <v>825</v>
      </c>
    </row>
    <row r="3" spans="1:1" x14ac:dyDescent="0.35">
      <c r="A3">
        <f>Admin!M5</f>
        <v>928</v>
      </c>
    </row>
    <row r="4" spans="1:1" x14ac:dyDescent="0.35">
      <c r="A4">
        <f>Admin!M6</f>
        <v>1048</v>
      </c>
    </row>
    <row r="5" spans="1:1" x14ac:dyDescent="0.35">
      <c r="A5">
        <f>Admin!M7</f>
        <v>961</v>
      </c>
    </row>
    <row r="6" spans="1:1" x14ac:dyDescent="0.35">
      <c r="A6">
        <f>Admin!M8</f>
        <v>850</v>
      </c>
    </row>
    <row r="7" spans="1:1" x14ac:dyDescent="0.35">
      <c r="A7">
        <f>Admin!M9</f>
        <v>978</v>
      </c>
    </row>
    <row r="8" spans="1:1" x14ac:dyDescent="0.35">
      <c r="A8">
        <f>Admin!M10</f>
        <v>862</v>
      </c>
    </row>
    <row r="9" spans="1:1" x14ac:dyDescent="0.35">
      <c r="A9">
        <f>Admin!M11</f>
        <v>1025</v>
      </c>
    </row>
    <row r="10" spans="1:1" x14ac:dyDescent="0.35">
      <c r="A10">
        <f>Admin!M12</f>
        <v>877</v>
      </c>
    </row>
    <row r="11" spans="1:1" x14ac:dyDescent="0.35">
      <c r="A11">
        <f>Admin!M13</f>
        <v>997</v>
      </c>
    </row>
    <row r="12" spans="1:1" x14ac:dyDescent="0.35">
      <c r="A12">
        <f>Admin!M14</f>
        <v>837</v>
      </c>
    </row>
    <row r="13" spans="1:1" x14ac:dyDescent="0.35">
      <c r="A13">
        <f>Admin!M15</f>
        <v>956</v>
      </c>
    </row>
    <row r="14" spans="1:1" x14ac:dyDescent="0.35">
      <c r="A14">
        <f>Admin!M16</f>
        <v>807</v>
      </c>
    </row>
    <row r="15" spans="1:1" x14ac:dyDescent="0.35">
      <c r="A15">
        <f>Admin!M17</f>
        <v>905</v>
      </c>
    </row>
    <row r="16" spans="1:1" x14ac:dyDescent="0.35">
      <c r="A16">
        <f>Admin!M18</f>
        <v>1022</v>
      </c>
    </row>
    <row r="17" spans="1:1" x14ac:dyDescent="0.35">
      <c r="A17">
        <f>Admin!M19</f>
        <v>940</v>
      </c>
    </row>
    <row r="18" spans="1:1" x14ac:dyDescent="0.35">
      <c r="A18">
        <f>Admin!M20</f>
        <v>826</v>
      </c>
    </row>
    <row r="19" spans="1:1" x14ac:dyDescent="0.35">
      <c r="A19">
        <f>Admin!M21</f>
        <v>954</v>
      </c>
    </row>
    <row r="20" spans="1:1" x14ac:dyDescent="0.35">
      <c r="A20">
        <f>Admin!M22</f>
        <v>842</v>
      </c>
    </row>
    <row r="21" spans="1:1" x14ac:dyDescent="0.35">
      <c r="A21">
        <f>Admin!M23</f>
        <v>1004</v>
      </c>
    </row>
    <row r="22" spans="1:1" x14ac:dyDescent="0.35">
      <c r="A22">
        <f>Admin!M24</f>
        <v>857</v>
      </c>
    </row>
    <row r="23" spans="1:1" x14ac:dyDescent="0.35">
      <c r="A23">
        <f>Admin!M25</f>
        <v>972</v>
      </c>
    </row>
    <row r="24" spans="1:1" x14ac:dyDescent="0.35">
      <c r="A24">
        <f>Admin!M26</f>
        <v>818</v>
      </c>
    </row>
    <row r="25" spans="1:1" x14ac:dyDescent="0.35">
      <c r="A25">
        <f>Admin!M27</f>
        <v>932</v>
      </c>
    </row>
    <row r="26" spans="1:1" x14ac:dyDescent="0.35">
      <c r="A26">
        <f>Admin!M28</f>
        <v>786</v>
      </c>
    </row>
    <row r="27" spans="1:1" x14ac:dyDescent="0.35">
      <c r="A27">
        <f>Admin!M29</f>
        <v>884</v>
      </c>
    </row>
    <row r="28" spans="1:1" x14ac:dyDescent="0.35">
      <c r="A28">
        <f>Admin!M30</f>
        <v>995</v>
      </c>
    </row>
    <row r="29" spans="1:1" x14ac:dyDescent="0.35">
      <c r="A29">
        <f>Admin!M31</f>
        <v>915</v>
      </c>
    </row>
    <row r="30" spans="1:1" x14ac:dyDescent="0.35">
      <c r="A30">
        <f>Admin!M32</f>
        <v>806</v>
      </c>
    </row>
    <row r="31" spans="1:1" x14ac:dyDescent="0.35">
      <c r="A31">
        <f>Admin!M33</f>
        <v>930</v>
      </c>
    </row>
    <row r="32" spans="1:1" x14ac:dyDescent="0.35">
      <c r="A32">
        <f>Admin!M34</f>
        <v>821</v>
      </c>
    </row>
    <row r="33" spans="1:1" x14ac:dyDescent="0.35">
      <c r="A33">
        <f>Admin!M35</f>
        <v>978</v>
      </c>
    </row>
    <row r="34" spans="1:1" x14ac:dyDescent="0.35">
      <c r="A34">
        <f>Admin!M36</f>
        <v>837</v>
      </c>
    </row>
    <row r="35" spans="1:1" x14ac:dyDescent="0.35">
      <c r="A35">
        <f>Admin!M37</f>
        <v>947</v>
      </c>
    </row>
    <row r="36" spans="1:1" x14ac:dyDescent="0.35">
      <c r="A36">
        <f>Admin!M38</f>
        <v>797</v>
      </c>
    </row>
    <row r="37" spans="1:1" x14ac:dyDescent="0.35">
      <c r="A37">
        <f>Admin!M39</f>
        <v>911</v>
      </c>
    </row>
    <row r="38" spans="1:1" x14ac:dyDescent="0.35">
      <c r="A38">
        <f>Admin!M40</f>
        <v>763</v>
      </c>
    </row>
    <row r="39" spans="1:1" x14ac:dyDescent="0.35">
      <c r="A39">
        <f>Admin!M41</f>
        <v>860</v>
      </c>
    </row>
    <row r="40" spans="1:1" x14ac:dyDescent="0.35">
      <c r="A40">
        <f>Admin!M42</f>
        <v>972</v>
      </c>
    </row>
    <row r="41" spans="1:1" x14ac:dyDescent="0.35">
      <c r="A41">
        <f>Admin!M43</f>
        <v>890</v>
      </c>
    </row>
    <row r="42" spans="1:1" x14ac:dyDescent="0.35">
      <c r="A42">
        <f>Admin!M44</f>
        <v>786</v>
      </c>
    </row>
    <row r="43" spans="1:1" x14ac:dyDescent="0.35">
      <c r="A43">
        <f>Admin!M45</f>
        <v>905</v>
      </c>
    </row>
    <row r="44" spans="1:1" x14ac:dyDescent="0.35">
      <c r="A44">
        <f>Admin!M46</f>
        <v>800</v>
      </c>
    </row>
    <row r="45" spans="1:1" x14ac:dyDescent="0.35">
      <c r="A45">
        <f>Admin!M47</f>
        <v>951</v>
      </c>
    </row>
    <row r="46" spans="1:1" x14ac:dyDescent="0.35">
      <c r="A46">
        <f>Admin!M48</f>
        <v>812</v>
      </c>
    </row>
    <row r="47" spans="1:1" x14ac:dyDescent="0.35">
      <c r="A47">
        <f>Admin!M49</f>
        <v>924</v>
      </c>
    </row>
    <row r="48" spans="1:1" x14ac:dyDescent="0.35">
      <c r="A48">
        <f>Admin!M50</f>
        <v>779</v>
      </c>
    </row>
    <row r="49" spans="1:1" x14ac:dyDescent="0.35">
      <c r="A49">
        <f>Admin!M51</f>
        <v>886</v>
      </c>
    </row>
    <row r="50" spans="1:1" x14ac:dyDescent="0.35">
      <c r="A50">
        <f>Admin!M52</f>
        <v>747</v>
      </c>
    </row>
    <row r="51" spans="1:1" x14ac:dyDescent="0.35">
      <c r="A51">
        <f>Admin!M53</f>
        <v>837</v>
      </c>
    </row>
    <row r="52" spans="1:1" x14ac:dyDescent="0.35">
      <c r="A52">
        <f>Admin!M54</f>
        <v>946</v>
      </c>
    </row>
    <row r="53" spans="1:1" x14ac:dyDescent="0.35">
      <c r="A53">
        <f>Admin!M55</f>
        <v>867</v>
      </c>
    </row>
    <row r="54" spans="1:1" x14ac:dyDescent="0.35">
      <c r="A54">
        <f>Admin!M56</f>
        <v>769</v>
      </c>
    </row>
    <row r="55" spans="1:1" x14ac:dyDescent="0.35">
      <c r="A55">
        <f>Admin!M57</f>
        <v>878</v>
      </c>
    </row>
    <row r="56" spans="1:1" x14ac:dyDescent="0.35">
      <c r="A56">
        <f>Admin!M58</f>
        <v>778</v>
      </c>
    </row>
    <row r="57" spans="1:1" x14ac:dyDescent="0.35">
      <c r="A57">
        <f>Admin!M59</f>
        <v>928</v>
      </c>
    </row>
    <row r="58" spans="1:1" x14ac:dyDescent="0.35">
      <c r="A58">
        <f>Admin!M60</f>
        <v>792</v>
      </c>
    </row>
    <row r="59" spans="1:1" x14ac:dyDescent="0.35">
      <c r="A59">
        <f>Admin!M61</f>
        <v>896</v>
      </c>
    </row>
    <row r="60" spans="1:1" x14ac:dyDescent="0.35">
      <c r="A60">
        <f>Admin!M62</f>
        <v>754</v>
      </c>
    </row>
    <row r="61" spans="1:1" x14ac:dyDescent="0.35">
      <c r="A61">
        <f>Admin!M63</f>
        <v>861</v>
      </c>
    </row>
    <row r="62" spans="1:1" x14ac:dyDescent="0.35">
      <c r="A62">
        <f>Admin!M64</f>
        <v>728</v>
      </c>
    </row>
    <row r="63" spans="1:1" x14ac:dyDescent="0.35">
      <c r="A63">
        <f>Admin!M65</f>
        <v>815</v>
      </c>
    </row>
    <row r="64" spans="1:1" x14ac:dyDescent="0.35">
      <c r="A64">
        <f>Admin!M66</f>
        <v>920</v>
      </c>
    </row>
    <row r="65" spans="1:1" x14ac:dyDescent="0.35">
      <c r="A65">
        <f>Admin!M67</f>
        <v>845</v>
      </c>
    </row>
    <row r="66" spans="1:1" x14ac:dyDescent="0.35">
      <c r="A66">
        <f>Admin!M68</f>
        <v>743</v>
      </c>
    </row>
    <row r="67" spans="1:1" x14ac:dyDescent="0.35">
      <c r="A67">
        <f>Admin!M69</f>
        <v>857</v>
      </c>
    </row>
    <row r="68" spans="1:1" x14ac:dyDescent="0.35">
      <c r="A68">
        <f>Admin!M70</f>
        <v>758</v>
      </c>
    </row>
    <row r="69" spans="1:1" x14ac:dyDescent="0.35">
      <c r="A69">
        <f>Admin!M71</f>
        <v>903</v>
      </c>
    </row>
    <row r="70" spans="1:1" x14ac:dyDescent="0.35">
      <c r="A70">
        <f>Admin!M72</f>
        <v>773</v>
      </c>
    </row>
    <row r="71" spans="1:1" x14ac:dyDescent="0.35">
      <c r="A71">
        <f>Admin!M73</f>
        <v>871</v>
      </c>
    </row>
    <row r="72" spans="1:1" x14ac:dyDescent="0.35">
      <c r="A72">
        <f>Admin!M74</f>
        <v>736</v>
      </c>
    </row>
    <row r="73" spans="1:1" x14ac:dyDescent="0.35">
      <c r="A73">
        <f>Admin!M75</f>
        <v>837</v>
      </c>
    </row>
    <row r="74" spans="1:1" x14ac:dyDescent="0.35">
      <c r="A74">
        <f>Admin!M76</f>
        <v>708</v>
      </c>
    </row>
    <row r="75" spans="1:1" x14ac:dyDescent="0.35">
      <c r="A75">
        <f>Admin!M77</f>
        <v>794</v>
      </c>
    </row>
    <row r="76" spans="1:1" x14ac:dyDescent="0.35">
      <c r="A76">
        <f>Admin!M78</f>
        <v>898</v>
      </c>
    </row>
    <row r="77" spans="1:1" x14ac:dyDescent="0.35">
      <c r="A77">
        <f>Admin!M79</f>
        <v>824</v>
      </c>
    </row>
    <row r="78" spans="1:1" x14ac:dyDescent="0.35">
      <c r="A78">
        <f>Admin!M80</f>
        <v>724</v>
      </c>
    </row>
    <row r="79" spans="1:1" x14ac:dyDescent="0.35">
      <c r="A79">
        <f>Admin!M81</f>
        <v>828</v>
      </c>
    </row>
    <row r="80" spans="1:1" x14ac:dyDescent="0.35">
      <c r="A80">
        <f>Admin!M82</f>
        <v>737</v>
      </c>
    </row>
    <row r="81" spans="1:1" x14ac:dyDescent="0.35">
      <c r="A81">
        <f>Admin!M83</f>
        <v>880</v>
      </c>
    </row>
    <row r="82" spans="1:1" x14ac:dyDescent="0.35">
      <c r="A82">
        <f>Admin!M84</f>
        <v>749</v>
      </c>
    </row>
    <row r="83" spans="1:1" x14ac:dyDescent="0.35">
      <c r="A83">
        <f>Admin!M85</f>
        <v>847</v>
      </c>
    </row>
    <row r="84" spans="1:1" x14ac:dyDescent="0.35">
      <c r="A84">
        <f>Admin!M86</f>
        <v>717</v>
      </c>
    </row>
    <row r="85" spans="1:1" x14ac:dyDescent="0.35">
      <c r="A85">
        <f>Admin!M87</f>
        <v>814</v>
      </c>
    </row>
    <row r="86" spans="1:1" x14ac:dyDescent="0.35">
      <c r="A86">
        <f>Admin!M88</f>
        <v>687</v>
      </c>
    </row>
    <row r="87" spans="1:1" x14ac:dyDescent="0.35">
      <c r="A87">
        <f>Admin!M89</f>
        <v>773</v>
      </c>
    </row>
    <row r="88" spans="1:1" x14ac:dyDescent="0.35">
      <c r="A88">
        <f>Admin!M90</f>
        <v>870</v>
      </c>
    </row>
    <row r="89" spans="1:1" x14ac:dyDescent="0.35">
      <c r="A89">
        <f>Admin!M91</f>
        <v>798</v>
      </c>
    </row>
    <row r="90" spans="1:1" x14ac:dyDescent="0.35">
      <c r="A90">
        <f>Admin!M92</f>
        <v>706</v>
      </c>
    </row>
    <row r="91" spans="1:1" x14ac:dyDescent="0.35">
      <c r="A91">
        <f>Admin!M93</f>
        <v>811</v>
      </c>
    </row>
    <row r="92" spans="1:1" x14ac:dyDescent="0.35">
      <c r="A92">
        <f>Admin!M94</f>
        <v>719</v>
      </c>
    </row>
    <row r="93" spans="1:1" x14ac:dyDescent="0.35">
      <c r="A93">
        <f>Admin!M95</f>
        <v>850</v>
      </c>
    </row>
    <row r="94" spans="1:1" x14ac:dyDescent="0.35">
      <c r="A94">
        <f>Admin!M96</f>
        <v>728</v>
      </c>
    </row>
    <row r="95" spans="1:1" x14ac:dyDescent="0.35">
      <c r="A95">
        <f>Admin!M97</f>
        <v>825</v>
      </c>
    </row>
    <row r="96" spans="1:1" x14ac:dyDescent="0.35">
      <c r="A96">
        <f>Admin!M98</f>
        <v>692</v>
      </c>
    </row>
    <row r="97" spans="1:1" x14ac:dyDescent="0.35">
      <c r="A97">
        <f>Admin!M99</f>
        <v>788</v>
      </c>
    </row>
    <row r="98" spans="1:1" x14ac:dyDescent="0.35">
      <c r="A98">
        <f>Admin!M100</f>
        <v>667</v>
      </c>
    </row>
    <row r="99" spans="1:1" x14ac:dyDescent="0.35">
      <c r="A99">
        <f>Admin!M101</f>
        <v>749</v>
      </c>
    </row>
    <row r="100" spans="1:1" x14ac:dyDescent="0.35">
      <c r="A100">
        <f>Admin!M102</f>
        <v>846</v>
      </c>
    </row>
    <row r="101" spans="1:1" x14ac:dyDescent="0.35">
      <c r="A101">
        <f>Admin!M103</f>
        <v>775</v>
      </c>
    </row>
    <row r="102" spans="1:1" x14ac:dyDescent="0.35">
      <c r="A102">
        <f>Admin!M104</f>
        <v>684</v>
      </c>
    </row>
    <row r="103" spans="1:1" x14ac:dyDescent="0.35">
      <c r="A103">
        <f>Admin!M105</f>
        <v>782</v>
      </c>
    </row>
    <row r="104" spans="1:1" x14ac:dyDescent="0.35">
      <c r="A104">
        <f>Admin!M106</f>
        <v>692</v>
      </c>
    </row>
    <row r="105" spans="1:1" x14ac:dyDescent="0.35">
      <c r="A105">
        <f>Admin!M107</f>
        <v>826</v>
      </c>
    </row>
    <row r="106" spans="1:1" x14ac:dyDescent="0.35">
      <c r="A106">
        <f>Admin!M108</f>
        <v>705</v>
      </c>
    </row>
    <row r="107" spans="1:1" x14ac:dyDescent="0.35">
      <c r="A107">
        <f>Admin!M109</f>
        <v>801</v>
      </c>
    </row>
    <row r="108" spans="1:1" x14ac:dyDescent="0.35">
      <c r="A108">
        <f>Admin!M110</f>
        <v>673</v>
      </c>
    </row>
    <row r="109" spans="1:1" x14ac:dyDescent="0.35">
      <c r="A109">
        <f>Admin!M111</f>
        <v>764</v>
      </c>
    </row>
    <row r="110" spans="1:1" x14ac:dyDescent="0.35">
      <c r="A110">
        <f>Admin!M112</f>
        <v>648</v>
      </c>
    </row>
    <row r="111" spans="1:1" x14ac:dyDescent="0.35">
      <c r="A111">
        <f>Admin!M113</f>
        <v>728</v>
      </c>
    </row>
    <row r="112" spans="1:1" x14ac:dyDescent="0.35">
      <c r="A112">
        <f>Admin!M114</f>
        <v>817</v>
      </c>
    </row>
    <row r="113" spans="1:1" x14ac:dyDescent="0.35">
      <c r="A113">
        <f>Admin!M115</f>
        <v>750</v>
      </c>
    </row>
    <row r="114" spans="1:1" x14ac:dyDescent="0.35">
      <c r="A114">
        <f>Admin!M116</f>
        <v>664</v>
      </c>
    </row>
    <row r="115" spans="1:1" x14ac:dyDescent="0.35">
      <c r="A115">
        <f>Admin!M117</f>
        <v>763</v>
      </c>
    </row>
    <row r="116" spans="1:1" x14ac:dyDescent="0.35">
      <c r="A116">
        <f>Admin!M118</f>
        <v>675</v>
      </c>
    </row>
    <row r="117" spans="1:1" x14ac:dyDescent="0.35">
      <c r="A117">
        <f>Admin!M119</f>
        <v>803</v>
      </c>
    </row>
    <row r="118" spans="1:1" x14ac:dyDescent="0.35">
      <c r="A118">
        <f>Admin!M120</f>
        <v>684</v>
      </c>
    </row>
    <row r="119" spans="1:1" x14ac:dyDescent="0.35">
      <c r="A119">
        <f>Admin!M121</f>
        <v>776</v>
      </c>
    </row>
    <row r="120" spans="1:1" x14ac:dyDescent="0.35">
      <c r="A120">
        <f>Admin!M122</f>
        <v>654</v>
      </c>
    </row>
    <row r="121" spans="1:1" x14ac:dyDescent="0.35">
      <c r="A121">
        <f>Admin!M123</f>
        <v>745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F255-BDF9-4421-936D-D783669B3F22}">
  <dimension ref="A1:AC123"/>
  <sheetViews>
    <sheetView workbookViewId="0">
      <selection activeCell="G3" sqref="G3"/>
    </sheetView>
  </sheetViews>
  <sheetFormatPr defaultRowHeight="14.5" x14ac:dyDescent="0.35"/>
  <cols>
    <col min="1" max="2" width="9.90625" bestFit="1" customWidth="1"/>
    <col min="3" max="3" width="3.08984375" customWidth="1"/>
    <col min="4" max="4" width="5" bestFit="1" customWidth="1"/>
    <col min="5" max="5" width="9.6328125" bestFit="1" customWidth="1"/>
    <col min="6" max="6" width="7.36328125" bestFit="1" customWidth="1"/>
    <col min="7" max="8" width="6.90625" customWidth="1"/>
    <col min="9" max="9" width="7.453125" bestFit="1" customWidth="1"/>
    <col min="10" max="10" width="3" customWidth="1"/>
    <col min="11" max="11" width="7.36328125" customWidth="1"/>
    <col min="12" max="12" width="9.90625" bestFit="1" customWidth="1"/>
    <col min="13" max="13" width="4.90625" bestFit="1" customWidth="1"/>
    <col min="14" max="14" width="4.26953125" customWidth="1"/>
    <col min="15" max="15" width="4.90625" bestFit="1" customWidth="1"/>
    <col min="16" max="27" width="7.453125" customWidth="1"/>
    <col min="28" max="28" width="8" customWidth="1"/>
  </cols>
  <sheetData>
    <row r="1" spans="1:29" x14ac:dyDescent="0.35">
      <c r="A1">
        <f>ID</f>
        <v>316087337</v>
      </c>
      <c r="B1">
        <f>ID+MOD(ID*1,10000)*2</f>
        <v>316102011</v>
      </c>
      <c r="D1" s="5" t="s">
        <v>2</v>
      </c>
      <c r="E1" s="5" t="s">
        <v>3</v>
      </c>
      <c r="F1" s="5" t="s">
        <v>19</v>
      </c>
      <c r="G1" s="5" t="s">
        <v>4</v>
      </c>
      <c r="H1" s="5" t="s">
        <v>31</v>
      </c>
      <c r="I1" s="5" t="s">
        <v>32</v>
      </c>
    </row>
    <row r="2" spans="1:29" x14ac:dyDescent="0.35">
      <c r="D2">
        <v>2012</v>
      </c>
      <c r="E2" t="s">
        <v>13</v>
      </c>
      <c r="F2" s="8">
        <f t="shared" ref="F2:F65" ca="1" si="0">RAND()</f>
        <v>0.49509163135351575</v>
      </c>
      <c r="G2">
        <f ca="1">IF($A$1=0,"",ROUND(_xlfn.NORM.INV(טבלה1[[#This Row],[Rand]],A0+Trend*(ROW()-1),Std)*INDEX(SeasonalityTable,Seasonality,MATCH(טבלה1[[#This Row],[Month]],Months,0)),0))</f>
        <v>826</v>
      </c>
      <c r="H2">
        <f t="shared" ref="H2:H33" si="1">(A0+(ROW()-1)*Trend)*INDEX(SeasonalityTable,Seasonality,MOD(ROW()-2,12)+1)</f>
        <v>826.42560000000003</v>
      </c>
      <c r="I2">
        <f ca="1">טבלה1[[#This Row],[Demand]]-טבלה1[[#This Row],[est]]</f>
        <v>-0.42560000000003129</v>
      </c>
      <c r="K2" s="1" t="s">
        <v>17</v>
      </c>
      <c r="P2" t="s">
        <v>13</v>
      </c>
      <c r="Q2" t="s">
        <v>14</v>
      </c>
      <c r="R2" t="s">
        <v>15</v>
      </c>
      <c r="S2" t="s">
        <v>16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20</v>
      </c>
      <c r="AC2" t="s">
        <v>18</v>
      </c>
    </row>
    <row r="3" spans="1:29" x14ac:dyDescent="0.35">
      <c r="A3" t="s">
        <v>0</v>
      </c>
      <c r="B3">
        <f>MOD(RefNum,17)*23+IF(ISODD(ID),573,73)</f>
        <v>941</v>
      </c>
      <c r="D3">
        <v>2012</v>
      </c>
      <c r="E3" t="s">
        <v>14</v>
      </c>
      <c r="F3" s="8">
        <f t="shared" ca="1" si="0"/>
        <v>0.28453478585271785</v>
      </c>
      <c r="G3">
        <f ca="1">IF($A$1=0,"",ROUND(_xlfn.NORM.INV(טבלה1[[#This Row],[Rand]],A0+Trend*(ROW()-1),Std)*INDEX(SeasonalityTable,Seasonality,MATCH(טבלה1[[#This Row],[Month]],Months,0)),0))</f>
        <v>927</v>
      </c>
      <c r="H3">
        <f t="shared" si="1"/>
        <v>927.86760000000004</v>
      </c>
      <c r="I3">
        <f ca="1">טבלה1[[#This Row],[Demand]]-טבלה1[[#This Row],[est]]</f>
        <v>-0.86760000000003856</v>
      </c>
      <c r="K3" s="1" t="s">
        <v>2</v>
      </c>
      <c r="L3" s="1" t="s">
        <v>3</v>
      </c>
      <c r="M3" t="s">
        <v>22</v>
      </c>
      <c r="O3">
        <v>1</v>
      </c>
      <c r="P3">
        <v>1.1299999999999999</v>
      </c>
      <c r="Q3">
        <v>0.86</v>
      </c>
      <c r="R3">
        <v>1.1499999999999999</v>
      </c>
      <c r="S3">
        <v>0.86</v>
      </c>
      <c r="T3">
        <v>1.1000000000000001</v>
      </c>
      <c r="U3">
        <v>0.9</v>
      </c>
      <c r="V3">
        <v>1.02</v>
      </c>
      <c r="W3">
        <v>1.1499999999999999</v>
      </c>
      <c r="X3">
        <v>0.85</v>
      </c>
      <c r="Y3">
        <v>1.05</v>
      </c>
      <c r="Z3">
        <v>0.89</v>
      </c>
      <c r="AA3">
        <v>1.04</v>
      </c>
      <c r="AB3">
        <f>AVERAGE(P3:AA3)</f>
        <v>1</v>
      </c>
      <c r="AC3">
        <f>_xlfn.STDEV.P(P3:AA3)</f>
        <v>0.11554220008291288</v>
      </c>
    </row>
    <row r="4" spans="1:29" x14ac:dyDescent="0.35">
      <c r="A4" t="s">
        <v>1</v>
      </c>
      <c r="B4">
        <f>IF(ISODD(ID),-ROUND((0.0015+MOD(RefNum,7)*0.0005)*A0,2),ROUND((0.003+MOD(RefNum,7)*0.0015)*A0,2))</f>
        <v>-1.88</v>
      </c>
      <c r="D4">
        <v>2012</v>
      </c>
      <c r="E4" t="s">
        <v>15</v>
      </c>
      <c r="F4" s="8">
        <f t="shared" ca="1" si="0"/>
        <v>0.71305894991331509</v>
      </c>
      <c r="G4">
        <f ca="1">IF($A$1=0,"",ROUND(_xlfn.NORM.INV(טבלה1[[#This Row],[Rand]],A0+Trend*(ROW()-1),Std)*INDEX(SeasonalityTable,Seasonality,MATCH(טבלה1[[#This Row],[Month]],Months,0)),0))</f>
        <v>1049</v>
      </c>
      <c r="H4">
        <f t="shared" si="1"/>
        <v>1047.6032</v>
      </c>
      <c r="I4">
        <f ca="1">טבלה1[[#This Row],[Demand]]-טבלה1[[#This Row],[est]]</f>
        <v>1.3967999999999847</v>
      </c>
      <c r="K4">
        <v>2012</v>
      </c>
      <c r="L4" t="s">
        <v>13</v>
      </c>
      <c r="M4">
        <v>825</v>
      </c>
      <c r="O4">
        <v>2</v>
      </c>
      <c r="P4">
        <v>1.1200000000000001</v>
      </c>
      <c r="Q4">
        <v>1.04</v>
      </c>
      <c r="R4">
        <v>0.92</v>
      </c>
      <c r="S4">
        <v>1.0900000000000001</v>
      </c>
      <c r="T4">
        <v>0.91</v>
      </c>
      <c r="U4">
        <v>0.92999999999999994</v>
      </c>
      <c r="V4">
        <v>1.01</v>
      </c>
      <c r="W4">
        <v>1.1299999999999999</v>
      </c>
      <c r="X4">
        <v>0.94</v>
      </c>
      <c r="Y4">
        <v>0.94</v>
      </c>
      <c r="Z4">
        <v>1.1100000000000001</v>
      </c>
      <c r="AA4">
        <v>0.86</v>
      </c>
      <c r="AB4">
        <f t="shared" ref="AB4:AB13" si="2">AVERAGE(P4:AA4)</f>
        <v>0.99999999999999967</v>
      </c>
      <c r="AC4">
        <f t="shared" ref="AC4:AC13" si="3">_xlfn.STDEV.P(P4:AA4)</f>
        <v>9.1012819609840326E-2</v>
      </c>
    </row>
    <row r="5" spans="1:29" x14ac:dyDescent="0.35">
      <c r="A5" t="s">
        <v>21</v>
      </c>
      <c r="B5">
        <f>MOD(RefNum,11)+1</f>
        <v>6</v>
      </c>
      <c r="D5">
        <v>2012</v>
      </c>
      <c r="E5" t="s">
        <v>16</v>
      </c>
      <c r="F5" s="8">
        <f t="shared" ca="1" si="0"/>
        <v>0.97125432359876929</v>
      </c>
      <c r="G5">
        <f ca="1">IF($A$1=0,"",ROUND(_xlfn.NORM.INV(טבלה1[[#This Row],[Rand]],A0+Trend*(ROW()-1),Std)*INDEX(SeasonalityTable,Seasonality,MATCH(טבלה1[[#This Row],[Month]],Months,0)),0))</f>
        <v>965</v>
      </c>
      <c r="H5">
        <f t="shared" si="1"/>
        <v>961.48440000000005</v>
      </c>
      <c r="I5">
        <f ca="1">טבלה1[[#This Row],[Demand]]-טבלה1[[#This Row],[est]]</f>
        <v>3.5155999999999494</v>
      </c>
      <c r="L5" t="s">
        <v>14</v>
      </c>
      <c r="M5">
        <v>928</v>
      </c>
      <c r="O5">
        <v>3</v>
      </c>
      <c r="P5">
        <v>1.1200000000000001</v>
      </c>
      <c r="Q5">
        <v>0.96</v>
      </c>
      <c r="R5">
        <v>0.92</v>
      </c>
      <c r="S5">
        <v>0.87</v>
      </c>
      <c r="T5">
        <v>0.88</v>
      </c>
      <c r="U5">
        <v>1.0900000000000001</v>
      </c>
      <c r="V5">
        <v>1.06</v>
      </c>
      <c r="W5">
        <v>1.03</v>
      </c>
      <c r="X5">
        <v>0.99</v>
      </c>
      <c r="Y5">
        <v>0.98</v>
      </c>
      <c r="Z5">
        <v>0.98</v>
      </c>
      <c r="AA5">
        <v>1.1200000000000001</v>
      </c>
      <c r="AB5">
        <f t="shared" si="2"/>
        <v>1</v>
      </c>
      <c r="AC5">
        <f t="shared" si="3"/>
        <v>8.2462112512353247E-2</v>
      </c>
    </row>
    <row r="6" spans="1:29" x14ac:dyDescent="0.35">
      <c r="A6" t="s">
        <v>18</v>
      </c>
      <c r="B6" s="2">
        <f>IF(ISODD(ID),ABS(Trend/1.1),ABS(Trend/0.8))</f>
        <v>1.7090909090909088</v>
      </c>
      <c r="D6">
        <v>2012</v>
      </c>
      <c r="E6" t="s">
        <v>5</v>
      </c>
      <c r="F6" s="8">
        <f t="shared" ca="1" si="0"/>
        <v>0.24313893048210977</v>
      </c>
      <c r="G6">
        <f ca="1">IF($A$1=0,"",ROUND(_xlfn.NORM.INV(טבלה1[[#This Row],[Rand]],A0+Trend*(ROW()-1),Std)*INDEX(SeasonalityTable,Seasonality,MATCH(טבלה1[[#This Row],[Month]],Months,0)),0))</f>
        <v>847</v>
      </c>
      <c r="H6">
        <f t="shared" si="1"/>
        <v>847.75600000000009</v>
      </c>
      <c r="I6">
        <f ca="1">טבלה1[[#This Row],[Demand]]-טבלה1[[#This Row],[est]]</f>
        <v>-0.75600000000008549</v>
      </c>
      <c r="L6" t="s">
        <v>15</v>
      </c>
      <c r="M6">
        <v>1048</v>
      </c>
      <c r="O6">
        <v>4</v>
      </c>
      <c r="P6">
        <v>0.96</v>
      </c>
      <c r="Q6">
        <v>1.1299999999999999</v>
      </c>
      <c r="R6">
        <v>1.04</v>
      </c>
      <c r="S6">
        <v>1.1400000000000001</v>
      </c>
      <c r="T6">
        <v>0.92999999999999994</v>
      </c>
      <c r="U6">
        <v>0.92</v>
      </c>
      <c r="V6">
        <v>1.08</v>
      </c>
      <c r="W6">
        <v>0.85</v>
      </c>
      <c r="X6">
        <v>0.88</v>
      </c>
      <c r="Y6">
        <v>1.1100000000000001</v>
      </c>
      <c r="Z6">
        <v>1.08</v>
      </c>
      <c r="AA6">
        <v>0.88</v>
      </c>
      <c r="AB6">
        <f t="shared" si="2"/>
        <v>1</v>
      </c>
      <c r="AC6">
        <f t="shared" si="3"/>
        <v>0.10295630140986985</v>
      </c>
    </row>
    <row r="7" spans="1:29" x14ac:dyDescent="0.35">
      <c r="D7">
        <v>2012</v>
      </c>
      <c r="E7" t="s">
        <v>6</v>
      </c>
      <c r="F7" s="8">
        <f t="shared" ca="1" si="0"/>
        <v>0.79125038871989883</v>
      </c>
      <c r="G7">
        <f ca="1">IF($A$1=0,"",ROUND(_xlfn.NORM.INV(טבלה1[[#This Row],[Rand]],A0+Trend*(ROW()-1),Std)*INDEX(SeasonalityTable,Seasonality,MATCH(טבלה1[[#This Row],[Month]],Months,0)),0))</f>
        <v>978</v>
      </c>
      <c r="H7">
        <f t="shared" si="1"/>
        <v>976.20600000000002</v>
      </c>
      <c r="I7">
        <f ca="1">טבלה1[[#This Row],[Demand]]-טבלה1[[#This Row],[est]]</f>
        <v>1.7939999999999827</v>
      </c>
      <c r="L7" t="s">
        <v>16</v>
      </c>
      <c r="M7">
        <v>961</v>
      </c>
      <c r="O7">
        <v>5</v>
      </c>
      <c r="P7">
        <v>1.07</v>
      </c>
      <c r="Q7">
        <v>1.04</v>
      </c>
      <c r="R7">
        <v>0.95</v>
      </c>
      <c r="S7">
        <v>1.02</v>
      </c>
      <c r="T7">
        <v>0.9</v>
      </c>
      <c r="U7">
        <v>1.0900000000000001</v>
      </c>
      <c r="V7">
        <v>1.1000000000000001</v>
      </c>
      <c r="W7">
        <v>0.92999999999999994</v>
      </c>
      <c r="X7">
        <v>1.1200000000000001</v>
      </c>
      <c r="Y7">
        <v>0.93</v>
      </c>
      <c r="Z7">
        <v>0.88</v>
      </c>
      <c r="AA7">
        <v>0.97</v>
      </c>
      <c r="AB7">
        <f t="shared" si="2"/>
        <v>1</v>
      </c>
      <c r="AC7">
        <f t="shared" si="3"/>
        <v>8.0104098937986146E-2</v>
      </c>
    </row>
    <row r="8" spans="1:29" x14ac:dyDescent="0.35">
      <c r="A8" t="s">
        <v>20</v>
      </c>
      <c r="B8">
        <f>A0+60.5*Trend</f>
        <v>827.26</v>
      </c>
      <c r="D8">
        <v>2012</v>
      </c>
      <c r="E8" t="s">
        <v>7</v>
      </c>
      <c r="F8" s="8">
        <f t="shared" ca="1" si="0"/>
        <v>0.8800493380474016</v>
      </c>
      <c r="G8">
        <f ca="1">IF($A$1=0,"",ROUND(_xlfn.NORM.INV(טבלה1[[#This Row],[Rand]],A0+Trend*(ROW()-1),Std)*INDEX(SeasonalityTable,Seasonality,MATCH(טבלה1[[#This Row],[Month]],Months,0)),0))</f>
        <v>865</v>
      </c>
      <c r="H8">
        <f t="shared" si="1"/>
        <v>862.89120000000003</v>
      </c>
      <c r="I8">
        <f ca="1">טבלה1[[#This Row],[Demand]]-טבלה1[[#This Row],[est]]</f>
        <v>2.1087999999999738</v>
      </c>
      <c r="L8" t="s">
        <v>5</v>
      </c>
      <c r="M8">
        <v>850</v>
      </c>
      <c r="O8">
        <v>6</v>
      </c>
      <c r="P8">
        <v>0.88</v>
      </c>
      <c r="Q8">
        <v>0.99</v>
      </c>
      <c r="R8">
        <v>1.1200000000000001</v>
      </c>
      <c r="S8">
        <v>1.03</v>
      </c>
      <c r="T8">
        <v>0.91</v>
      </c>
      <c r="U8">
        <v>1.05</v>
      </c>
      <c r="V8">
        <v>0.92999999999999994</v>
      </c>
      <c r="W8">
        <v>1.1100000000000001</v>
      </c>
      <c r="X8">
        <v>0.95</v>
      </c>
      <c r="Y8">
        <v>1.08</v>
      </c>
      <c r="Z8">
        <v>0.91</v>
      </c>
      <c r="AA8">
        <v>1.04</v>
      </c>
      <c r="AB8">
        <f t="shared" si="2"/>
        <v>1</v>
      </c>
      <c r="AC8">
        <f t="shared" si="3"/>
        <v>7.958224257542218E-2</v>
      </c>
    </row>
    <row r="9" spans="1:29" x14ac:dyDescent="0.35">
      <c r="B9" s="2"/>
      <c r="D9">
        <v>2012</v>
      </c>
      <c r="E9" t="s">
        <v>8</v>
      </c>
      <c r="F9" s="8">
        <f t="shared" ca="1" si="0"/>
        <v>0.75398576912278392</v>
      </c>
      <c r="G9">
        <f ca="1">IF($A$1=0,"",ROUND(_xlfn.NORM.INV(טבלה1[[#This Row],[Rand]],A0+Trend*(ROW()-1),Std)*INDEX(SeasonalityTable,Seasonality,MATCH(טבלה1[[#This Row],[Month]],Months,0)),0))</f>
        <v>1029</v>
      </c>
      <c r="H9">
        <f t="shared" si="1"/>
        <v>1027.8156000000001</v>
      </c>
      <c r="I9">
        <f ca="1">טבלה1[[#This Row],[Demand]]-טבלה1[[#This Row],[est]]</f>
        <v>1.1843999999998687</v>
      </c>
      <c r="L9" t="s">
        <v>6</v>
      </c>
      <c r="M9">
        <v>978</v>
      </c>
      <c r="O9">
        <v>7</v>
      </c>
      <c r="P9">
        <v>1.05</v>
      </c>
      <c r="Q9">
        <v>1.1000000000000001</v>
      </c>
      <c r="R9">
        <v>0.93</v>
      </c>
      <c r="S9">
        <v>0.96</v>
      </c>
      <c r="T9">
        <v>1</v>
      </c>
      <c r="U9">
        <v>1.1400000000000001</v>
      </c>
      <c r="V9">
        <v>1.03</v>
      </c>
      <c r="W9">
        <v>1.1000000000000001</v>
      </c>
      <c r="X9">
        <v>0.86</v>
      </c>
      <c r="Y9">
        <v>0.94</v>
      </c>
      <c r="Z9">
        <v>0.89</v>
      </c>
      <c r="AA9">
        <v>1</v>
      </c>
      <c r="AB9">
        <f t="shared" si="2"/>
        <v>1.0000000000000002</v>
      </c>
      <c r="AC9">
        <f t="shared" si="3"/>
        <v>8.4063468086123305E-2</v>
      </c>
    </row>
    <row r="10" spans="1:29" x14ac:dyDescent="0.35">
      <c r="B10">
        <f>10*Std</f>
        <v>17.090909090909086</v>
      </c>
      <c r="D10">
        <v>2012</v>
      </c>
      <c r="E10" t="s">
        <v>9</v>
      </c>
      <c r="F10" s="8">
        <f t="shared" ca="1" si="0"/>
        <v>0.95381345032868614</v>
      </c>
      <c r="G10">
        <f ca="1">IF($A$1=0,"",ROUND(_xlfn.NORM.INV(טבלה1[[#This Row],[Rand]],A0+Trend*(ROW()-1),Std)*INDEX(SeasonalityTable,Seasonality,MATCH(טבלה1[[#This Row],[Month]],Months,0)),0))</f>
        <v>881</v>
      </c>
      <c r="H10">
        <f t="shared" si="1"/>
        <v>877.87599999999998</v>
      </c>
      <c r="I10">
        <f ca="1">טבלה1[[#This Row],[Demand]]-טבלה1[[#This Row],[est]]</f>
        <v>3.1240000000000236</v>
      </c>
      <c r="L10" t="s">
        <v>7</v>
      </c>
      <c r="M10">
        <v>862</v>
      </c>
      <c r="O10">
        <v>8</v>
      </c>
      <c r="P10">
        <v>1.03</v>
      </c>
      <c r="Q10">
        <v>0.87</v>
      </c>
      <c r="R10">
        <v>0.96</v>
      </c>
      <c r="S10">
        <v>1.0900000000000001</v>
      </c>
      <c r="T10">
        <v>1.08</v>
      </c>
      <c r="U10">
        <v>0.92999999999999994</v>
      </c>
      <c r="V10">
        <v>0.88</v>
      </c>
      <c r="W10">
        <v>1</v>
      </c>
      <c r="X10">
        <v>0.86</v>
      </c>
      <c r="Y10">
        <v>1.1000000000000001</v>
      </c>
      <c r="Z10">
        <v>1.05</v>
      </c>
      <c r="AA10">
        <v>1.1499999999999999</v>
      </c>
      <c r="AB10">
        <f t="shared" si="2"/>
        <v>1</v>
      </c>
      <c r="AC10">
        <f t="shared" si="3"/>
        <v>9.4780448054086225E-2</v>
      </c>
    </row>
    <row r="11" spans="1:29" x14ac:dyDescent="0.35">
      <c r="D11">
        <v>2012</v>
      </c>
      <c r="E11" t="s">
        <v>10</v>
      </c>
      <c r="F11" s="8">
        <f t="shared" ca="1" si="0"/>
        <v>0.38974229242919012</v>
      </c>
      <c r="G11">
        <f ca="1">IF($A$1=0,"",ROUND(_xlfn.NORM.INV(טבלה1[[#This Row],[Rand]],A0+Trend*(ROW()-1),Std)*INDEX(SeasonalityTable,Seasonality,MATCH(טבלה1[[#This Row],[Month]],Months,0)),0))</f>
        <v>995</v>
      </c>
      <c r="H11">
        <f t="shared" si="1"/>
        <v>995.97600000000011</v>
      </c>
      <c r="I11">
        <f ca="1">טבלה1[[#This Row],[Demand]]-טבלה1[[#This Row],[est]]</f>
        <v>-0.97600000000011278</v>
      </c>
      <c r="L11" t="s">
        <v>8</v>
      </c>
      <c r="M11">
        <v>1025</v>
      </c>
      <c r="O11">
        <v>9</v>
      </c>
      <c r="P11">
        <v>0.87</v>
      </c>
      <c r="Q11">
        <v>0.97</v>
      </c>
      <c r="R11">
        <v>1.06</v>
      </c>
      <c r="S11">
        <v>0.9</v>
      </c>
      <c r="T11">
        <v>1.0900000000000001</v>
      </c>
      <c r="U11">
        <v>1.02</v>
      </c>
      <c r="V11">
        <v>0.9</v>
      </c>
      <c r="W11">
        <v>1.04</v>
      </c>
      <c r="X11">
        <v>1.1299999999999999</v>
      </c>
      <c r="Y11">
        <v>0.85</v>
      </c>
      <c r="Z11">
        <v>1.06</v>
      </c>
      <c r="AA11">
        <v>1.1100000000000001</v>
      </c>
      <c r="AB11">
        <f t="shared" si="2"/>
        <v>1</v>
      </c>
      <c r="AC11">
        <f t="shared" si="3"/>
        <v>9.4251436770657962E-2</v>
      </c>
    </row>
    <row r="12" spans="1:29" x14ac:dyDescent="0.35">
      <c r="D12">
        <v>2012</v>
      </c>
      <c r="E12" t="s">
        <v>11</v>
      </c>
      <c r="F12" s="8">
        <f t="shared" ca="1" si="0"/>
        <v>0.41207826830620764</v>
      </c>
      <c r="G12">
        <f ca="1">IF($A$1=0,"",ROUND(_xlfn.NORM.INV(טבלה1[[#This Row],[Rand]],A0+Trend*(ROW()-1),Std)*INDEX(SeasonalityTable,Seasonality,MATCH(טבלה1[[#This Row],[Month]],Months,0)),0))</f>
        <v>837</v>
      </c>
      <c r="H12">
        <f t="shared" si="1"/>
        <v>837.49120000000005</v>
      </c>
      <c r="I12">
        <f ca="1">טבלה1[[#This Row],[Demand]]-טבלה1[[#This Row],[est]]</f>
        <v>-0.49120000000004893</v>
      </c>
      <c r="L12" t="s">
        <v>9</v>
      </c>
      <c r="M12">
        <v>877</v>
      </c>
      <c r="O12">
        <v>10</v>
      </c>
      <c r="P12">
        <v>1.05</v>
      </c>
      <c r="Q12">
        <v>0.87</v>
      </c>
      <c r="R12">
        <v>0.94</v>
      </c>
      <c r="S12">
        <v>1.1299999999999999</v>
      </c>
      <c r="T12">
        <v>0.91</v>
      </c>
      <c r="U12">
        <v>1.08</v>
      </c>
      <c r="V12">
        <v>1.1100000000000001</v>
      </c>
      <c r="W12">
        <v>0.87</v>
      </c>
      <c r="X12">
        <v>1.1400000000000001</v>
      </c>
      <c r="Y12">
        <v>1.04</v>
      </c>
      <c r="Z12">
        <v>0.98</v>
      </c>
      <c r="AA12">
        <v>0.88</v>
      </c>
      <c r="AB12">
        <f t="shared" si="2"/>
        <v>1.0000000000000002</v>
      </c>
      <c r="AC12">
        <f t="shared" si="3"/>
        <v>9.9749686716300051E-2</v>
      </c>
    </row>
    <row r="13" spans="1:29" x14ac:dyDescent="0.35">
      <c r="D13">
        <v>2012</v>
      </c>
      <c r="E13" t="s">
        <v>12</v>
      </c>
      <c r="F13" s="8">
        <f t="shared" ca="1" si="0"/>
        <v>0.28684191656137248</v>
      </c>
      <c r="G13">
        <f ca="1">IF($A$1=0,"",ROUND(_xlfn.NORM.INV(טבלה1[[#This Row],[Rand]],A0+Trend*(ROW()-1),Std)*INDEX(SeasonalityTable,Seasonality,MATCH(טבלה1[[#This Row],[Month]],Months,0)),0))</f>
        <v>954</v>
      </c>
      <c r="H13">
        <f t="shared" si="1"/>
        <v>955.1776000000001</v>
      </c>
      <c r="I13">
        <f ca="1">טבלה1[[#This Row],[Demand]]-טבלה1[[#This Row],[est]]</f>
        <v>-1.1776000000000977</v>
      </c>
      <c r="L13" t="s">
        <v>10</v>
      </c>
      <c r="M13">
        <v>997</v>
      </c>
      <c r="O13">
        <v>11</v>
      </c>
      <c r="P13">
        <v>1.05</v>
      </c>
      <c r="Q13">
        <v>0.9</v>
      </c>
      <c r="R13">
        <v>0.98</v>
      </c>
      <c r="S13">
        <v>1.04</v>
      </c>
      <c r="T13">
        <v>1</v>
      </c>
      <c r="U13">
        <v>0.87</v>
      </c>
      <c r="V13">
        <v>1.07</v>
      </c>
      <c r="W13">
        <v>1.1399999999999999</v>
      </c>
      <c r="X13">
        <v>0.89</v>
      </c>
      <c r="Y13">
        <v>1.06</v>
      </c>
      <c r="Z13">
        <v>0.97</v>
      </c>
      <c r="AA13">
        <v>1.03</v>
      </c>
      <c r="AB13">
        <f t="shared" si="2"/>
        <v>1.0000000000000002</v>
      </c>
      <c r="AC13">
        <f t="shared" si="3"/>
        <v>7.8209121377667098E-2</v>
      </c>
    </row>
    <row r="14" spans="1:29" x14ac:dyDescent="0.35">
      <c r="A14" t="s">
        <v>27</v>
      </c>
      <c r="B14" s="7">
        <f>(121*241/6-60.5^2)</f>
        <v>1199.916666666667</v>
      </c>
      <c r="D14">
        <f>D2+1</f>
        <v>2013</v>
      </c>
      <c r="E14" t="s">
        <v>13</v>
      </c>
      <c r="F14" s="8">
        <f t="shared" ca="1" si="0"/>
        <v>0.88037644170527007</v>
      </c>
      <c r="G14">
        <f ca="1">IF($A$1=0,"",ROUND(_xlfn.NORM.INV(טבלה1[[#This Row],[Rand]],A0+Trend*(ROW()-1),Std)*INDEX(SeasonalityTable,Seasonality,MATCH(טבלה1[[#This Row],[Month]],Months,0)),0))</f>
        <v>808</v>
      </c>
      <c r="H14">
        <f t="shared" si="1"/>
        <v>806.57279999999992</v>
      </c>
      <c r="I14">
        <f ca="1">טבלה1[[#This Row],[Demand]]-טבלה1[[#This Row],[est]]</f>
        <v>1.4272000000000844</v>
      </c>
      <c r="L14" t="s">
        <v>11</v>
      </c>
      <c r="M14">
        <v>837</v>
      </c>
    </row>
    <row r="15" spans="1:29" x14ac:dyDescent="0.35">
      <c r="A15" t="s">
        <v>28</v>
      </c>
      <c r="B15" s="7">
        <f>(INDEX($AC$3:$AC$13,Seasonality))^2*avg^2</f>
        <v>4334.2743481333364</v>
      </c>
      <c r="D15">
        <f t="shared" ref="D15:D78" si="4">D3+1</f>
        <v>2013</v>
      </c>
      <c r="E15" t="s">
        <v>14</v>
      </c>
      <c r="F15" s="8">
        <f t="shared" ca="1" si="0"/>
        <v>0.17249559626763178</v>
      </c>
      <c r="G15">
        <f ca="1">IF($A$1=0,"",ROUND(_xlfn.NORM.INV(טבלה1[[#This Row],[Rand]],A0+Trend*(ROW()-1),Std)*INDEX(SeasonalityTable,Seasonality,MATCH(טבלה1[[#This Row],[Month]],Months,0)),0))</f>
        <v>904</v>
      </c>
      <c r="H15">
        <f t="shared" si="1"/>
        <v>905.53319999999997</v>
      </c>
      <c r="I15">
        <f ca="1">טבלה1[[#This Row],[Demand]]-טבלה1[[#This Row],[est]]</f>
        <v>-1.5331999999999653</v>
      </c>
      <c r="L15" t="s">
        <v>12</v>
      </c>
      <c r="M15">
        <v>956</v>
      </c>
    </row>
    <row r="16" spans="1:29" x14ac:dyDescent="0.35">
      <c r="A16" t="s">
        <v>29</v>
      </c>
      <c r="B16" s="7">
        <f>SUM(B14:B15)</f>
        <v>5534.1910148000034</v>
      </c>
      <c r="D16">
        <f t="shared" si="4"/>
        <v>2013</v>
      </c>
      <c r="E16" t="s">
        <v>15</v>
      </c>
      <c r="F16" s="8">
        <f t="shared" ca="1" si="0"/>
        <v>0.43737328799100406</v>
      </c>
      <c r="G16">
        <f ca="1">IF($A$1=0,"",ROUND(_xlfn.NORM.INV(טבלה1[[#This Row],[Rand]],A0+Trend*(ROW()-1),Std)*INDEX(SeasonalityTable,Seasonality,MATCH(טבלה1[[#This Row],[Month]],Months,0)),0))</f>
        <v>1022</v>
      </c>
      <c r="H16">
        <f t="shared" si="1"/>
        <v>1022.336</v>
      </c>
      <c r="I16">
        <f ca="1">טבלה1[[#This Row],[Demand]]-טבלה1[[#This Row],[est]]</f>
        <v>-0.33600000000001273</v>
      </c>
      <c r="K16">
        <v>2013</v>
      </c>
      <c r="L16" t="s">
        <v>13</v>
      </c>
      <c r="M16">
        <v>807</v>
      </c>
    </row>
    <row r="17" spans="1:28" x14ac:dyDescent="0.35">
      <c r="A17" t="s">
        <v>30</v>
      </c>
      <c r="B17">
        <f>B14/B16</f>
        <v>0.21681880214429677</v>
      </c>
      <c r="D17">
        <f t="shared" si="4"/>
        <v>2013</v>
      </c>
      <c r="E17" t="s">
        <v>16</v>
      </c>
      <c r="F17" s="8">
        <f t="shared" ca="1" si="0"/>
        <v>0.72021014833047847</v>
      </c>
      <c r="G17">
        <f ca="1">IF($A$1=0,"",ROUND(_xlfn.NORM.INV(טבלה1[[#This Row],[Rand]],A0+Trend*(ROW()-1),Std)*INDEX(SeasonalityTable,Seasonality,MATCH(טבלה1[[#This Row],[Month]],Months,0)),0))</f>
        <v>939</v>
      </c>
      <c r="H17">
        <f t="shared" si="1"/>
        <v>938.24760000000003</v>
      </c>
      <c r="I17">
        <f ca="1">טבלה1[[#This Row],[Demand]]-טבלה1[[#This Row],[est]]</f>
        <v>0.75239999999996598</v>
      </c>
      <c r="L17" t="s">
        <v>14</v>
      </c>
      <c r="M17">
        <v>905</v>
      </c>
      <c r="P17" t="s">
        <v>13</v>
      </c>
      <c r="Q17" t="s">
        <v>14</v>
      </c>
      <c r="R17" t="s">
        <v>15</v>
      </c>
      <c r="S17" t="s">
        <v>16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  <c r="Y17" t="s">
        <v>10</v>
      </c>
      <c r="Z17" t="s">
        <v>11</v>
      </c>
      <c r="AA17" t="s">
        <v>12</v>
      </c>
    </row>
    <row r="18" spans="1:28" x14ac:dyDescent="0.35">
      <c r="D18">
        <f t="shared" si="4"/>
        <v>2013</v>
      </c>
      <c r="E18" t="s">
        <v>5</v>
      </c>
      <c r="F18" s="8">
        <f t="shared" ca="1" si="0"/>
        <v>0.86454510285085562</v>
      </c>
      <c r="G18">
        <f ca="1">IF($A$1=0,"",ROUND(_xlfn.NORM.INV(טבלה1[[#This Row],[Rand]],A0+Trend*(ROW()-1),Std)*INDEX(SeasonalityTable,Seasonality,MATCH(טבלה1[[#This Row],[Month]],Months,0)),0))</f>
        <v>829</v>
      </c>
      <c r="H18">
        <f t="shared" si="1"/>
        <v>827.22640000000001</v>
      </c>
      <c r="I18">
        <f ca="1">טבלה1[[#This Row],[Demand]]-טבלה1[[#This Row],[est]]</f>
        <v>1.7735999999999876</v>
      </c>
      <c r="L18" t="s">
        <v>15</v>
      </c>
      <c r="M18">
        <v>1022</v>
      </c>
      <c r="O18">
        <v>2012</v>
      </c>
      <c r="P18">
        <f t="shared" ref="P18:S18" si="5">GETPIVOTDATA("Demand",$K$2,"Year",$O18,"Month",P$17)</f>
        <v>825</v>
      </c>
      <c r="Q18">
        <f t="shared" si="5"/>
        <v>928</v>
      </c>
      <c r="R18">
        <f t="shared" si="5"/>
        <v>1048</v>
      </c>
      <c r="S18">
        <f t="shared" si="5"/>
        <v>961</v>
      </c>
      <c r="T18">
        <f>GETPIVOTDATA("Demand",$K$2,"Year",$O18,"Month",T$17)</f>
        <v>850</v>
      </c>
      <c r="U18">
        <f t="shared" ref="U18:AA19" si="6">GETPIVOTDATA("Demand",$K$2,"Year",$O18,"Month",U$17)</f>
        <v>978</v>
      </c>
      <c r="V18">
        <f t="shared" si="6"/>
        <v>862</v>
      </c>
      <c r="W18">
        <f t="shared" si="6"/>
        <v>1025</v>
      </c>
      <c r="X18">
        <f t="shared" si="6"/>
        <v>877</v>
      </c>
      <c r="Y18">
        <f t="shared" si="6"/>
        <v>997</v>
      </c>
      <c r="Z18">
        <f t="shared" si="6"/>
        <v>837</v>
      </c>
      <c r="AA18">
        <f t="shared" si="6"/>
        <v>956</v>
      </c>
    </row>
    <row r="19" spans="1:28" x14ac:dyDescent="0.35">
      <c r="D19">
        <f t="shared" si="4"/>
        <v>2013</v>
      </c>
      <c r="E19" t="s">
        <v>6</v>
      </c>
      <c r="F19" s="8">
        <f t="shared" ca="1" si="0"/>
        <v>0.33599305798397083</v>
      </c>
      <c r="G19">
        <f ca="1">IF($A$1=0,"",ROUND(_xlfn.NORM.INV(טבלה1[[#This Row],[Rand]],A0+Trend*(ROW()-1),Std)*INDEX(SeasonalityTable,Seasonality,MATCH(טבלה1[[#This Row],[Month]],Months,0)),0))</f>
        <v>952</v>
      </c>
      <c r="H19">
        <f t="shared" si="1"/>
        <v>952.51800000000003</v>
      </c>
      <c r="I19">
        <f ca="1">טבלה1[[#This Row],[Demand]]-טבלה1[[#This Row],[est]]</f>
        <v>-0.5180000000000291</v>
      </c>
      <c r="L19" t="s">
        <v>16</v>
      </c>
      <c r="M19">
        <v>940</v>
      </c>
      <c r="O19">
        <v>2013</v>
      </c>
      <c r="P19">
        <f t="shared" ref="P19:AA27" si="7">GETPIVOTDATA("Demand",$K$2,"Year",$O19,"Month",P$17)</f>
        <v>807</v>
      </c>
      <c r="Q19">
        <f t="shared" si="7"/>
        <v>905</v>
      </c>
      <c r="R19">
        <f t="shared" si="7"/>
        <v>1022</v>
      </c>
      <c r="S19">
        <f t="shared" si="7"/>
        <v>940</v>
      </c>
      <c r="T19">
        <f>GETPIVOTDATA("Demand",$K$2,"Year",$O19,"Month",T$17)</f>
        <v>826</v>
      </c>
      <c r="U19">
        <f t="shared" si="6"/>
        <v>954</v>
      </c>
      <c r="V19">
        <f t="shared" si="6"/>
        <v>842</v>
      </c>
      <c r="W19">
        <f t="shared" si="6"/>
        <v>1004</v>
      </c>
      <c r="X19">
        <f t="shared" si="6"/>
        <v>857</v>
      </c>
      <c r="Y19">
        <f t="shared" si="6"/>
        <v>972</v>
      </c>
      <c r="Z19">
        <f t="shared" si="6"/>
        <v>818</v>
      </c>
      <c r="AA19">
        <f t="shared" si="6"/>
        <v>932</v>
      </c>
    </row>
    <row r="20" spans="1:28" x14ac:dyDescent="0.35">
      <c r="A20" t="s">
        <v>33</v>
      </c>
      <c r="B20">
        <f>A0+120*Trend</f>
        <v>715.4</v>
      </c>
      <c r="D20">
        <f t="shared" si="4"/>
        <v>2013</v>
      </c>
      <c r="E20" t="s">
        <v>7</v>
      </c>
      <c r="F20" s="8">
        <f t="shared" ca="1" si="0"/>
        <v>0.58112839957226259</v>
      </c>
      <c r="G20">
        <f ca="1">IF($A$1=0,"",ROUND(_xlfn.NORM.INV(טבלה1[[#This Row],[Rand]],A0+Trend*(ROW()-1),Std)*INDEX(SeasonalityTable,Seasonality,MATCH(טבלה1[[#This Row],[Month]],Months,0)),0))</f>
        <v>842</v>
      </c>
      <c r="H20">
        <f t="shared" si="1"/>
        <v>841.91039999999987</v>
      </c>
      <c r="I20">
        <f ca="1">טבלה1[[#This Row],[Demand]]-טבלה1[[#This Row],[est]]</f>
        <v>8.9600000000132241E-2</v>
      </c>
      <c r="L20" t="s">
        <v>5</v>
      </c>
      <c r="M20">
        <v>826</v>
      </c>
      <c r="O20">
        <v>2014</v>
      </c>
      <c r="P20">
        <f t="shared" si="7"/>
        <v>786</v>
      </c>
      <c r="Q20">
        <f t="shared" si="7"/>
        <v>884</v>
      </c>
      <c r="R20">
        <f t="shared" si="7"/>
        <v>995</v>
      </c>
      <c r="S20">
        <f t="shared" si="7"/>
        <v>915</v>
      </c>
      <c r="T20">
        <f t="shared" si="7"/>
        <v>806</v>
      </c>
      <c r="U20">
        <f t="shared" si="7"/>
        <v>930</v>
      </c>
      <c r="V20">
        <f t="shared" si="7"/>
        <v>821</v>
      </c>
      <c r="W20">
        <f t="shared" si="7"/>
        <v>978</v>
      </c>
      <c r="X20">
        <f t="shared" si="7"/>
        <v>837</v>
      </c>
      <c r="Y20">
        <f t="shared" si="7"/>
        <v>947</v>
      </c>
      <c r="Z20">
        <f t="shared" si="7"/>
        <v>797</v>
      </c>
      <c r="AA20">
        <f t="shared" si="7"/>
        <v>911</v>
      </c>
    </row>
    <row r="21" spans="1:28" x14ac:dyDescent="0.35">
      <c r="A21" t="s">
        <v>34</v>
      </c>
      <c r="B21">
        <f>Trend</f>
        <v>-1.88</v>
      </c>
      <c r="D21">
        <f t="shared" si="4"/>
        <v>2013</v>
      </c>
      <c r="E21" t="s">
        <v>8</v>
      </c>
      <c r="F21" s="8">
        <f t="shared" ca="1" si="0"/>
        <v>0.30271175489859281</v>
      </c>
      <c r="G21">
        <f ca="1">IF($A$1=0,"",ROUND(_xlfn.NORM.INV(טבלה1[[#This Row],[Rand]],A0+Trend*(ROW()-1),Std)*INDEX(SeasonalityTable,Seasonality,MATCH(טבלה1[[#This Row],[Month]],Months,0)),0))</f>
        <v>1002</v>
      </c>
      <c r="H21">
        <f t="shared" si="1"/>
        <v>1002.7740000000001</v>
      </c>
      <c r="I21">
        <f ca="1">טבלה1[[#This Row],[Demand]]-טבלה1[[#This Row],[est]]</f>
        <v>-0.7740000000001146</v>
      </c>
      <c r="L21" t="s">
        <v>6</v>
      </c>
      <c r="M21">
        <v>954</v>
      </c>
      <c r="O21">
        <v>2015</v>
      </c>
      <c r="P21">
        <f t="shared" si="7"/>
        <v>763</v>
      </c>
      <c r="Q21">
        <f t="shared" si="7"/>
        <v>860</v>
      </c>
      <c r="R21">
        <f t="shared" si="7"/>
        <v>972</v>
      </c>
      <c r="S21">
        <f t="shared" si="7"/>
        <v>890</v>
      </c>
      <c r="T21">
        <f t="shared" si="7"/>
        <v>786</v>
      </c>
      <c r="U21">
        <f t="shared" si="7"/>
        <v>905</v>
      </c>
      <c r="V21">
        <f t="shared" si="7"/>
        <v>800</v>
      </c>
      <c r="W21">
        <f t="shared" si="7"/>
        <v>951</v>
      </c>
      <c r="X21">
        <f t="shared" si="7"/>
        <v>812</v>
      </c>
      <c r="Y21">
        <f t="shared" si="7"/>
        <v>924</v>
      </c>
      <c r="Z21">
        <f t="shared" si="7"/>
        <v>779</v>
      </c>
      <c r="AA21">
        <f t="shared" si="7"/>
        <v>886</v>
      </c>
    </row>
    <row r="22" spans="1:28" x14ac:dyDescent="0.35">
      <c r="A22" t="s">
        <v>35</v>
      </c>
      <c r="B22" s="9">
        <f>(B$20+20*B$21)*INDEX(SeasonalityTable,Seasonality,8)</f>
        <v>752.35800000000006</v>
      </c>
      <c r="D22">
        <f t="shared" si="4"/>
        <v>2013</v>
      </c>
      <c r="E22" t="s">
        <v>9</v>
      </c>
      <c r="F22" s="8">
        <f t="shared" ca="1" si="0"/>
        <v>0.70161681722128411</v>
      </c>
      <c r="G22">
        <f ca="1">IF($A$1=0,"",ROUND(_xlfn.NORM.INV(טבלה1[[#This Row],[Rand]],A0+Trend*(ROW()-1),Std)*INDEX(SeasonalityTable,Seasonality,MATCH(טבלה1[[#This Row],[Month]],Months,0)),0))</f>
        <v>857</v>
      </c>
      <c r="H22">
        <f t="shared" si="1"/>
        <v>856.44399999999996</v>
      </c>
      <c r="I22">
        <f ca="1">טבלה1[[#This Row],[Demand]]-טבלה1[[#This Row],[est]]</f>
        <v>0.55600000000004002</v>
      </c>
      <c r="L22" t="s">
        <v>7</v>
      </c>
      <c r="M22">
        <v>842</v>
      </c>
      <c r="O22">
        <v>2016</v>
      </c>
      <c r="P22">
        <f t="shared" si="7"/>
        <v>747</v>
      </c>
      <c r="Q22">
        <f t="shared" si="7"/>
        <v>837</v>
      </c>
      <c r="R22">
        <f t="shared" si="7"/>
        <v>946</v>
      </c>
      <c r="S22">
        <f t="shared" si="7"/>
        <v>867</v>
      </c>
      <c r="T22">
        <f t="shared" si="7"/>
        <v>769</v>
      </c>
      <c r="U22">
        <f t="shared" si="7"/>
        <v>878</v>
      </c>
      <c r="V22">
        <f t="shared" si="7"/>
        <v>778</v>
      </c>
      <c r="W22">
        <f t="shared" si="7"/>
        <v>928</v>
      </c>
      <c r="X22">
        <f t="shared" si="7"/>
        <v>792</v>
      </c>
      <c r="Y22">
        <f t="shared" si="7"/>
        <v>896</v>
      </c>
      <c r="Z22">
        <f t="shared" si="7"/>
        <v>754</v>
      </c>
      <c r="AA22">
        <f t="shared" si="7"/>
        <v>861</v>
      </c>
    </row>
    <row r="23" spans="1:28" x14ac:dyDescent="0.35">
      <c r="A23" t="s">
        <v>36</v>
      </c>
      <c r="B23" s="9">
        <f>(B$20+2*B$21)*INDEX(SeasonalityTable,Seasonality,2)</f>
        <v>704.52359999999999</v>
      </c>
      <c r="D23">
        <f t="shared" si="4"/>
        <v>2013</v>
      </c>
      <c r="E23" t="s">
        <v>10</v>
      </c>
      <c r="F23" s="8">
        <f t="shared" ca="1" si="0"/>
        <v>0.10841433222572394</v>
      </c>
      <c r="G23">
        <f ca="1">IF($A$1=0,"",ROUND(_xlfn.NORM.INV(טבלה1[[#This Row],[Rand]],A0+Trend*(ROW()-1),Std)*INDEX(SeasonalityTable,Seasonality,MATCH(טבלה1[[#This Row],[Month]],Months,0)),0))</f>
        <v>969</v>
      </c>
      <c r="H23">
        <f t="shared" si="1"/>
        <v>971.61120000000005</v>
      </c>
      <c r="I23">
        <f ca="1">טבלה1[[#This Row],[Demand]]-טבלה1[[#This Row],[est]]</f>
        <v>-2.6112000000000535</v>
      </c>
      <c r="L23" t="s">
        <v>8</v>
      </c>
      <c r="M23">
        <v>1004</v>
      </c>
      <c r="O23">
        <v>2017</v>
      </c>
      <c r="P23">
        <f t="shared" si="7"/>
        <v>728</v>
      </c>
      <c r="Q23">
        <f t="shared" si="7"/>
        <v>815</v>
      </c>
      <c r="R23">
        <f t="shared" si="7"/>
        <v>920</v>
      </c>
      <c r="S23">
        <f t="shared" si="7"/>
        <v>845</v>
      </c>
      <c r="T23">
        <f t="shared" si="7"/>
        <v>743</v>
      </c>
      <c r="U23">
        <f t="shared" si="7"/>
        <v>857</v>
      </c>
      <c r="V23">
        <f t="shared" si="7"/>
        <v>758</v>
      </c>
      <c r="W23">
        <f t="shared" si="7"/>
        <v>903</v>
      </c>
      <c r="X23">
        <f t="shared" si="7"/>
        <v>773</v>
      </c>
      <c r="Y23">
        <f t="shared" si="7"/>
        <v>871</v>
      </c>
      <c r="Z23">
        <f t="shared" si="7"/>
        <v>736</v>
      </c>
      <c r="AA23">
        <f t="shared" si="7"/>
        <v>837</v>
      </c>
    </row>
    <row r="24" spans="1:28" x14ac:dyDescent="0.35">
      <c r="A24" t="s">
        <v>37</v>
      </c>
      <c r="B24" s="9">
        <f>(B$20+3*B$21)*INDEX(SeasonalityTable,Seasonality,3)</f>
        <v>794.9312000000001</v>
      </c>
      <c r="D24">
        <f t="shared" si="4"/>
        <v>2013</v>
      </c>
      <c r="E24" t="s">
        <v>11</v>
      </c>
      <c r="F24" s="8">
        <f t="shared" ca="1" si="0"/>
        <v>0.80684385682730042</v>
      </c>
      <c r="G24">
        <f ca="1">IF($A$1=0,"",ROUND(_xlfn.NORM.INV(טבלה1[[#This Row],[Rand]],A0+Trend*(ROW()-1),Std)*INDEX(SeasonalityTable,Seasonality,MATCH(טבלה1[[#This Row],[Month]],Months,0)),0))</f>
        <v>818</v>
      </c>
      <c r="H24">
        <f t="shared" si="1"/>
        <v>816.96159999999998</v>
      </c>
      <c r="I24">
        <f ca="1">טבלה1[[#This Row],[Demand]]-טבלה1[[#This Row],[est]]</f>
        <v>1.0384000000000242</v>
      </c>
      <c r="L24" t="s">
        <v>9</v>
      </c>
      <c r="M24">
        <v>857</v>
      </c>
      <c r="O24">
        <v>2018</v>
      </c>
      <c r="P24">
        <f t="shared" si="7"/>
        <v>708</v>
      </c>
      <c r="Q24">
        <f t="shared" si="7"/>
        <v>794</v>
      </c>
      <c r="R24">
        <f t="shared" si="7"/>
        <v>898</v>
      </c>
      <c r="S24">
        <f t="shared" si="7"/>
        <v>824</v>
      </c>
      <c r="T24">
        <f t="shared" si="7"/>
        <v>724</v>
      </c>
      <c r="U24">
        <f t="shared" si="7"/>
        <v>828</v>
      </c>
      <c r="V24">
        <f t="shared" si="7"/>
        <v>737</v>
      </c>
      <c r="W24">
        <f t="shared" si="7"/>
        <v>880</v>
      </c>
      <c r="X24">
        <f t="shared" si="7"/>
        <v>749</v>
      </c>
      <c r="Y24">
        <f t="shared" si="7"/>
        <v>847</v>
      </c>
      <c r="Z24">
        <f t="shared" si="7"/>
        <v>717</v>
      </c>
      <c r="AA24">
        <f t="shared" si="7"/>
        <v>814</v>
      </c>
    </row>
    <row r="25" spans="1:28" x14ac:dyDescent="0.35">
      <c r="A25" t="s">
        <v>38</v>
      </c>
      <c r="B25" s="9">
        <f>(B$20+4*B$21)*INDEX(SeasonalityTable,Seasonality,4)</f>
        <v>729.1164</v>
      </c>
      <c r="D25">
        <f t="shared" si="4"/>
        <v>2013</v>
      </c>
      <c r="E25" t="s">
        <v>12</v>
      </c>
      <c r="F25" s="8">
        <f t="shared" ca="1" si="0"/>
        <v>0.26035942943354962</v>
      </c>
      <c r="G25">
        <f ca="1">IF($A$1=0,"",ROUND(_xlfn.NORM.INV(טבלה1[[#This Row],[Rand]],A0+Trend*(ROW()-1),Std)*INDEX(SeasonalityTable,Seasonality,MATCH(טבלה1[[#This Row],[Month]],Months,0)),0))</f>
        <v>931</v>
      </c>
      <c r="H25">
        <f t="shared" si="1"/>
        <v>931.71519999999998</v>
      </c>
      <c r="I25">
        <f ca="1">טבלה1[[#This Row],[Demand]]-טבלה1[[#This Row],[est]]</f>
        <v>-0.71519999999998163</v>
      </c>
      <c r="L25" t="s">
        <v>10</v>
      </c>
      <c r="M25">
        <v>972</v>
      </c>
      <c r="O25">
        <v>2019</v>
      </c>
      <c r="P25">
        <f t="shared" si="7"/>
        <v>687</v>
      </c>
      <c r="Q25">
        <f t="shared" si="7"/>
        <v>773</v>
      </c>
      <c r="R25">
        <f t="shared" si="7"/>
        <v>870</v>
      </c>
      <c r="S25">
        <f t="shared" si="7"/>
        <v>798</v>
      </c>
      <c r="T25">
        <f t="shared" si="7"/>
        <v>706</v>
      </c>
      <c r="U25">
        <f t="shared" si="7"/>
        <v>811</v>
      </c>
      <c r="V25">
        <f t="shared" si="7"/>
        <v>719</v>
      </c>
      <c r="W25">
        <f t="shared" si="7"/>
        <v>850</v>
      </c>
      <c r="X25">
        <f t="shared" si="7"/>
        <v>728</v>
      </c>
      <c r="Y25">
        <f t="shared" si="7"/>
        <v>825</v>
      </c>
      <c r="Z25">
        <f t="shared" si="7"/>
        <v>692</v>
      </c>
      <c r="AA25">
        <f t="shared" si="7"/>
        <v>788</v>
      </c>
    </row>
    <row r="26" spans="1:28" x14ac:dyDescent="0.35">
      <c r="D26">
        <f t="shared" si="4"/>
        <v>2014</v>
      </c>
      <c r="E26" t="s">
        <v>13</v>
      </c>
      <c r="F26" s="8">
        <f t="shared" ca="1" si="0"/>
        <v>0.20923128900186494</v>
      </c>
      <c r="G26">
        <f ca="1">IF($A$1=0,"",ROUND(_xlfn.NORM.INV(טבלה1[[#This Row],[Rand]],A0+Trend*(ROW()-1),Std)*INDEX(SeasonalityTable,Seasonality,MATCH(טבלה1[[#This Row],[Month]],Months,0)),0))</f>
        <v>786</v>
      </c>
      <c r="H26">
        <f t="shared" si="1"/>
        <v>786.72</v>
      </c>
      <c r="I26">
        <f ca="1">טבלה1[[#This Row],[Demand]]-טבלה1[[#This Row],[est]]</f>
        <v>-0.72000000000002728</v>
      </c>
      <c r="L26" t="s">
        <v>11</v>
      </c>
      <c r="M26">
        <v>818</v>
      </c>
      <c r="O26">
        <v>2020</v>
      </c>
      <c r="P26">
        <f t="shared" si="7"/>
        <v>667</v>
      </c>
      <c r="Q26">
        <f t="shared" si="7"/>
        <v>749</v>
      </c>
      <c r="R26">
        <f t="shared" si="7"/>
        <v>846</v>
      </c>
      <c r="S26">
        <f t="shared" si="7"/>
        <v>775</v>
      </c>
      <c r="T26">
        <f t="shared" si="7"/>
        <v>684</v>
      </c>
      <c r="U26">
        <f t="shared" si="7"/>
        <v>782</v>
      </c>
      <c r="V26">
        <f t="shared" si="7"/>
        <v>692</v>
      </c>
      <c r="W26">
        <f t="shared" si="7"/>
        <v>826</v>
      </c>
      <c r="X26">
        <f t="shared" si="7"/>
        <v>705</v>
      </c>
      <c r="Y26">
        <f t="shared" si="7"/>
        <v>801</v>
      </c>
      <c r="Z26">
        <f t="shared" si="7"/>
        <v>673</v>
      </c>
      <c r="AA26">
        <f t="shared" si="7"/>
        <v>764</v>
      </c>
    </row>
    <row r="27" spans="1:28" x14ac:dyDescent="0.35">
      <c r="D27">
        <f t="shared" si="4"/>
        <v>2014</v>
      </c>
      <c r="E27" t="s">
        <v>14</v>
      </c>
      <c r="F27" s="8">
        <f t="shared" ca="1" si="0"/>
        <v>0.79257961906895735</v>
      </c>
      <c r="G27">
        <f ca="1">IF($A$1=0,"",ROUND(_xlfn.NORM.INV(טבלה1[[#This Row],[Rand]],A0+Trend*(ROW()-1),Std)*INDEX(SeasonalityTable,Seasonality,MATCH(טבלה1[[#This Row],[Month]],Months,0)),0))</f>
        <v>885</v>
      </c>
      <c r="H27">
        <f t="shared" si="1"/>
        <v>883.19880000000001</v>
      </c>
      <c r="I27">
        <f ca="1">טבלה1[[#This Row],[Demand]]-טבלה1[[#This Row],[est]]</f>
        <v>1.8011999999999944</v>
      </c>
      <c r="L27" t="s">
        <v>12</v>
      </c>
      <c r="M27">
        <v>932</v>
      </c>
      <c r="O27">
        <v>2021</v>
      </c>
      <c r="P27">
        <f t="shared" si="7"/>
        <v>648</v>
      </c>
      <c r="Q27">
        <f t="shared" si="7"/>
        <v>728</v>
      </c>
      <c r="R27">
        <f t="shared" si="7"/>
        <v>817</v>
      </c>
      <c r="S27">
        <f t="shared" si="7"/>
        <v>750</v>
      </c>
      <c r="T27">
        <f t="shared" si="7"/>
        <v>664</v>
      </c>
      <c r="U27">
        <f t="shared" si="7"/>
        <v>763</v>
      </c>
      <c r="V27">
        <f t="shared" si="7"/>
        <v>675</v>
      </c>
      <c r="W27">
        <f t="shared" si="7"/>
        <v>803</v>
      </c>
      <c r="X27">
        <f t="shared" si="7"/>
        <v>684</v>
      </c>
      <c r="Y27">
        <f t="shared" si="7"/>
        <v>776</v>
      </c>
      <c r="Z27">
        <f t="shared" si="7"/>
        <v>654</v>
      </c>
      <c r="AA27">
        <f t="shared" si="7"/>
        <v>745</v>
      </c>
    </row>
    <row r="28" spans="1:28" x14ac:dyDescent="0.35">
      <c r="D28">
        <f t="shared" si="4"/>
        <v>2014</v>
      </c>
      <c r="E28" t="s">
        <v>15</v>
      </c>
      <c r="F28" s="8">
        <f t="shared" ca="1" si="0"/>
        <v>0.87416271623648301</v>
      </c>
      <c r="G28">
        <f ca="1">IF($A$1=0,"",ROUND(_xlfn.NORM.INV(טבלה1[[#This Row],[Rand]],A0+Trend*(ROW()-1),Std)*INDEX(SeasonalityTable,Seasonality,MATCH(טבלה1[[#This Row],[Month]],Months,0)),0))</f>
        <v>999</v>
      </c>
      <c r="H28">
        <f t="shared" si="1"/>
        <v>997.06880000000012</v>
      </c>
      <c r="I28">
        <f ca="1">טבלה1[[#This Row],[Demand]]-טבלה1[[#This Row],[est]]</f>
        <v>1.9311999999998761</v>
      </c>
      <c r="K28">
        <v>2014</v>
      </c>
      <c r="L28" t="s">
        <v>13</v>
      </c>
      <c r="M28">
        <v>786</v>
      </c>
      <c r="O28">
        <v>2022</v>
      </c>
    </row>
    <row r="29" spans="1:28" x14ac:dyDescent="0.35">
      <c r="D29">
        <f t="shared" si="4"/>
        <v>2014</v>
      </c>
      <c r="E29" t="s">
        <v>16</v>
      </c>
      <c r="F29" s="8">
        <f t="shared" ca="1" si="0"/>
        <v>0.7791430347452567</v>
      </c>
      <c r="G29">
        <f ca="1">IF($A$1=0,"",ROUND(_xlfn.NORM.INV(טבלה1[[#This Row],[Rand]],A0+Trend*(ROW()-1),Std)*INDEX(SeasonalityTable,Seasonality,MATCH(טבלה1[[#This Row],[Month]],Months,0)),0))</f>
        <v>916</v>
      </c>
      <c r="H29">
        <f t="shared" si="1"/>
        <v>915.01080000000002</v>
      </c>
      <c r="I29">
        <f ca="1">טבלה1[[#This Row],[Demand]]-טבלה1[[#This Row],[est]]</f>
        <v>0.98919999999998254</v>
      </c>
      <c r="L29" t="s">
        <v>14</v>
      </c>
      <c r="M29">
        <v>884</v>
      </c>
    </row>
    <row r="30" spans="1:28" x14ac:dyDescent="0.35">
      <c r="D30">
        <f t="shared" si="4"/>
        <v>2014</v>
      </c>
      <c r="E30" t="s">
        <v>5</v>
      </c>
      <c r="F30" s="8">
        <f t="shared" ca="1" si="0"/>
        <v>0.1774869462285531</v>
      </c>
      <c r="G30">
        <f ca="1">IF($A$1=0,"",ROUND(_xlfn.NORM.INV(טבלה1[[#This Row],[Rand]],A0+Trend*(ROW()-1),Std)*INDEX(SeasonalityTable,Seasonality,MATCH(טבלה1[[#This Row],[Month]],Months,0)),0))</f>
        <v>805</v>
      </c>
      <c r="H30">
        <f t="shared" si="1"/>
        <v>806.69680000000005</v>
      </c>
      <c r="I30">
        <f ca="1">טבלה1[[#This Row],[Demand]]-טבלה1[[#This Row],[est]]</f>
        <v>-1.6968000000000529</v>
      </c>
      <c r="L30" t="s">
        <v>15</v>
      </c>
      <c r="M30">
        <v>995</v>
      </c>
      <c r="P30">
        <f>AVERAGE(P18:P28)</f>
        <v>736.6</v>
      </c>
      <c r="Q30">
        <f t="shared" ref="Q30:AA30" si="8">AVERAGE(Q18:Q28)</f>
        <v>827.3</v>
      </c>
      <c r="R30">
        <f t="shared" si="8"/>
        <v>933.4</v>
      </c>
      <c r="S30">
        <f t="shared" si="8"/>
        <v>856.5</v>
      </c>
      <c r="T30">
        <f t="shared" si="8"/>
        <v>755.8</v>
      </c>
      <c r="U30">
        <f t="shared" si="8"/>
        <v>868.6</v>
      </c>
      <c r="V30">
        <f t="shared" si="8"/>
        <v>768.4</v>
      </c>
      <c r="W30">
        <f t="shared" si="8"/>
        <v>914.8</v>
      </c>
      <c r="X30">
        <f t="shared" si="8"/>
        <v>781.4</v>
      </c>
      <c r="Y30">
        <f t="shared" si="8"/>
        <v>885.6</v>
      </c>
      <c r="Z30">
        <f t="shared" si="8"/>
        <v>745.7</v>
      </c>
      <c r="AA30">
        <f t="shared" si="8"/>
        <v>849.4</v>
      </c>
      <c r="AB30">
        <f>AVERAGE(P30:AA30)</f>
        <v>826.95833333333337</v>
      </c>
    </row>
    <row r="31" spans="1:28" x14ac:dyDescent="0.35">
      <c r="D31">
        <f t="shared" si="4"/>
        <v>2014</v>
      </c>
      <c r="E31" t="s">
        <v>6</v>
      </c>
      <c r="F31" s="8">
        <f t="shared" ca="1" si="0"/>
        <v>0.36268285414302248</v>
      </c>
      <c r="G31">
        <f ca="1">IF($A$1=0,"",ROUND(_xlfn.NORM.INV(טבלה1[[#This Row],[Rand]],A0+Trend*(ROW()-1),Std)*INDEX(SeasonalityTable,Seasonality,MATCH(טבלה1[[#This Row],[Month]],Months,0)),0))</f>
        <v>928</v>
      </c>
      <c r="H31">
        <f t="shared" si="1"/>
        <v>928.83</v>
      </c>
      <c r="I31">
        <f ca="1">טבלה1[[#This Row],[Demand]]-טבלה1[[#This Row],[est]]</f>
        <v>-0.83000000000004093</v>
      </c>
      <c r="L31" t="s">
        <v>16</v>
      </c>
      <c r="M31">
        <v>915</v>
      </c>
    </row>
    <row r="32" spans="1:28" x14ac:dyDescent="0.35">
      <c r="D32">
        <f t="shared" si="4"/>
        <v>2014</v>
      </c>
      <c r="E32" t="s">
        <v>7</v>
      </c>
      <c r="F32" s="8">
        <f t="shared" ca="1" si="0"/>
        <v>0.60597043636609182</v>
      </c>
      <c r="G32">
        <f ca="1">IF($A$1=0,"",ROUND(_xlfn.NORM.INV(טבלה1[[#This Row],[Rand]],A0+Trend*(ROW()-1),Std)*INDEX(SeasonalityTable,Seasonality,MATCH(טבלה1[[#This Row],[Month]],Months,0)),0))</f>
        <v>821</v>
      </c>
      <c r="H32">
        <f t="shared" si="1"/>
        <v>820.92959999999994</v>
      </c>
      <c r="I32">
        <f ca="1">טבלה1[[#This Row],[Demand]]-טבלה1[[#This Row],[est]]</f>
        <v>7.0400000000063301E-2</v>
      </c>
      <c r="L32" t="s">
        <v>5</v>
      </c>
      <c r="M32">
        <v>806</v>
      </c>
      <c r="P32">
        <f>P30/$AB30</f>
        <v>0.8907341159873029</v>
      </c>
      <c r="Q32">
        <f t="shared" ref="Q32:AA32" si="9">Q30/$AB30</f>
        <v>1.0004131606791957</v>
      </c>
      <c r="R32">
        <f t="shared" si="9"/>
        <v>1.1287146672041113</v>
      </c>
      <c r="S32">
        <f t="shared" si="9"/>
        <v>1.0357232831158361</v>
      </c>
      <c r="T32">
        <f t="shared" si="9"/>
        <v>0.91395173074016212</v>
      </c>
      <c r="U32">
        <f t="shared" si="9"/>
        <v>1.0503552174132111</v>
      </c>
      <c r="V32">
        <f t="shared" si="9"/>
        <v>0.92918829042172613</v>
      </c>
      <c r="W32">
        <f t="shared" si="9"/>
        <v>1.1062226029122788</v>
      </c>
      <c r="X32">
        <f t="shared" si="9"/>
        <v>0.94490855041064137</v>
      </c>
      <c r="Y32">
        <f t="shared" si="9"/>
        <v>1.0709124804756387</v>
      </c>
      <c r="Z32">
        <f t="shared" si="9"/>
        <v>0.90173829797954352</v>
      </c>
      <c r="AA32">
        <f t="shared" si="9"/>
        <v>1.0271376026603516</v>
      </c>
    </row>
    <row r="33" spans="4:28" x14ac:dyDescent="0.35">
      <c r="D33">
        <f t="shared" si="4"/>
        <v>2014</v>
      </c>
      <c r="E33" t="s">
        <v>8</v>
      </c>
      <c r="F33" s="8">
        <f t="shared" ca="1" si="0"/>
        <v>0.6816956010615921</v>
      </c>
      <c r="G33">
        <f ca="1">IF($A$1=0,"",ROUND(_xlfn.NORM.INV(טבלה1[[#This Row],[Rand]],A0+Trend*(ROW()-1),Std)*INDEX(SeasonalityTable,Seasonality,MATCH(טבלה1[[#This Row],[Month]],Months,0)),0))</f>
        <v>979</v>
      </c>
      <c r="H33">
        <f t="shared" si="1"/>
        <v>977.7324000000001</v>
      </c>
      <c r="I33">
        <f ca="1">טבלה1[[#This Row],[Demand]]-טבלה1[[#This Row],[est]]</f>
        <v>1.2675999999999021</v>
      </c>
      <c r="L33" t="s">
        <v>6</v>
      </c>
      <c r="M33">
        <v>930</v>
      </c>
    </row>
    <row r="34" spans="4:28" x14ac:dyDescent="0.35">
      <c r="D34">
        <f t="shared" si="4"/>
        <v>2014</v>
      </c>
      <c r="E34" t="s">
        <v>9</v>
      </c>
      <c r="F34" s="8">
        <f t="shared" ca="1" si="0"/>
        <v>0.89421964284326727</v>
      </c>
      <c r="G34">
        <f ca="1">IF($A$1=0,"",ROUND(_xlfn.NORM.INV(טבלה1[[#This Row],[Rand]],A0+Trend*(ROW()-1),Std)*INDEX(SeasonalityTable,Seasonality,MATCH(טבלה1[[#This Row],[Month]],Months,0)),0))</f>
        <v>837</v>
      </c>
      <c r="H34">
        <f t="shared" ref="H34:H65" si="10">(A0+(ROW()-1)*Trend)*INDEX(SeasonalityTable,Seasonality,MOD(ROW()-2,12)+1)</f>
        <v>835.01199999999994</v>
      </c>
      <c r="I34">
        <f ca="1">טבלה1[[#This Row],[Demand]]-טבלה1[[#This Row],[est]]</f>
        <v>1.9880000000000564</v>
      </c>
      <c r="L34" t="s">
        <v>7</v>
      </c>
      <c r="M34">
        <v>821</v>
      </c>
      <c r="P34">
        <f t="shared" ref="P34:AA34" si="11">INDEX(P3:P13,Seasonality)-P32</f>
        <v>-1.0734115987302895E-2</v>
      </c>
      <c r="Q34">
        <f t="shared" si="11"/>
        <v>-1.0413160679195732E-2</v>
      </c>
      <c r="R34">
        <f t="shared" si="11"/>
        <v>-8.7146672041111817E-3</v>
      </c>
      <c r="S34">
        <f t="shared" si="11"/>
        <v>-5.7232831158360309E-3</v>
      </c>
      <c r="T34">
        <f t="shared" si="11"/>
        <v>-3.9517307401620849E-3</v>
      </c>
      <c r="U34">
        <f t="shared" si="11"/>
        <v>-3.5521741321109523E-4</v>
      </c>
      <c r="V34">
        <f t="shared" si="11"/>
        <v>8.1170957827381152E-4</v>
      </c>
      <c r="W34">
        <f t="shared" si="11"/>
        <v>3.7773970877212903E-3</v>
      </c>
      <c r="X34">
        <f t="shared" si="11"/>
        <v>5.0914495893585876E-3</v>
      </c>
      <c r="Y34">
        <f t="shared" si="11"/>
        <v>9.087519524361376E-3</v>
      </c>
      <c r="Z34">
        <f t="shared" si="11"/>
        <v>8.2617020204565073E-3</v>
      </c>
      <c r="AA34">
        <f t="shared" si="11"/>
        <v>1.2862397339648446E-2</v>
      </c>
      <c r="AB34">
        <f>_xlfn.STDEV.S(P34:AA34)</f>
        <v>8.0069819960608083E-3</v>
      </c>
    </row>
    <row r="35" spans="4:28" x14ac:dyDescent="0.35">
      <c r="D35">
        <f t="shared" si="4"/>
        <v>2014</v>
      </c>
      <c r="E35" t="s">
        <v>10</v>
      </c>
      <c r="F35" s="8">
        <f t="shared" ca="1" si="0"/>
        <v>0.73843853231236123</v>
      </c>
      <c r="G35">
        <f ca="1">IF($A$1=0,"",ROUND(_xlfn.NORM.INV(טבלה1[[#This Row],[Rand]],A0+Trend*(ROW()-1),Std)*INDEX(SeasonalityTable,Seasonality,MATCH(טבלה1[[#This Row],[Month]],Months,0)),0))</f>
        <v>948</v>
      </c>
      <c r="H35">
        <f t="shared" si="10"/>
        <v>947.24640000000011</v>
      </c>
      <c r="I35">
        <f ca="1">טבלה1[[#This Row],[Demand]]-טבלה1[[#This Row],[est]]</f>
        <v>0.75359999999989213</v>
      </c>
      <c r="L35" t="s">
        <v>8</v>
      </c>
      <c r="M35">
        <v>978</v>
      </c>
    </row>
    <row r="36" spans="4:28" x14ac:dyDescent="0.35">
      <c r="D36">
        <f t="shared" si="4"/>
        <v>2014</v>
      </c>
      <c r="E36" t="s">
        <v>11</v>
      </c>
      <c r="F36" s="8">
        <f t="shared" ca="1" si="0"/>
        <v>0.58428133124277803</v>
      </c>
      <c r="G36">
        <f ca="1">IF($A$1=0,"",ROUND(_xlfn.NORM.INV(טבלה1[[#This Row],[Rand]],A0+Trend*(ROW()-1),Std)*INDEX(SeasonalityTable,Seasonality,MATCH(טבלה1[[#This Row],[Month]],Months,0)),0))</f>
        <v>797</v>
      </c>
      <c r="H36">
        <f t="shared" si="10"/>
        <v>796.43200000000002</v>
      </c>
      <c r="I36">
        <f ca="1">טבלה1[[#This Row],[Demand]]-טבלה1[[#This Row],[est]]</f>
        <v>0.56799999999998363</v>
      </c>
      <c r="L36" t="s">
        <v>9</v>
      </c>
      <c r="M36">
        <v>837</v>
      </c>
    </row>
    <row r="37" spans="4:28" x14ac:dyDescent="0.35">
      <c r="D37">
        <f t="shared" si="4"/>
        <v>2014</v>
      </c>
      <c r="E37" t="s">
        <v>12</v>
      </c>
      <c r="F37" s="8">
        <f t="shared" ca="1" si="0"/>
        <v>0.37803126752964056</v>
      </c>
      <c r="G37">
        <f ca="1">IF($A$1=0,"",ROUND(_xlfn.NORM.INV(טבלה1[[#This Row],[Rand]],A0+Trend*(ROW()-1),Std)*INDEX(SeasonalityTable,Seasonality,MATCH(טבלה1[[#This Row],[Month]],Months,0)),0))</f>
        <v>908</v>
      </c>
      <c r="H37">
        <f t="shared" si="10"/>
        <v>908.25280000000009</v>
      </c>
      <c r="I37">
        <f ca="1">טבלה1[[#This Row],[Demand]]-טבלה1[[#This Row],[est]]</f>
        <v>-0.25280000000009295</v>
      </c>
      <c r="L37" t="s">
        <v>10</v>
      </c>
      <c r="M37">
        <v>947</v>
      </c>
    </row>
    <row r="38" spans="4:28" x14ac:dyDescent="0.35">
      <c r="D38">
        <f t="shared" si="4"/>
        <v>2015</v>
      </c>
      <c r="E38" t="s">
        <v>13</v>
      </c>
      <c r="F38" s="8">
        <f t="shared" ca="1" si="0"/>
        <v>0.55199073556917599</v>
      </c>
      <c r="G38">
        <f ca="1">IF($A$1=0,"",ROUND(_xlfn.NORM.INV(טבלה1[[#This Row],[Rand]],A0+Trend*(ROW()-1),Std)*INDEX(SeasonalityTable,Seasonality,MATCH(טבלה1[[#This Row],[Month]],Months,0)),0))</f>
        <v>767</v>
      </c>
      <c r="H38">
        <f t="shared" si="10"/>
        <v>766.86720000000003</v>
      </c>
      <c r="I38">
        <f ca="1">טבלה1[[#This Row],[Demand]]-טבלה1[[#This Row],[est]]</f>
        <v>0.13279999999997472</v>
      </c>
      <c r="L38" t="s">
        <v>11</v>
      </c>
      <c r="M38">
        <v>797</v>
      </c>
    </row>
    <row r="39" spans="4:28" x14ac:dyDescent="0.35">
      <c r="D39">
        <f t="shared" si="4"/>
        <v>2015</v>
      </c>
      <c r="E39" t="s">
        <v>14</v>
      </c>
      <c r="F39" s="8">
        <f t="shared" ca="1" si="0"/>
        <v>0.79886723152558881</v>
      </c>
      <c r="G39">
        <f ca="1">IF($A$1=0,"",ROUND(_xlfn.NORM.INV(טבלה1[[#This Row],[Rand]],A0+Trend*(ROW()-1),Std)*INDEX(SeasonalityTable,Seasonality,MATCH(טבלה1[[#This Row],[Month]],Months,0)),0))</f>
        <v>862</v>
      </c>
      <c r="H39">
        <f t="shared" si="10"/>
        <v>860.86439999999993</v>
      </c>
      <c r="I39">
        <f ca="1">טבלה1[[#This Row],[Demand]]-טבלה1[[#This Row],[est]]</f>
        <v>1.1356000000000677</v>
      </c>
      <c r="L39" t="s">
        <v>12</v>
      </c>
      <c r="M39">
        <v>911</v>
      </c>
    </row>
    <row r="40" spans="4:28" x14ac:dyDescent="0.35">
      <c r="D40">
        <f t="shared" si="4"/>
        <v>2015</v>
      </c>
      <c r="E40" t="s">
        <v>15</v>
      </c>
      <c r="F40" s="8">
        <f t="shared" ca="1" si="0"/>
        <v>0.50055107759465745</v>
      </c>
      <c r="G40">
        <f ca="1">IF($A$1=0,"",ROUND(_xlfn.NORM.INV(טבלה1[[#This Row],[Rand]],A0+Trend*(ROW()-1),Std)*INDEX(SeasonalityTable,Seasonality,MATCH(טבלה1[[#This Row],[Month]],Months,0)),0))</f>
        <v>972</v>
      </c>
      <c r="H40">
        <f t="shared" si="10"/>
        <v>971.80160000000012</v>
      </c>
      <c r="I40">
        <f ca="1">טבלה1[[#This Row],[Demand]]-טבלה1[[#This Row],[est]]</f>
        <v>0.19839999999987867</v>
      </c>
      <c r="K40">
        <v>2015</v>
      </c>
      <c r="L40" t="s">
        <v>13</v>
      </c>
      <c r="M40">
        <v>763</v>
      </c>
    </row>
    <row r="41" spans="4:28" x14ac:dyDescent="0.35">
      <c r="D41">
        <f t="shared" si="4"/>
        <v>2015</v>
      </c>
      <c r="E41" t="s">
        <v>16</v>
      </c>
      <c r="F41" s="8">
        <f t="shared" ca="1" si="0"/>
        <v>0.920864142766599</v>
      </c>
      <c r="G41">
        <f ca="1">IF($A$1=0,"",ROUND(_xlfn.NORM.INV(טבלה1[[#This Row],[Rand]],A0+Trend*(ROW()-1),Std)*INDEX(SeasonalityTable,Seasonality,MATCH(טבלה1[[#This Row],[Month]],Months,0)),0))</f>
        <v>894</v>
      </c>
      <c r="H41">
        <f t="shared" si="10"/>
        <v>891.774</v>
      </c>
      <c r="I41">
        <f ca="1">טבלה1[[#This Row],[Demand]]-טבלה1[[#This Row],[est]]</f>
        <v>2.2259999999999991</v>
      </c>
      <c r="L41" t="s">
        <v>14</v>
      </c>
      <c r="M41">
        <v>860</v>
      </c>
    </row>
    <row r="42" spans="4:28" x14ac:dyDescent="0.35">
      <c r="D42">
        <f t="shared" si="4"/>
        <v>2015</v>
      </c>
      <c r="E42" t="s">
        <v>5</v>
      </c>
      <c r="F42" s="8">
        <f t="shared" ca="1" si="0"/>
        <v>0.14888327632282616</v>
      </c>
      <c r="G42">
        <f ca="1">IF($A$1=0,"",ROUND(_xlfn.NORM.INV(טבלה1[[#This Row],[Rand]],A0+Trend*(ROW()-1),Std)*INDEX(SeasonalityTable,Seasonality,MATCH(טבלה1[[#This Row],[Month]],Months,0)),0))</f>
        <v>785</v>
      </c>
      <c r="H42">
        <f t="shared" si="10"/>
        <v>786.16719999999998</v>
      </c>
      <c r="I42">
        <f ca="1">טבלה1[[#This Row],[Demand]]-טבלה1[[#This Row],[est]]</f>
        <v>-1.1671999999999798</v>
      </c>
      <c r="L42" t="s">
        <v>15</v>
      </c>
      <c r="M42">
        <v>972</v>
      </c>
    </row>
    <row r="43" spans="4:28" x14ac:dyDescent="0.35">
      <c r="D43">
        <f t="shared" si="4"/>
        <v>2015</v>
      </c>
      <c r="E43" t="s">
        <v>6</v>
      </c>
      <c r="F43" s="8">
        <f t="shared" ca="1" si="0"/>
        <v>0.44107200053826645</v>
      </c>
      <c r="G43">
        <f ca="1">IF($A$1=0,"",ROUND(_xlfn.NORM.INV(טבלה1[[#This Row],[Rand]],A0+Trend*(ROW()-1),Std)*INDEX(SeasonalityTable,Seasonality,MATCH(טבלה1[[#This Row],[Month]],Months,0)),0))</f>
        <v>905</v>
      </c>
      <c r="H43">
        <f t="shared" si="10"/>
        <v>905.14200000000005</v>
      </c>
      <c r="I43">
        <f ca="1">טבלה1[[#This Row],[Demand]]-טבלה1[[#This Row],[est]]</f>
        <v>-0.14200000000005275</v>
      </c>
      <c r="L43" t="s">
        <v>16</v>
      </c>
      <c r="M43">
        <v>890</v>
      </c>
    </row>
    <row r="44" spans="4:28" x14ac:dyDescent="0.35">
      <c r="D44">
        <f t="shared" si="4"/>
        <v>2015</v>
      </c>
      <c r="E44" t="s">
        <v>7</v>
      </c>
      <c r="F44" s="8">
        <f t="shared" ca="1" si="0"/>
        <v>0.30732490622591446</v>
      </c>
      <c r="G44">
        <f ca="1">IF($A$1=0,"",ROUND(_xlfn.NORM.INV(טבלה1[[#This Row],[Rand]],A0+Trend*(ROW()-1),Std)*INDEX(SeasonalityTable,Seasonality,MATCH(טבלה1[[#This Row],[Month]],Months,0)),0))</f>
        <v>799</v>
      </c>
      <c r="H44">
        <f t="shared" si="10"/>
        <v>799.94879999999989</v>
      </c>
      <c r="I44">
        <f ca="1">טבלה1[[#This Row],[Demand]]-טבלה1[[#This Row],[est]]</f>
        <v>-0.94879999999989195</v>
      </c>
      <c r="L44" t="s">
        <v>5</v>
      </c>
      <c r="M44">
        <v>786</v>
      </c>
    </row>
    <row r="45" spans="4:28" x14ac:dyDescent="0.35">
      <c r="D45">
        <f t="shared" si="4"/>
        <v>2015</v>
      </c>
      <c r="E45" t="s">
        <v>8</v>
      </c>
      <c r="F45" s="8">
        <f t="shared" ca="1" si="0"/>
        <v>0.50464105273748461</v>
      </c>
      <c r="G45">
        <f ca="1">IF($A$1=0,"",ROUND(_xlfn.NORM.INV(טבלה1[[#This Row],[Rand]],A0+Trend*(ROW()-1),Std)*INDEX(SeasonalityTable,Seasonality,MATCH(טבלה1[[#This Row],[Month]],Months,0)),0))</f>
        <v>953</v>
      </c>
      <c r="H45">
        <f t="shared" si="10"/>
        <v>952.69080000000008</v>
      </c>
      <c r="I45">
        <f ca="1">טבלה1[[#This Row],[Demand]]-טבלה1[[#This Row],[est]]</f>
        <v>0.30919999999991887</v>
      </c>
      <c r="L45" t="s">
        <v>6</v>
      </c>
      <c r="M45">
        <v>905</v>
      </c>
    </row>
    <row r="46" spans="4:28" x14ac:dyDescent="0.35">
      <c r="D46">
        <f t="shared" si="4"/>
        <v>2015</v>
      </c>
      <c r="E46" t="s">
        <v>9</v>
      </c>
      <c r="F46" s="8">
        <f t="shared" ca="1" si="0"/>
        <v>0.77343009414955</v>
      </c>
      <c r="G46">
        <f ca="1">IF($A$1=0,"",ROUND(_xlfn.NORM.INV(טבלה1[[#This Row],[Rand]],A0+Trend*(ROW()-1),Std)*INDEX(SeasonalityTable,Seasonality,MATCH(טבלה1[[#This Row],[Month]],Months,0)),0))</f>
        <v>815</v>
      </c>
      <c r="H46">
        <f t="shared" si="10"/>
        <v>813.57999999999993</v>
      </c>
      <c r="I46">
        <f ca="1">טבלה1[[#This Row],[Demand]]-טבלה1[[#This Row],[est]]</f>
        <v>1.4200000000000728</v>
      </c>
      <c r="L46" t="s">
        <v>7</v>
      </c>
      <c r="M46">
        <v>800</v>
      </c>
    </row>
    <row r="47" spans="4:28" x14ac:dyDescent="0.35">
      <c r="D47">
        <f t="shared" si="4"/>
        <v>2015</v>
      </c>
      <c r="E47" t="s">
        <v>10</v>
      </c>
      <c r="F47" s="8">
        <f t="shared" ca="1" si="0"/>
        <v>0.89963240032779124</v>
      </c>
      <c r="G47">
        <f ca="1">IF($A$1=0,"",ROUND(_xlfn.NORM.INV(טבלה1[[#This Row],[Rand]],A0+Trend*(ROW()-1),Std)*INDEX(SeasonalityTable,Seasonality,MATCH(טבלה1[[#This Row],[Month]],Months,0)),0))</f>
        <v>925</v>
      </c>
      <c r="H47">
        <f t="shared" si="10"/>
        <v>922.88160000000005</v>
      </c>
      <c r="I47">
        <f ca="1">טבלה1[[#This Row],[Demand]]-טבלה1[[#This Row],[est]]</f>
        <v>2.1183999999999514</v>
      </c>
      <c r="L47" t="s">
        <v>8</v>
      </c>
      <c r="M47">
        <v>951</v>
      </c>
    </row>
    <row r="48" spans="4:28" x14ac:dyDescent="0.35">
      <c r="D48">
        <f t="shared" si="4"/>
        <v>2015</v>
      </c>
      <c r="E48" t="s">
        <v>11</v>
      </c>
      <c r="F48" s="8">
        <f t="shared" ca="1" si="0"/>
        <v>0.88710358926645461</v>
      </c>
      <c r="G48">
        <f ca="1">IF($A$1=0,"",ROUND(_xlfn.NORM.INV(טבלה1[[#This Row],[Rand]],A0+Trend*(ROW()-1),Std)*INDEX(SeasonalityTable,Seasonality,MATCH(טבלה1[[#This Row],[Month]],Months,0)),0))</f>
        <v>778</v>
      </c>
      <c r="H48">
        <f t="shared" si="10"/>
        <v>775.90240000000006</v>
      </c>
      <c r="I48">
        <f ca="1">טבלה1[[#This Row],[Demand]]-טבלה1[[#This Row],[est]]</f>
        <v>2.0975999999999431</v>
      </c>
      <c r="L48" t="s">
        <v>9</v>
      </c>
      <c r="M48">
        <v>812</v>
      </c>
    </row>
    <row r="49" spans="4:13" x14ac:dyDescent="0.35">
      <c r="D49">
        <f t="shared" si="4"/>
        <v>2015</v>
      </c>
      <c r="E49" t="s">
        <v>12</v>
      </c>
      <c r="F49" s="8">
        <f t="shared" ca="1" si="0"/>
        <v>0.88560037708043848</v>
      </c>
      <c r="G49">
        <f ca="1">IF($A$1=0,"",ROUND(_xlfn.NORM.INV(טבלה1[[#This Row],[Rand]],A0+Trend*(ROW()-1),Std)*INDEX(SeasonalityTable,Seasonality,MATCH(טבלה1[[#This Row],[Month]],Months,0)),0))</f>
        <v>887</v>
      </c>
      <c r="H49">
        <f t="shared" si="10"/>
        <v>884.79039999999998</v>
      </c>
      <c r="I49">
        <f ca="1">טבלה1[[#This Row],[Demand]]-טבלה1[[#This Row],[est]]</f>
        <v>2.2096000000000231</v>
      </c>
      <c r="L49" t="s">
        <v>10</v>
      </c>
      <c r="M49">
        <v>924</v>
      </c>
    </row>
    <row r="50" spans="4:13" x14ac:dyDescent="0.35">
      <c r="D50">
        <f t="shared" si="4"/>
        <v>2016</v>
      </c>
      <c r="E50" t="s">
        <v>13</v>
      </c>
      <c r="F50" s="8">
        <f t="shared" ca="1" si="0"/>
        <v>0.491444531681825</v>
      </c>
      <c r="G50">
        <f ca="1">IF($A$1=0,"",ROUND(_xlfn.NORM.INV(טבלה1[[#This Row],[Rand]],A0+Trend*(ROW()-1),Std)*INDEX(SeasonalityTable,Seasonality,MATCH(טבלה1[[#This Row],[Month]],Months,0)),0))</f>
        <v>747</v>
      </c>
      <c r="H50">
        <f t="shared" si="10"/>
        <v>747.01440000000002</v>
      </c>
      <c r="I50">
        <f ca="1">טבלה1[[#This Row],[Demand]]-טבלה1[[#This Row],[est]]</f>
        <v>-1.4400000000023283E-2</v>
      </c>
      <c r="L50" t="s">
        <v>11</v>
      </c>
      <c r="M50">
        <v>779</v>
      </c>
    </row>
    <row r="51" spans="4:13" x14ac:dyDescent="0.35">
      <c r="D51">
        <f t="shared" si="4"/>
        <v>2016</v>
      </c>
      <c r="E51" t="s">
        <v>14</v>
      </c>
      <c r="F51" s="8">
        <f t="shared" ca="1" si="0"/>
        <v>0.16473998658334632</v>
      </c>
      <c r="G51">
        <f ca="1">IF($A$1=0,"",ROUND(_xlfn.NORM.INV(טבלה1[[#This Row],[Rand]],A0+Trend*(ROW()-1),Std)*INDEX(SeasonalityTable,Seasonality,MATCH(טבלה1[[#This Row],[Month]],Months,0)),0))</f>
        <v>837</v>
      </c>
      <c r="H51">
        <f t="shared" si="10"/>
        <v>838.53</v>
      </c>
      <c r="I51">
        <f ca="1">טבלה1[[#This Row],[Demand]]-טבלה1[[#This Row],[est]]</f>
        <v>-1.5299999999999727</v>
      </c>
      <c r="L51" t="s">
        <v>12</v>
      </c>
      <c r="M51">
        <v>886</v>
      </c>
    </row>
    <row r="52" spans="4:13" x14ac:dyDescent="0.35">
      <c r="D52">
        <f t="shared" si="4"/>
        <v>2016</v>
      </c>
      <c r="E52" t="s">
        <v>15</v>
      </c>
      <c r="F52" s="8">
        <f t="shared" ca="1" si="0"/>
        <v>0.53023804110477035</v>
      </c>
      <c r="G52">
        <f ca="1">IF($A$1=0,"",ROUND(_xlfn.NORM.INV(טבלה1[[#This Row],[Rand]],A0+Trend*(ROW()-1),Std)*INDEX(SeasonalityTable,Seasonality,MATCH(טבלה1[[#This Row],[Month]],Months,0)),0))</f>
        <v>947</v>
      </c>
      <c r="H52">
        <f t="shared" si="10"/>
        <v>946.53440000000012</v>
      </c>
      <c r="I52">
        <f ca="1">טבלה1[[#This Row],[Demand]]-טבלה1[[#This Row],[est]]</f>
        <v>0.46559999999988122</v>
      </c>
      <c r="K52">
        <v>2016</v>
      </c>
      <c r="L52" t="s">
        <v>13</v>
      </c>
      <c r="M52">
        <v>747</v>
      </c>
    </row>
    <row r="53" spans="4:13" x14ac:dyDescent="0.35">
      <c r="D53">
        <f t="shared" si="4"/>
        <v>2016</v>
      </c>
      <c r="E53" t="s">
        <v>16</v>
      </c>
      <c r="F53" s="8">
        <f t="shared" ca="1" si="0"/>
        <v>0.78550218082271051</v>
      </c>
      <c r="G53">
        <f ca="1">IF($A$1=0,"",ROUND(_xlfn.NORM.INV(טבלה1[[#This Row],[Rand]],A0+Trend*(ROW()-1),Std)*INDEX(SeasonalityTable,Seasonality,MATCH(טבלה1[[#This Row],[Month]],Months,0)),0))</f>
        <v>870</v>
      </c>
      <c r="H53">
        <f t="shared" si="10"/>
        <v>868.53719999999998</v>
      </c>
      <c r="I53">
        <f ca="1">טבלה1[[#This Row],[Demand]]-טבלה1[[#This Row],[est]]</f>
        <v>1.4628000000000156</v>
      </c>
      <c r="L53" t="s">
        <v>14</v>
      </c>
      <c r="M53">
        <v>837</v>
      </c>
    </row>
    <row r="54" spans="4:13" x14ac:dyDescent="0.35">
      <c r="D54">
        <f t="shared" si="4"/>
        <v>2016</v>
      </c>
      <c r="E54" t="s">
        <v>5</v>
      </c>
      <c r="F54" s="8">
        <f t="shared" ca="1" si="0"/>
        <v>0.67919201354447933</v>
      </c>
      <c r="G54">
        <f ca="1">IF($A$1=0,"",ROUND(_xlfn.NORM.INV(טבלה1[[#This Row],[Rand]],A0+Trend*(ROW()-1),Std)*INDEX(SeasonalityTable,Seasonality,MATCH(טבלה1[[#This Row],[Month]],Months,0)),0))</f>
        <v>766</v>
      </c>
      <c r="H54">
        <f t="shared" si="10"/>
        <v>765.63760000000002</v>
      </c>
      <c r="I54">
        <f ca="1">טבלה1[[#This Row],[Demand]]-טבלה1[[#This Row],[est]]</f>
        <v>0.36239999999997963</v>
      </c>
      <c r="L54" t="s">
        <v>15</v>
      </c>
      <c r="M54">
        <v>946</v>
      </c>
    </row>
    <row r="55" spans="4:13" x14ac:dyDescent="0.35">
      <c r="D55">
        <f t="shared" si="4"/>
        <v>2016</v>
      </c>
      <c r="E55" t="s">
        <v>6</v>
      </c>
      <c r="F55" s="8">
        <f t="shared" ca="1" si="0"/>
        <v>2.3434143942818286E-2</v>
      </c>
      <c r="G55">
        <f ca="1">IF($A$1=0,"",ROUND(_xlfn.NORM.INV(טבלה1[[#This Row],[Rand]],A0+Trend*(ROW()-1),Std)*INDEX(SeasonalityTable,Seasonality,MATCH(טבלה1[[#This Row],[Month]],Months,0)),0))</f>
        <v>878</v>
      </c>
      <c r="H55">
        <f t="shared" si="10"/>
        <v>881.45400000000006</v>
      </c>
      <c r="I55">
        <f ca="1">טבלה1[[#This Row],[Demand]]-טבלה1[[#This Row],[est]]</f>
        <v>-3.4540000000000646</v>
      </c>
      <c r="L55" t="s">
        <v>16</v>
      </c>
      <c r="M55">
        <v>867</v>
      </c>
    </row>
    <row r="56" spans="4:13" x14ac:dyDescent="0.35">
      <c r="D56">
        <f t="shared" si="4"/>
        <v>2016</v>
      </c>
      <c r="E56" t="s">
        <v>7</v>
      </c>
      <c r="F56" s="8">
        <f t="shared" ca="1" si="0"/>
        <v>0.75351928322004236</v>
      </c>
      <c r="G56">
        <f ca="1">IF($A$1=0,"",ROUND(_xlfn.NORM.INV(טבלה1[[#This Row],[Rand]],A0+Trend*(ROW()-1),Std)*INDEX(SeasonalityTable,Seasonality,MATCH(טבלה1[[#This Row],[Month]],Months,0)),0))</f>
        <v>780</v>
      </c>
      <c r="H56">
        <f t="shared" si="10"/>
        <v>778.96799999999996</v>
      </c>
      <c r="I56">
        <f ca="1">טבלה1[[#This Row],[Demand]]-טבלה1[[#This Row],[est]]</f>
        <v>1.0320000000000391</v>
      </c>
      <c r="L56" t="s">
        <v>5</v>
      </c>
      <c r="M56">
        <v>769</v>
      </c>
    </row>
    <row r="57" spans="4:13" x14ac:dyDescent="0.35">
      <c r="D57">
        <f t="shared" si="4"/>
        <v>2016</v>
      </c>
      <c r="E57" t="s">
        <v>8</v>
      </c>
      <c r="F57" s="8">
        <f t="shared" ca="1" si="0"/>
        <v>0.50725924057938598</v>
      </c>
      <c r="G57">
        <f ca="1">IF($A$1=0,"",ROUND(_xlfn.NORM.INV(טבלה1[[#This Row],[Rand]],A0+Trend*(ROW()-1),Std)*INDEX(SeasonalityTable,Seasonality,MATCH(טבלה1[[#This Row],[Month]],Months,0)),0))</f>
        <v>928</v>
      </c>
      <c r="H57">
        <f t="shared" si="10"/>
        <v>927.64920000000006</v>
      </c>
      <c r="I57">
        <f ca="1">טבלה1[[#This Row],[Demand]]-טבלה1[[#This Row],[est]]</f>
        <v>0.35079999999993561</v>
      </c>
      <c r="L57" t="s">
        <v>6</v>
      </c>
      <c r="M57">
        <v>878</v>
      </c>
    </row>
    <row r="58" spans="4:13" x14ac:dyDescent="0.35">
      <c r="D58">
        <f t="shared" si="4"/>
        <v>2016</v>
      </c>
      <c r="E58" t="s">
        <v>9</v>
      </c>
      <c r="F58" s="8">
        <f t="shared" ca="1" si="0"/>
        <v>0.10842280296703188</v>
      </c>
      <c r="G58">
        <f ca="1">IF($A$1=0,"",ROUND(_xlfn.NORM.INV(טבלה1[[#This Row],[Rand]],A0+Trend*(ROW()-1),Std)*INDEX(SeasonalityTable,Seasonality,MATCH(טבלה1[[#This Row],[Month]],Months,0)),0))</f>
        <v>790</v>
      </c>
      <c r="H58">
        <f t="shared" si="10"/>
        <v>792.14800000000002</v>
      </c>
      <c r="I58">
        <f ca="1">טבלה1[[#This Row],[Demand]]-טבלה1[[#This Row],[est]]</f>
        <v>-2.1480000000000246</v>
      </c>
      <c r="L58" t="s">
        <v>7</v>
      </c>
      <c r="M58">
        <v>778</v>
      </c>
    </row>
    <row r="59" spans="4:13" x14ac:dyDescent="0.35">
      <c r="D59">
        <f t="shared" si="4"/>
        <v>2016</v>
      </c>
      <c r="E59" t="s">
        <v>10</v>
      </c>
      <c r="F59" s="8">
        <f t="shared" ca="1" si="0"/>
        <v>0.34376508194317956</v>
      </c>
      <c r="G59">
        <f ca="1">IF($A$1=0,"",ROUND(_xlfn.NORM.INV(טבלה1[[#This Row],[Rand]],A0+Trend*(ROW()-1),Std)*INDEX(SeasonalityTable,Seasonality,MATCH(טבלה1[[#This Row],[Month]],Months,0)),0))</f>
        <v>898</v>
      </c>
      <c r="H59">
        <f t="shared" si="10"/>
        <v>898.5168000000001</v>
      </c>
      <c r="I59">
        <f ca="1">טבלה1[[#This Row],[Demand]]-טבלה1[[#This Row],[est]]</f>
        <v>-0.51680000000010295</v>
      </c>
      <c r="L59" t="s">
        <v>8</v>
      </c>
      <c r="M59">
        <v>928</v>
      </c>
    </row>
    <row r="60" spans="4:13" x14ac:dyDescent="0.35">
      <c r="D60">
        <f t="shared" si="4"/>
        <v>2016</v>
      </c>
      <c r="E60" t="s">
        <v>11</v>
      </c>
      <c r="F60" s="8">
        <f t="shared" ca="1" si="0"/>
        <v>5.0565860411181718E-2</v>
      </c>
      <c r="G60">
        <f ca="1">IF($A$1=0,"",ROUND(_xlfn.NORM.INV(טבלה1[[#This Row],[Rand]],A0+Trend*(ROW()-1),Std)*INDEX(SeasonalityTable,Seasonality,MATCH(טבלה1[[#This Row],[Month]],Months,0)),0))</f>
        <v>753</v>
      </c>
      <c r="H60">
        <f t="shared" si="10"/>
        <v>755.3728000000001</v>
      </c>
      <c r="I60">
        <f ca="1">טבלה1[[#This Row],[Demand]]-טבלה1[[#This Row],[est]]</f>
        <v>-2.3728000000000975</v>
      </c>
      <c r="L60" t="s">
        <v>9</v>
      </c>
      <c r="M60">
        <v>792</v>
      </c>
    </row>
    <row r="61" spans="4:13" x14ac:dyDescent="0.35">
      <c r="D61">
        <f t="shared" si="4"/>
        <v>2016</v>
      </c>
      <c r="E61" t="s">
        <v>12</v>
      </c>
      <c r="F61" s="8">
        <f t="shared" ca="1" si="0"/>
        <v>6.7591631836632415E-2</v>
      </c>
      <c r="G61">
        <f ca="1">IF($A$1=0,"",ROUND(_xlfn.NORM.INV(טבלה1[[#This Row],[Rand]],A0+Trend*(ROW()-1),Std)*INDEX(SeasonalityTable,Seasonality,MATCH(טבלה1[[#This Row],[Month]],Months,0)),0))</f>
        <v>859</v>
      </c>
      <c r="H61">
        <f t="shared" si="10"/>
        <v>861.32800000000009</v>
      </c>
      <c r="I61">
        <f ca="1">טבלה1[[#This Row],[Demand]]-טבלה1[[#This Row],[est]]</f>
        <v>-2.3280000000000882</v>
      </c>
      <c r="L61" t="s">
        <v>10</v>
      </c>
      <c r="M61">
        <v>896</v>
      </c>
    </row>
    <row r="62" spans="4:13" x14ac:dyDescent="0.35">
      <c r="D62">
        <f t="shared" si="4"/>
        <v>2017</v>
      </c>
      <c r="E62" t="s">
        <v>13</v>
      </c>
      <c r="F62" s="8">
        <f t="shared" ca="1" si="0"/>
        <v>0.42933241586997983</v>
      </c>
      <c r="G62">
        <f ca="1">IF($A$1=0,"",ROUND(_xlfn.NORM.INV(טבלה1[[#This Row],[Rand]],A0+Trend*(ROW()-1),Std)*INDEX(SeasonalityTable,Seasonality,MATCH(טבלה1[[#This Row],[Month]],Months,0)),0))</f>
        <v>727</v>
      </c>
      <c r="H62">
        <f t="shared" si="10"/>
        <v>727.16160000000002</v>
      </c>
      <c r="I62">
        <f ca="1">טבלה1[[#This Row],[Demand]]-טבלה1[[#This Row],[est]]</f>
        <v>-0.16160000000002128</v>
      </c>
      <c r="L62" t="s">
        <v>11</v>
      </c>
      <c r="M62">
        <v>754</v>
      </c>
    </row>
    <row r="63" spans="4:13" x14ac:dyDescent="0.35">
      <c r="D63">
        <f t="shared" si="4"/>
        <v>2017</v>
      </c>
      <c r="E63" t="s">
        <v>14</v>
      </c>
      <c r="F63" s="8">
        <f t="shared" ca="1" si="0"/>
        <v>0.17506011556353296</v>
      </c>
      <c r="G63">
        <f ca="1">IF($A$1=0,"",ROUND(_xlfn.NORM.INV(טבלה1[[#This Row],[Rand]],A0+Trend*(ROW()-1),Std)*INDEX(SeasonalityTable,Seasonality,MATCH(טבלה1[[#This Row],[Month]],Months,0)),0))</f>
        <v>815</v>
      </c>
      <c r="H63">
        <f t="shared" si="10"/>
        <v>816.19560000000001</v>
      </c>
      <c r="I63">
        <f ca="1">טבלה1[[#This Row],[Demand]]-טבלה1[[#This Row],[est]]</f>
        <v>-1.1956000000000131</v>
      </c>
      <c r="L63" t="s">
        <v>12</v>
      </c>
      <c r="M63">
        <v>861</v>
      </c>
    </row>
    <row r="64" spans="4:13" x14ac:dyDescent="0.35">
      <c r="D64">
        <f t="shared" si="4"/>
        <v>2017</v>
      </c>
      <c r="E64" t="s">
        <v>15</v>
      </c>
      <c r="F64" s="8">
        <f t="shared" ca="1" si="0"/>
        <v>0.17967257777547885</v>
      </c>
      <c r="G64">
        <f ca="1">IF($A$1=0,"",ROUND(_xlfn.NORM.INV(טבלה1[[#This Row],[Rand]],A0+Trend*(ROW()-1),Std)*INDEX(SeasonalityTable,Seasonality,MATCH(טבלה1[[#This Row],[Month]],Months,0)),0))</f>
        <v>920</v>
      </c>
      <c r="H64">
        <f t="shared" si="10"/>
        <v>921.2672</v>
      </c>
      <c r="I64">
        <f ca="1">טבלה1[[#This Row],[Demand]]-טבלה1[[#This Row],[est]]</f>
        <v>-1.2672000000000025</v>
      </c>
      <c r="K64">
        <v>2017</v>
      </c>
      <c r="L64" t="s">
        <v>13</v>
      </c>
      <c r="M64">
        <v>728</v>
      </c>
    </row>
    <row r="65" spans="4:13" x14ac:dyDescent="0.35">
      <c r="D65">
        <f t="shared" si="4"/>
        <v>2017</v>
      </c>
      <c r="E65" t="s">
        <v>16</v>
      </c>
      <c r="F65" s="8">
        <f t="shared" ca="1" si="0"/>
        <v>0.50084978332126273</v>
      </c>
      <c r="G65">
        <f ca="1">IF($A$1=0,"",ROUND(_xlfn.NORM.INV(טבלה1[[#This Row],[Rand]],A0+Trend*(ROW()-1),Std)*INDEX(SeasonalityTable,Seasonality,MATCH(טבלה1[[#This Row],[Month]],Months,0)),0))</f>
        <v>845</v>
      </c>
      <c r="H65">
        <f t="shared" si="10"/>
        <v>845.30040000000008</v>
      </c>
      <c r="I65">
        <f ca="1">טבלה1[[#This Row],[Demand]]-טבלה1[[#This Row],[est]]</f>
        <v>-0.30040000000008149</v>
      </c>
      <c r="L65" t="s">
        <v>14</v>
      </c>
      <c r="M65">
        <v>815</v>
      </c>
    </row>
    <row r="66" spans="4:13" x14ac:dyDescent="0.35">
      <c r="D66">
        <f t="shared" si="4"/>
        <v>2017</v>
      </c>
      <c r="E66" t="s">
        <v>5</v>
      </c>
      <c r="F66" s="8">
        <f t="shared" ref="F66:F121" ca="1" si="12">RAND()</f>
        <v>0.66464987814420851</v>
      </c>
      <c r="G66">
        <f ca="1">IF($A$1=0,"",ROUND(_xlfn.NORM.INV(טבלה1[[#This Row],[Rand]],A0+Trend*(ROW()-1),Std)*INDEX(SeasonalityTable,Seasonality,MATCH(טבלה1[[#This Row],[Month]],Months,0)),0))</f>
        <v>746</v>
      </c>
      <c r="H66">
        <f t="shared" ref="H66:H97" si="13">(A0+(ROW()-1)*Trend)*INDEX(SeasonalityTable,Seasonality,MOD(ROW()-2,12)+1)</f>
        <v>745.10799999999995</v>
      </c>
      <c r="I66">
        <f ca="1">טבלה1[[#This Row],[Demand]]-טבלה1[[#This Row],[est]]</f>
        <v>0.89200000000005275</v>
      </c>
      <c r="L66" t="s">
        <v>15</v>
      </c>
      <c r="M66">
        <v>920</v>
      </c>
    </row>
    <row r="67" spans="4:13" x14ac:dyDescent="0.35">
      <c r="D67">
        <f t="shared" si="4"/>
        <v>2017</v>
      </c>
      <c r="E67" t="s">
        <v>6</v>
      </c>
      <c r="F67" s="8">
        <f t="shared" ca="1" si="12"/>
        <v>0.54205093319893982</v>
      </c>
      <c r="G67">
        <f ca="1">IF($A$1=0,"",ROUND(_xlfn.NORM.INV(טבלה1[[#This Row],[Rand]],A0+Trend*(ROW()-1),Std)*INDEX(SeasonalityTable,Seasonality,MATCH(טבלה1[[#This Row],[Month]],Months,0)),0))</f>
        <v>858</v>
      </c>
      <c r="H67">
        <f t="shared" si="13"/>
        <v>857.76599999999996</v>
      </c>
      <c r="I67">
        <f ca="1">טבלה1[[#This Row],[Demand]]-טבלה1[[#This Row],[est]]</f>
        <v>0.23400000000003729</v>
      </c>
      <c r="L67" t="s">
        <v>16</v>
      </c>
      <c r="M67">
        <v>845</v>
      </c>
    </row>
    <row r="68" spans="4:13" x14ac:dyDescent="0.35">
      <c r="D68">
        <f t="shared" si="4"/>
        <v>2017</v>
      </c>
      <c r="E68" t="s">
        <v>7</v>
      </c>
      <c r="F68" s="8">
        <f t="shared" ca="1" si="12"/>
        <v>0.41091994660251607</v>
      </c>
      <c r="G68">
        <f ca="1">IF($A$1=0,"",ROUND(_xlfn.NORM.INV(טבלה1[[#This Row],[Rand]],A0+Trend*(ROW()-1),Std)*INDEX(SeasonalityTable,Seasonality,MATCH(טבלה1[[#This Row],[Month]],Months,0)),0))</f>
        <v>758</v>
      </c>
      <c r="H68">
        <f t="shared" si="13"/>
        <v>757.98719999999992</v>
      </c>
      <c r="I68">
        <f ca="1">טבלה1[[#This Row],[Demand]]-טבלה1[[#This Row],[est]]</f>
        <v>1.2800000000083855E-2</v>
      </c>
      <c r="L68" t="s">
        <v>5</v>
      </c>
      <c r="M68">
        <v>743</v>
      </c>
    </row>
    <row r="69" spans="4:13" x14ac:dyDescent="0.35">
      <c r="D69">
        <f t="shared" si="4"/>
        <v>2017</v>
      </c>
      <c r="E69" t="s">
        <v>8</v>
      </c>
      <c r="F69" s="8">
        <f t="shared" ca="1" si="12"/>
        <v>0.54603096188950828</v>
      </c>
      <c r="G69">
        <f ca="1">IF($A$1=0,"",ROUND(_xlfn.NORM.INV(טבלה1[[#This Row],[Rand]],A0+Trend*(ROW()-1),Std)*INDEX(SeasonalityTable,Seasonality,MATCH(טבלה1[[#This Row],[Month]],Months,0)),0))</f>
        <v>903</v>
      </c>
      <c r="H69">
        <f t="shared" si="13"/>
        <v>902.60760000000005</v>
      </c>
      <c r="I69">
        <f ca="1">טבלה1[[#This Row],[Demand]]-טבלה1[[#This Row],[est]]</f>
        <v>0.39239999999995234</v>
      </c>
      <c r="L69" t="s">
        <v>6</v>
      </c>
      <c r="M69">
        <v>857</v>
      </c>
    </row>
    <row r="70" spans="4:13" x14ac:dyDescent="0.35">
      <c r="D70">
        <f t="shared" si="4"/>
        <v>2017</v>
      </c>
      <c r="E70" t="s">
        <v>9</v>
      </c>
      <c r="F70" s="8">
        <f t="shared" ca="1" si="12"/>
        <v>0.1863418109267827</v>
      </c>
      <c r="G70">
        <f ca="1">IF($A$1=0,"",ROUND(_xlfn.NORM.INV(טבלה1[[#This Row],[Rand]],A0+Trend*(ROW()-1),Std)*INDEX(SeasonalityTable,Seasonality,MATCH(טבלה1[[#This Row],[Month]],Months,0)),0))</f>
        <v>769</v>
      </c>
      <c r="H70">
        <f t="shared" si="13"/>
        <v>770.71599999999989</v>
      </c>
      <c r="I70">
        <f ca="1">טבלה1[[#This Row],[Demand]]-טבלה1[[#This Row],[est]]</f>
        <v>-1.7159999999998945</v>
      </c>
      <c r="L70" t="s">
        <v>7</v>
      </c>
      <c r="M70">
        <v>758</v>
      </c>
    </row>
    <row r="71" spans="4:13" x14ac:dyDescent="0.35">
      <c r="D71">
        <f t="shared" si="4"/>
        <v>2017</v>
      </c>
      <c r="E71" t="s">
        <v>10</v>
      </c>
      <c r="F71" s="8">
        <f t="shared" ca="1" si="12"/>
        <v>0.28106030111507441</v>
      </c>
      <c r="G71">
        <f ca="1">IF($A$1=0,"",ROUND(_xlfn.NORM.INV(טבלה1[[#This Row],[Rand]],A0+Trend*(ROW()-1),Std)*INDEX(SeasonalityTable,Seasonality,MATCH(טבלה1[[#This Row],[Month]],Months,0)),0))</f>
        <v>873</v>
      </c>
      <c r="H71">
        <f t="shared" si="13"/>
        <v>874.15200000000004</v>
      </c>
      <c r="I71">
        <f ca="1">טבלה1[[#This Row],[Demand]]-טבלה1[[#This Row],[est]]</f>
        <v>-1.1520000000000437</v>
      </c>
      <c r="L71" t="s">
        <v>8</v>
      </c>
      <c r="M71">
        <v>903</v>
      </c>
    </row>
    <row r="72" spans="4:13" x14ac:dyDescent="0.35">
      <c r="D72">
        <f t="shared" si="4"/>
        <v>2017</v>
      </c>
      <c r="E72" t="s">
        <v>11</v>
      </c>
      <c r="F72" s="8">
        <f t="shared" ca="1" si="12"/>
        <v>0.99499554830936943</v>
      </c>
      <c r="G72">
        <f ca="1">IF($A$1=0,"",ROUND(_xlfn.NORM.INV(טבלה1[[#This Row],[Rand]],A0+Trend*(ROW()-1),Std)*INDEX(SeasonalityTable,Seasonality,MATCH(טבלה1[[#This Row],[Month]],Months,0)),0))</f>
        <v>739</v>
      </c>
      <c r="H72">
        <f t="shared" si="13"/>
        <v>734.84320000000002</v>
      </c>
      <c r="I72">
        <f ca="1">טבלה1[[#This Row],[Demand]]-טבלה1[[#This Row],[est]]</f>
        <v>4.1567999999999756</v>
      </c>
      <c r="L72" t="s">
        <v>9</v>
      </c>
      <c r="M72">
        <v>773</v>
      </c>
    </row>
    <row r="73" spans="4:13" x14ac:dyDescent="0.35">
      <c r="D73">
        <f t="shared" si="4"/>
        <v>2017</v>
      </c>
      <c r="E73" t="s">
        <v>12</v>
      </c>
      <c r="F73" s="8">
        <f t="shared" ca="1" si="12"/>
        <v>0.56526301674814794</v>
      </c>
      <c r="G73">
        <f ca="1">IF($A$1=0,"",ROUND(_xlfn.NORM.INV(טבלה1[[#This Row],[Rand]],A0+Trend*(ROW()-1),Std)*INDEX(SeasonalityTable,Seasonality,MATCH(טבלה1[[#This Row],[Month]],Months,0)),0))</f>
        <v>838</v>
      </c>
      <c r="H73">
        <f t="shared" si="13"/>
        <v>837.86559999999997</v>
      </c>
      <c r="I73">
        <f ca="1">טבלה1[[#This Row],[Demand]]-טבלה1[[#This Row],[est]]</f>
        <v>0.13440000000002783</v>
      </c>
      <c r="L73" t="s">
        <v>10</v>
      </c>
      <c r="M73">
        <v>871</v>
      </c>
    </row>
    <row r="74" spans="4:13" x14ac:dyDescent="0.35">
      <c r="D74">
        <f t="shared" si="4"/>
        <v>2018</v>
      </c>
      <c r="E74" t="s">
        <v>13</v>
      </c>
      <c r="F74" s="8">
        <f t="shared" ca="1" si="12"/>
        <v>0.93902488837926124</v>
      </c>
      <c r="G74">
        <f ca="1">IF($A$1=0,"",ROUND(_xlfn.NORM.INV(טבלה1[[#This Row],[Rand]],A0+Trend*(ROW()-1),Std)*INDEX(SeasonalityTable,Seasonality,MATCH(טבלה1[[#This Row],[Month]],Months,0)),0))</f>
        <v>710</v>
      </c>
      <c r="H74">
        <f t="shared" si="13"/>
        <v>707.30880000000002</v>
      </c>
      <c r="I74">
        <f ca="1">טבלה1[[#This Row],[Demand]]-טבלה1[[#This Row],[est]]</f>
        <v>2.6911999999999807</v>
      </c>
      <c r="L74" t="s">
        <v>11</v>
      </c>
      <c r="M74">
        <v>736</v>
      </c>
    </row>
    <row r="75" spans="4:13" x14ac:dyDescent="0.35">
      <c r="D75">
        <f t="shared" si="4"/>
        <v>2018</v>
      </c>
      <c r="E75" t="s">
        <v>14</v>
      </c>
      <c r="F75" s="8">
        <f t="shared" ca="1" si="12"/>
        <v>0.8751202137417573</v>
      </c>
      <c r="G75">
        <f ca="1">IF($A$1=0,"",ROUND(_xlfn.NORM.INV(טבלה1[[#This Row],[Rand]],A0+Trend*(ROW()-1),Std)*INDEX(SeasonalityTable,Seasonality,MATCH(טבלה1[[#This Row],[Month]],Months,0)),0))</f>
        <v>796</v>
      </c>
      <c r="H75">
        <f t="shared" si="13"/>
        <v>793.86119999999994</v>
      </c>
      <c r="I75">
        <f ca="1">טבלה1[[#This Row],[Demand]]-טבלה1[[#This Row],[est]]</f>
        <v>2.1388000000000602</v>
      </c>
      <c r="L75" t="s">
        <v>12</v>
      </c>
      <c r="M75">
        <v>837</v>
      </c>
    </row>
    <row r="76" spans="4:13" x14ac:dyDescent="0.35">
      <c r="D76">
        <f t="shared" si="4"/>
        <v>2018</v>
      </c>
      <c r="E76" t="s">
        <v>15</v>
      </c>
      <c r="F76" s="8">
        <f t="shared" ca="1" si="12"/>
        <v>7.5504822115741277E-2</v>
      </c>
      <c r="G76">
        <f ca="1">IF($A$1=0,"",ROUND(_xlfn.NORM.INV(טבלה1[[#This Row],[Rand]],A0+Trend*(ROW()-1),Std)*INDEX(SeasonalityTable,Seasonality,MATCH(טבלה1[[#This Row],[Month]],Months,0)),0))</f>
        <v>893</v>
      </c>
      <c r="H76">
        <f t="shared" si="13"/>
        <v>896.00000000000011</v>
      </c>
      <c r="I76">
        <f ca="1">טבלה1[[#This Row],[Demand]]-טבלה1[[#This Row],[est]]</f>
        <v>-3.0000000000001137</v>
      </c>
      <c r="K76">
        <v>2018</v>
      </c>
      <c r="L76" t="s">
        <v>13</v>
      </c>
      <c r="M76">
        <v>708</v>
      </c>
    </row>
    <row r="77" spans="4:13" x14ac:dyDescent="0.35">
      <c r="D77">
        <f t="shared" si="4"/>
        <v>2018</v>
      </c>
      <c r="E77" t="s">
        <v>16</v>
      </c>
      <c r="F77" s="8">
        <f t="shared" ca="1" si="12"/>
        <v>0.90723514221064305</v>
      </c>
      <c r="G77">
        <f ca="1">IF($A$1=0,"",ROUND(_xlfn.NORM.INV(טבלה1[[#This Row],[Rand]],A0+Trend*(ROW()-1),Std)*INDEX(SeasonalityTable,Seasonality,MATCH(טבלה1[[#This Row],[Month]],Months,0)),0))</f>
        <v>824</v>
      </c>
      <c r="H77">
        <f t="shared" si="13"/>
        <v>822.06360000000006</v>
      </c>
      <c r="I77">
        <f ca="1">טבלה1[[#This Row],[Demand]]-טבלה1[[#This Row],[est]]</f>
        <v>1.9363999999999351</v>
      </c>
      <c r="L77" t="s">
        <v>14</v>
      </c>
      <c r="M77">
        <v>794</v>
      </c>
    </row>
    <row r="78" spans="4:13" x14ac:dyDescent="0.35">
      <c r="D78">
        <f t="shared" si="4"/>
        <v>2018</v>
      </c>
      <c r="E78" t="s">
        <v>5</v>
      </c>
      <c r="F78" s="8">
        <f t="shared" ca="1" si="12"/>
        <v>4.0477581316476274E-2</v>
      </c>
      <c r="G78">
        <f ca="1">IF($A$1=0,"",ROUND(_xlfn.NORM.INV(טבלה1[[#This Row],[Rand]],A0+Trend*(ROW()-1),Std)*INDEX(SeasonalityTable,Seasonality,MATCH(טבלה1[[#This Row],[Month]],Months,0)),0))</f>
        <v>722</v>
      </c>
      <c r="H78">
        <f t="shared" si="13"/>
        <v>724.57839999999999</v>
      </c>
      <c r="I78">
        <f ca="1">טבלה1[[#This Row],[Demand]]-טבלה1[[#This Row],[est]]</f>
        <v>-2.5783999999999878</v>
      </c>
      <c r="L78" t="s">
        <v>15</v>
      </c>
      <c r="M78">
        <v>898</v>
      </c>
    </row>
    <row r="79" spans="4:13" x14ac:dyDescent="0.35">
      <c r="D79">
        <f t="shared" ref="D79:D121" si="14">D67+1</f>
        <v>2018</v>
      </c>
      <c r="E79" t="s">
        <v>6</v>
      </c>
      <c r="F79" s="8">
        <f t="shared" ca="1" si="12"/>
        <v>0.67338775385853999</v>
      </c>
      <c r="G79">
        <f ca="1">IF($A$1=0,"",ROUND(_xlfn.NORM.INV(טבלה1[[#This Row],[Rand]],A0+Trend*(ROW()-1),Std)*INDEX(SeasonalityTable,Seasonality,MATCH(טבלה1[[#This Row],[Month]],Months,0)),0))</f>
        <v>835</v>
      </c>
      <c r="H79">
        <f t="shared" si="13"/>
        <v>834.07800000000009</v>
      </c>
      <c r="I79">
        <f ca="1">טבלה1[[#This Row],[Demand]]-טבלה1[[#This Row],[est]]</f>
        <v>0.92199999999991178</v>
      </c>
      <c r="L79" t="s">
        <v>16</v>
      </c>
      <c r="M79">
        <v>824</v>
      </c>
    </row>
    <row r="80" spans="4:13" x14ac:dyDescent="0.35">
      <c r="D80">
        <f t="shared" si="14"/>
        <v>2018</v>
      </c>
      <c r="E80" t="s">
        <v>7</v>
      </c>
      <c r="F80" s="8">
        <f t="shared" ca="1" si="12"/>
        <v>0.20508832750108175</v>
      </c>
      <c r="G80">
        <f ca="1">IF($A$1=0,"",ROUND(_xlfn.NORM.INV(טבלה1[[#This Row],[Rand]],A0+Trend*(ROW()-1),Std)*INDEX(SeasonalityTable,Seasonality,MATCH(טבלה1[[#This Row],[Month]],Months,0)),0))</f>
        <v>736</v>
      </c>
      <c r="H80">
        <f t="shared" si="13"/>
        <v>737.00639999999999</v>
      </c>
      <c r="I80">
        <f ca="1">טבלה1[[#This Row],[Demand]]-טבלה1[[#This Row],[est]]</f>
        <v>-1.0063999999999851</v>
      </c>
      <c r="L80" t="s">
        <v>5</v>
      </c>
      <c r="M80">
        <v>724</v>
      </c>
    </row>
    <row r="81" spans="4:13" x14ac:dyDescent="0.35">
      <c r="D81">
        <f t="shared" si="14"/>
        <v>2018</v>
      </c>
      <c r="E81" t="s">
        <v>8</v>
      </c>
      <c r="F81" s="8">
        <f t="shared" ca="1" si="12"/>
        <v>5.3635155809776736E-2</v>
      </c>
      <c r="G81">
        <f ca="1">IF($A$1=0,"",ROUND(_xlfn.NORM.INV(טבלה1[[#This Row],[Rand]],A0+Trend*(ROW()-1),Std)*INDEX(SeasonalityTable,Seasonality,MATCH(טבלה1[[#This Row],[Month]],Months,0)),0))</f>
        <v>875</v>
      </c>
      <c r="H81">
        <f t="shared" si="13"/>
        <v>877.56600000000014</v>
      </c>
      <c r="I81">
        <f ca="1">טבלה1[[#This Row],[Demand]]-טבלה1[[#This Row],[est]]</f>
        <v>-2.5660000000001446</v>
      </c>
      <c r="L81" t="s">
        <v>6</v>
      </c>
      <c r="M81">
        <v>828</v>
      </c>
    </row>
    <row r="82" spans="4:13" x14ac:dyDescent="0.35">
      <c r="D82">
        <f t="shared" si="14"/>
        <v>2018</v>
      </c>
      <c r="E82" t="s">
        <v>9</v>
      </c>
      <c r="F82" s="8">
        <f t="shared" ca="1" si="12"/>
        <v>7.8045643409878962E-2</v>
      </c>
      <c r="G82">
        <f ca="1">IF($A$1=0,"",ROUND(_xlfn.NORM.INV(טבלה1[[#This Row],[Rand]],A0+Trend*(ROW()-1),Std)*INDEX(SeasonalityTable,Seasonality,MATCH(טבלה1[[#This Row],[Month]],Months,0)),0))</f>
        <v>747</v>
      </c>
      <c r="H82">
        <f t="shared" si="13"/>
        <v>749.28399999999999</v>
      </c>
      <c r="I82">
        <f ca="1">טבלה1[[#This Row],[Demand]]-טבלה1[[#This Row],[est]]</f>
        <v>-2.2839999999999918</v>
      </c>
      <c r="L82" t="s">
        <v>7</v>
      </c>
      <c r="M82">
        <v>737</v>
      </c>
    </row>
    <row r="83" spans="4:13" x14ac:dyDescent="0.35">
      <c r="D83">
        <f t="shared" si="14"/>
        <v>2018</v>
      </c>
      <c r="E83" t="s">
        <v>10</v>
      </c>
      <c r="F83" s="8">
        <f t="shared" ca="1" si="12"/>
        <v>0.76790004465229311</v>
      </c>
      <c r="G83">
        <f ca="1">IF($A$1=0,"",ROUND(_xlfn.NORM.INV(טבלה1[[#This Row],[Rand]],A0+Trend*(ROW()-1),Std)*INDEX(SeasonalityTable,Seasonality,MATCH(טבלה1[[#This Row],[Month]],Months,0)),0))</f>
        <v>851</v>
      </c>
      <c r="H83">
        <f t="shared" si="13"/>
        <v>849.7872000000001</v>
      </c>
      <c r="I83">
        <f ca="1">טבלה1[[#This Row],[Demand]]-טבלה1[[#This Row],[est]]</f>
        <v>1.212799999999902</v>
      </c>
      <c r="L83" t="s">
        <v>8</v>
      </c>
      <c r="M83">
        <v>880</v>
      </c>
    </row>
    <row r="84" spans="4:13" x14ac:dyDescent="0.35">
      <c r="D84">
        <f t="shared" si="14"/>
        <v>2018</v>
      </c>
      <c r="E84" t="s">
        <v>11</v>
      </c>
      <c r="F84" s="8">
        <f t="shared" ca="1" si="12"/>
        <v>2.0921660453730784E-2</v>
      </c>
      <c r="G84">
        <f ca="1">IF($A$1=0,"",ROUND(_xlfn.NORM.INV(טבלה1[[#This Row],[Rand]],A0+Trend*(ROW()-1),Std)*INDEX(SeasonalityTable,Seasonality,MATCH(טבלה1[[#This Row],[Month]],Months,0)),0))</f>
        <v>711</v>
      </c>
      <c r="H84">
        <f t="shared" si="13"/>
        <v>714.31360000000006</v>
      </c>
      <c r="I84">
        <f ca="1">טבלה1[[#This Row],[Demand]]-טבלה1[[#This Row],[est]]</f>
        <v>-3.3136000000000649</v>
      </c>
      <c r="L84" t="s">
        <v>9</v>
      </c>
      <c r="M84">
        <v>749</v>
      </c>
    </row>
    <row r="85" spans="4:13" x14ac:dyDescent="0.35">
      <c r="D85">
        <f t="shared" si="14"/>
        <v>2018</v>
      </c>
      <c r="E85" t="s">
        <v>12</v>
      </c>
      <c r="F85" s="8">
        <f t="shared" ca="1" si="12"/>
        <v>0.41747850643147943</v>
      </c>
      <c r="G85">
        <f ca="1">IF($A$1=0,"",ROUND(_xlfn.NORM.INV(טבלה1[[#This Row],[Rand]],A0+Trend*(ROW()-1),Std)*INDEX(SeasonalityTable,Seasonality,MATCH(טבלה1[[#This Row],[Month]],Months,0)),0))</f>
        <v>814</v>
      </c>
      <c r="H85">
        <f t="shared" si="13"/>
        <v>814.40320000000008</v>
      </c>
      <c r="I85">
        <f ca="1">טבלה1[[#This Row],[Demand]]-טבלה1[[#This Row],[est]]</f>
        <v>-0.40320000000008349</v>
      </c>
      <c r="L85" t="s">
        <v>10</v>
      </c>
      <c r="M85">
        <v>847</v>
      </c>
    </row>
    <row r="86" spans="4:13" x14ac:dyDescent="0.35">
      <c r="D86">
        <f t="shared" si="14"/>
        <v>2019</v>
      </c>
      <c r="E86" t="s">
        <v>13</v>
      </c>
      <c r="F86" s="8">
        <f t="shared" ca="1" si="12"/>
        <v>0.6005912393329953</v>
      </c>
      <c r="G86">
        <f ca="1">IF($A$1=0,"",ROUND(_xlfn.NORM.INV(טבלה1[[#This Row],[Rand]],A0+Trend*(ROW()-1),Std)*INDEX(SeasonalityTable,Seasonality,MATCH(טבלה1[[#This Row],[Month]],Months,0)),0))</f>
        <v>688</v>
      </c>
      <c r="H86">
        <f t="shared" si="13"/>
        <v>687.45600000000002</v>
      </c>
      <c r="I86">
        <f ca="1">טבלה1[[#This Row],[Demand]]-טבלה1[[#This Row],[est]]</f>
        <v>0.54399999999998272</v>
      </c>
      <c r="L86" t="s">
        <v>11</v>
      </c>
      <c r="M86">
        <v>717</v>
      </c>
    </row>
    <row r="87" spans="4:13" x14ac:dyDescent="0.35">
      <c r="D87">
        <f t="shared" si="14"/>
        <v>2019</v>
      </c>
      <c r="E87" t="s">
        <v>14</v>
      </c>
      <c r="F87" s="8">
        <f t="shared" ca="1" si="12"/>
        <v>0.42245505585247944</v>
      </c>
      <c r="G87">
        <f ca="1">IF($A$1=0,"",ROUND(_xlfn.NORM.INV(טבלה1[[#This Row],[Rand]],A0+Trend*(ROW()-1),Std)*INDEX(SeasonalityTable,Seasonality,MATCH(טבלה1[[#This Row],[Month]],Months,0)),0))</f>
        <v>771</v>
      </c>
      <c r="H87">
        <f t="shared" si="13"/>
        <v>771.52680000000009</v>
      </c>
      <c r="I87">
        <f ca="1">טבלה1[[#This Row],[Demand]]-טבלה1[[#This Row],[est]]</f>
        <v>-0.52680000000009386</v>
      </c>
      <c r="L87" t="s">
        <v>12</v>
      </c>
      <c r="M87">
        <v>814</v>
      </c>
    </row>
    <row r="88" spans="4:13" x14ac:dyDescent="0.35">
      <c r="D88">
        <f t="shared" si="14"/>
        <v>2019</v>
      </c>
      <c r="E88" t="s">
        <v>15</v>
      </c>
      <c r="F88" s="8">
        <f t="shared" ca="1" si="12"/>
        <v>0.75359272633998664</v>
      </c>
      <c r="G88">
        <f ca="1">IF($A$1=0,"",ROUND(_xlfn.NORM.INV(טבלה1[[#This Row],[Rand]],A0+Trend*(ROW()-1),Std)*INDEX(SeasonalityTable,Seasonality,MATCH(טבלה1[[#This Row],[Month]],Months,0)),0))</f>
        <v>872</v>
      </c>
      <c r="H88">
        <f t="shared" si="13"/>
        <v>870.73280000000011</v>
      </c>
      <c r="I88">
        <f ca="1">טבלה1[[#This Row],[Demand]]-טבלה1[[#This Row],[est]]</f>
        <v>1.2671999999998889</v>
      </c>
      <c r="K88">
        <v>2019</v>
      </c>
      <c r="L88" t="s">
        <v>13</v>
      </c>
      <c r="M88">
        <v>687</v>
      </c>
    </row>
    <row r="89" spans="4:13" x14ac:dyDescent="0.35">
      <c r="D89">
        <f t="shared" si="14"/>
        <v>2019</v>
      </c>
      <c r="E89" t="s">
        <v>16</v>
      </c>
      <c r="F89" s="8">
        <f t="shared" ca="1" si="12"/>
        <v>0.44343164298717841</v>
      </c>
      <c r="G89">
        <f ca="1">IF($A$1=0,"",ROUND(_xlfn.NORM.INV(טבלה1[[#This Row],[Rand]],A0+Trend*(ROW()-1),Std)*INDEX(SeasonalityTable,Seasonality,MATCH(טבלה1[[#This Row],[Month]],Months,0)),0))</f>
        <v>799</v>
      </c>
      <c r="H89">
        <f t="shared" si="13"/>
        <v>798.82679999999993</v>
      </c>
      <c r="I89">
        <f ca="1">טבלה1[[#This Row],[Demand]]-טבלה1[[#This Row],[est]]</f>
        <v>0.1732000000000653</v>
      </c>
      <c r="L89" t="s">
        <v>14</v>
      </c>
      <c r="M89">
        <v>773</v>
      </c>
    </row>
    <row r="90" spans="4:13" x14ac:dyDescent="0.35">
      <c r="D90">
        <f t="shared" si="14"/>
        <v>2019</v>
      </c>
      <c r="E90" t="s">
        <v>5</v>
      </c>
      <c r="F90" s="8">
        <f t="shared" ca="1" si="12"/>
        <v>0.44376613215811733</v>
      </c>
      <c r="G90">
        <f ca="1">IF($A$1=0,"",ROUND(_xlfn.NORM.INV(טבלה1[[#This Row],[Rand]],A0+Trend*(ROW()-1),Std)*INDEX(SeasonalityTable,Seasonality,MATCH(טבלה1[[#This Row],[Month]],Months,0)),0))</f>
        <v>704</v>
      </c>
      <c r="H90">
        <f t="shared" si="13"/>
        <v>704.04880000000003</v>
      </c>
      <c r="I90">
        <f ca="1">טבלה1[[#This Row],[Demand]]-טבלה1[[#This Row],[est]]</f>
        <v>-4.8800000000028376E-2</v>
      </c>
      <c r="L90" t="s">
        <v>15</v>
      </c>
      <c r="M90">
        <v>870</v>
      </c>
    </row>
    <row r="91" spans="4:13" x14ac:dyDescent="0.35">
      <c r="D91">
        <f t="shared" si="14"/>
        <v>2019</v>
      </c>
      <c r="E91" t="s">
        <v>6</v>
      </c>
      <c r="F91" s="8">
        <f t="shared" ca="1" si="12"/>
        <v>0.62450970296224206</v>
      </c>
      <c r="G91">
        <f ca="1">IF($A$1=0,"",ROUND(_xlfn.NORM.INV(טבלה1[[#This Row],[Rand]],A0+Trend*(ROW()-1),Std)*INDEX(SeasonalityTable,Seasonality,MATCH(טבלה1[[#This Row],[Month]],Months,0)),0))</f>
        <v>811</v>
      </c>
      <c r="H91">
        <f t="shared" si="13"/>
        <v>810.39</v>
      </c>
      <c r="I91">
        <f ca="1">טבלה1[[#This Row],[Demand]]-טבלה1[[#This Row],[est]]</f>
        <v>0.61000000000001364</v>
      </c>
      <c r="L91" t="s">
        <v>16</v>
      </c>
      <c r="M91">
        <v>798</v>
      </c>
    </row>
    <row r="92" spans="4:13" x14ac:dyDescent="0.35">
      <c r="D92">
        <f t="shared" si="14"/>
        <v>2019</v>
      </c>
      <c r="E92" t="s">
        <v>7</v>
      </c>
      <c r="F92" s="8">
        <f t="shared" ca="1" si="12"/>
        <v>0.80788378631104485</v>
      </c>
      <c r="G92">
        <f ca="1">IF($A$1=0,"",ROUND(_xlfn.NORM.INV(טבלה1[[#This Row],[Rand]],A0+Trend*(ROW()-1),Std)*INDEX(SeasonalityTable,Seasonality,MATCH(טבלה1[[#This Row],[Month]],Months,0)),0))</f>
        <v>717</v>
      </c>
      <c r="H92">
        <f t="shared" si="13"/>
        <v>716.02560000000005</v>
      </c>
      <c r="I92">
        <f ca="1">טבלה1[[#This Row],[Demand]]-טבלה1[[#This Row],[est]]</f>
        <v>0.97439999999994598</v>
      </c>
      <c r="L92" t="s">
        <v>5</v>
      </c>
      <c r="M92">
        <v>706</v>
      </c>
    </row>
    <row r="93" spans="4:13" x14ac:dyDescent="0.35">
      <c r="D93">
        <f t="shared" si="14"/>
        <v>2019</v>
      </c>
      <c r="E93" t="s">
        <v>8</v>
      </c>
      <c r="F93" s="8">
        <f t="shared" ca="1" si="12"/>
        <v>0.31270221519569019</v>
      </c>
      <c r="G93">
        <f ca="1">IF($A$1=0,"",ROUND(_xlfn.NORM.INV(טבלה1[[#This Row],[Rand]],A0+Trend*(ROW()-1),Std)*INDEX(SeasonalityTable,Seasonality,MATCH(טבלה1[[#This Row],[Month]],Months,0)),0))</f>
        <v>852</v>
      </c>
      <c r="H93">
        <f t="shared" si="13"/>
        <v>852.52440000000001</v>
      </c>
      <c r="I93">
        <f ca="1">טבלה1[[#This Row],[Demand]]-טבלה1[[#This Row],[est]]</f>
        <v>-0.52440000000001419</v>
      </c>
      <c r="L93" t="s">
        <v>6</v>
      </c>
      <c r="M93">
        <v>811</v>
      </c>
    </row>
    <row r="94" spans="4:13" x14ac:dyDescent="0.35">
      <c r="D94">
        <f t="shared" si="14"/>
        <v>2019</v>
      </c>
      <c r="E94" t="s">
        <v>9</v>
      </c>
      <c r="F94" s="8">
        <f t="shared" ca="1" si="12"/>
        <v>0.46369217174500188</v>
      </c>
      <c r="G94">
        <f ca="1">IF($A$1=0,"",ROUND(_xlfn.NORM.INV(טבלה1[[#This Row],[Rand]],A0+Trend*(ROW()-1),Std)*INDEX(SeasonalityTable,Seasonality,MATCH(טבלה1[[#This Row],[Month]],Months,0)),0))</f>
        <v>728</v>
      </c>
      <c r="H94">
        <f t="shared" si="13"/>
        <v>727.85199999999998</v>
      </c>
      <c r="I94">
        <f ca="1">טבלה1[[#This Row],[Demand]]-טבלה1[[#This Row],[est]]</f>
        <v>0.14800000000002456</v>
      </c>
      <c r="L94" t="s">
        <v>7</v>
      </c>
      <c r="M94">
        <v>719</v>
      </c>
    </row>
    <row r="95" spans="4:13" x14ac:dyDescent="0.35">
      <c r="D95">
        <f t="shared" si="14"/>
        <v>2019</v>
      </c>
      <c r="E95" t="s">
        <v>10</v>
      </c>
      <c r="F95" s="8">
        <f t="shared" ca="1" si="12"/>
        <v>0.33272883033560496</v>
      </c>
      <c r="G95">
        <f ca="1">IF($A$1=0,"",ROUND(_xlfn.NORM.INV(טבלה1[[#This Row],[Rand]],A0+Trend*(ROW()-1),Std)*INDEX(SeasonalityTable,Seasonality,MATCH(טבלה1[[#This Row],[Month]],Months,0)),0))</f>
        <v>825</v>
      </c>
      <c r="H95">
        <f t="shared" si="13"/>
        <v>825.42240000000004</v>
      </c>
      <c r="I95">
        <f ca="1">טבלה1[[#This Row],[Demand]]-טבלה1[[#This Row],[est]]</f>
        <v>-0.42240000000003874</v>
      </c>
      <c r="L95" t="s">
        <v>8</v>
      </c>
      <c r="M95">
        <v>850</v>
      </c>
    </row>
    <row r="96" spans="4:13" x14ac:dyDescent="0.35">
      <c r="D96">
        <f t="shared" si="14"/>
        <v>2019</v>
      </c>
      <c r="E96" t="s">
        <v>11</v>
      </c>
      <c r="F96" s="8">
        <f t="shared" ca="1" si="12"/>
        <v>0.95711184458695109</v>
      </c>
      <c r="G96">
        <f ca="1">IF($A$1=0,"",ROUND(_xlfn.NORM.INV(טבלה1[[#This Row],[Rand]],A0+Trend*(ROW()-1),Std)*INDEX(SeasonalityTable,Seasonality,MATCH(טבלה1[[#This Row],[Month]],Months,0)),0))</f>
        <v>696</v>
      </c>
      <c r="H96">
        <f t="shared" si="13"/>
        <v>693.78399999999999</v>
      </c>
      <c r="I96">
        <f ca="1">טבלה1[[#This Row],[Demand]]-טבלה1[[#This Row],[est]]</f>
        <v>2.2160000000000082</v>
      </c>
      <c r="L96" t="s">
        <v>9</v>
      </c>
      <c r="M96">
        <v>728</v>
      </c>
    </row>
    <row r="97" spans="4:13" x14ac:dyDescent="0.35">
      <c r="D97">
        <f t="shared" si="14"/>
        <v>2019</v>
      </c>
      <c r="E97" t="s">
        <v>12</v>
      </c>
      <c r="F97" s="8">
        <f t="shared" ca="1" si="12"/>
        <v>0.21055677519701022</v>
      </c>
      <c r="G97">
        <f ca="1">IF($A$1=0,"",ROUND(_xlfn.NORM.INV(טבלה1[[#This Row],[Rand]],A0+Trend*(ROW()-1),Std)*INDEX(SeasonalityTable,Seasonality,MATCH(טבלה1[[#This Row],[Month]],Months,0)),0))</f>
        <v>790</v>
      </c>
      <c r="H97">
        <f t="shared" si="13"/>
        <v>790.94079999999997</v>
      </c>
      <c r="I97">
        <f ca="1">טבלה1[[#This Row],[Demand]]-טבלה1[[#This Row],[est]]</f>
        <v>-0.94079999999996744</v>
      </c>
      <c r="L97" t="s">
        <v>10</v>
      </c>
      <c r="M97">
        <v>825</v>
      </c>
    </row>
    <row r="98" spans="4:13" x14ac:dyDescent="0.35">
      <c r="D98">
        <f t="shared" si="14"/>
        <v>2020</v>
      </c>
      <c r="E98" t="s">
        <v>13</v>
      </c>
      <c r="F98" s="8">
        <f t="shared" ca="1" si="12"/>
        <v>0.25896070015946193</v>
      </c>
      <c r="G98">
        <f ca="1">IF($A$1=0,"",ROUND(_xlfn.NORM.INV(טבלה1[[#This Row],[Rand]],A0+Trend*(ROW()-1),Std)*INDEX(SeasonalityTable,Seasonality,MATCH(טבלה1[[#This Row],[Month]],Months,0)),0))</f>
        <v>667</v>
      </c>
      <c r="H98">
        <f t="shared" ref="H98:H121" si="15">(A0+(ROW()-1)*Trend)*INDEX(SeasonalityTable,Seasonality,MOD(ROW()-2,12)+1)</f>
        <v>667.60320000000002</v>
      </c>
      <c r="I98">
        <f ca="1">טבלה1[[#This Row],[Demand]]-טבלה1[[#This Row],[est]]</f>
        <v>-0.60320000000001528</v>
      </c>
      <c r="L98" t="s">
        <v>11</v>
      </c>
      <c r="M98">
        <v>692</v>
      </c>
    </row>
    <row r="99" spans="4:13" x14ac:dyDescent="0.35">
      <c r="D99">
        <f t="shared" si="14"/>
        <v>2020</v>
      </c>
      <c r="E99" t="s">
        <v>14</v>
      </c>
      <c r="F99" s="8">
        <f t="shared" ca="1" si="12"/>
        <v>0.35381245147003693</v>
      </c>
      <c r="G99">
        <f ca="1">IF($A$1=0,"",ROUND(_xlfn.NORM.INV(טבלה1[[#This Row],[Rand]],A0+Trend*(ROW()-1),Std)*INDEX(SeasonalityTable,Seasonality,MATCH(טבלה1[[#This Row],[Month]],Months,0)),0))</f>
        <v>749</v>
      </c>
      <c r="H99">
        <f t="shared" si="15"/>
        <v>749.19240000000002</v>
      </c>
      <c r="I99">
        <f ca="1">טבלה1[[#This Row],[Demand]]-טבלה1[[#This Row],[est]]</f>
        <v>-0.19240000000002055</v>
      </c>
      <c r="L99" t="s">
        <v>12</v>
      </c>
      <c r="M99">
        <v>788</v>
      </c>
    </row>
    <row r="100" spans="4:13" x14ac:dyDescent="0.35">
      <c r="D100">
        <f t="shared" si="14"/>
        <v>2020</v>
      </c>
      <c r="E100" t="s">
        <v>15</v>
      </c>
      <c r="F100" s="8">
        <f t="shared" ca="1" si="12"/>
        <v>9.91160933650993E-2</v>
      </c>
      <c r="G100">
        <f ca="1">IF($A$1=0,"",ROUND(_xlfn.NORM.INV(טבלה1[[#This Row],[Rand]],A0+Trend*(ROW()-1),Std)*INDEX(SeasonalityTable,Seasonality,MATCH(טבלה1[[#This Row],[Month]],Months,0)),0))</f>
        <v>843</v>
      </c>
      <c r="H100">
        <f t="shared" si="15"/>
        <v>845.46560000000011</v>
      </c>
      <c r="I100">
        <f ca="1">טבלה1[[#This Row],[Demand]]-טבלה1[[#This Row],[est]]</f>
        <v>-2.4656000000001086</v>
      </c>
      <c r="K100">
        <v>2020</v>
      </c>
      <c r="L100" t="s">
        <v>13</v>
      </c>
      <c r="M100">
        <v>667</v>
      </c>
    </row>
    <row r="101" spans="4:13" x14ac:dyDescent="0.35">
      <c r="D101">
        <f t="shared" si="14"/>
        <v>2020</v>
      </c>
      <c r="E101" t="s">
        <v>16</v>
      </c>
      <c r="F101" s="8">
        <f t="shared" ca="1" si="12"/>
        <v>0.21568185054796341</v>
      </c>
      <c r="G101">
        <f ca="1">IF($A$1=0,"",ROUND(_xlfn.NORM.INV(טבלה1[[#This Row],[Rand]],A0+Trend*(ROW()-1),Std)*INDEX(SeasonalityTable,Seasonality,MATCH(טבלה1[[#This Row],[Month]],Months,0)),0))</f>
        <v>774</v>
      </c>
      <c r="H101">
        <f t="shared" si="15"/>
        <v>775.59</v>
      </c>
      <c r="I101">
        <f ca="1">טבלה1[[#This Row],[Demand]]-טבלה1[[#This Row],[est]]</f>
        <v>-1.5900000000000318</v>
      </c>
      <c r="L101" t="s">
        <v>14</v>
      </c>
      <c r="M101">
        <v>749</v>
      </c>
    </row>
    <row r="102" spans="4:13" x14ac:dyDescent="0.35">
      <c r="D102">
        <f t="shared" si="14"/>
        <v>2020</v>
      </c>
      <c r="E102" t="s">
        <v>5</v>
      </c>
      <c r="F102" s="8">
        <f t="shared" ca="1" si="12"/>
        <v>0.19382337851611098</v>
      </c>
      <c r="G102">
        <f ca="1">IF($A$1=0,"",ROUND(_xlfn.NORM.INV(טבלה1[[#This Row],[Rand]],A0+Trend*(ROW()-1),Std)*INDEX(SeasonalityTable,Seasonality,MATCH(טבלה1[[#This Row],[Month]],Months,0)),0))</f>
        <v>682</v>
      </c>
      <c r="H102">
        <f t="shared" si="15"/>
        <v>683.51920000000007</v>
      </c>
      <c r="I102">
        <f ca="1">טבלה1[[#This Row],[Demand]]-טבלה1[[#This Row],[est]]</f>
        <v>-1.5192000000000689</v>
      </c>
      <c r="L102" t="s">
        <v>15</v>
      </c>
      <c r="M102">
        <v>846</v>
      </c>
    </row>
    <row r="103" spans="4:13" x14ac:dyDescent="0.35">
      <c r="D103">
        <f t="shared" si="14"/>
        <v>2020</v>
      </c>
      <c r="E103" t="s">
        <v>6</v>
      </c>
      <c r="F103" s="8">
        <f t="shared" ca="1" si="12"/>
        <v>0.4676903974384613</v>
      </c>
      <c r="G103">
        <f ca="1">IF($A$1=0,"",ROUND(_xlfn.NORM.INV(טבלה1[[#This Row],[Rand]],A0+Trend*(ROW()-1),Std)*INDEX(SeasonalityTable,Seasonality,MATCH(טבלה1[[#This Row],[Month]],Months,0)),0))</f>
        <v>787</v>
      </c>
      <c r="H103">
        <f t="shared" si="15"/>
        <v>786.702</v>
      </c>
      <c r="I103">
        <f ca="1">טבלה1[[#This Row],[Demand]]-טבלה1[[#This Row],[est]]</f>
        <v>0.29800000000000182</v>
      </c>
      <c r="L103" t="s">
        <v>16</v>
      </c>
      <c r="M103">
        <v>775</v>
      </c>
    </row>
    <row r="104" spans="4:13" x14ac:dyDescent="0.35">
      <c r="D104">
        <f t="shared" si="14"/>
        <v>2020</v>
      </c>
      <c r="E104" t="s">
        <v>7</v>
      </c>
      <c r="F104" s="8">
        <f t="shared" ca="1" si="12"/>
        <v>0.64986158263820326</v>
      </c>
      <c r="G104">
        <f ca="1">IF($A$1=0,"",ROUND(_xlfn.NORM.INV(טבלה1[[#This Row],[Rand]],A0+Trend*(ROW()-1),Std)*INDEX(SeasonalityTable,Seasonality,MATCH(טבלה1[[#This Row],[Month]],Months,0)),0))</f>
        <v>696</v>
      </c>
      <c r="H104">
        <f t="shared" si="15"/>
        <v>695.04480000000001</v>
      </c>
      <c r="I104">
        <f ca="1">טבלה1[[#This Row],[Demand]]-טבלה1[[#This Row],[est]]</f>
        <v>0.95519999999999072</v>
      </c>
      <c r="L104" t="s">
        <v>5</v>
      </c>
      <c r="M104">
        <v>684</v>
      </c>
    </row>
    <row r="105" spans="4:13" x14ac:dyDescent="0.35">
      <c r="D105">
        <f t="shared" si="14"/>
        <v>2020</v>
      </c>
      <c r="E105" t="s">
        <v>8</v>
      </c>
      <c r="F105" s="8">
        <f t="shared" ca="1" si="12"/>
        <v>0.37051650351344645</v>
      </c>
      <c r="G105">
        <f ca="1">IF($A$1=0,"",ROUND(_xlfn.NORM.INV(טבלה1[[#This Row],[Rand]],A0+Trend*(ROW()-1),Std)*INDEX(SeasonalityTable,Seasonality,MATCH(טבלה1[[#This Row],[Month]],Months,0)),0))</f>
        <v>827</v>
      </c>
      <c r="H105">
        <f t="shared" si="15"/>
        <v>827.48280000000011</v>
      </c>
      <c r="I105">
        <f ca="1">טבלה1[[#This Row],[Demand]]-טבלה1[[#This Row],[est]]</f>
        <v>-0.48280000000011114</v>
      </c>
      <c r="L105" t="s">
        <v>6</v>
      </c>
      <c r="M105">
        <v>782</v>
      </c>
    </row>
    <row r="106" spans="4:13" x14ac:dyDescent="0.35">
      <c r="D106">
        <f t="shared" si="14"/>
        <v>2020</v>
      </c>
      <c r="E106" t="s">
        <v>9</v>
      </c>
      <c r="F106" s="8">
        <f t="shared" ca="1" si="12"/>
        <v>0.72040864180245601</v>
      </c>
      <c r="G106">
        <f ca="1">IF($A$1=0,"",ROUND(_xlfn.NORM.INV(טבלה1[[#This Row],[Rand]],A0+Trend*(ROW()-1),Std)*INDEX(SeasonalityTable,Seasonality,MATCH(טבלה1[[#This Row],[Month]],Months,0)),0))</f>
        <v>707</v>
      </c>
      <c r="H106">
        <f t="shared" si="15"/>
        <v>706.42</v>
      </c>
      <c r="I106">
        <f ca="1">טבלה1[[#This Row],[Demand]]-טבלה1[[#This Row],[est]]</f>
        <v>0.58000000000004093</v>
      </c>
      <c r="L106" t="s">
        <v>7</v>
      </c>
      <c r="M106">
        <v>692</v>
      </c>
    </row>
    <row r="107" spans="4:13" x14ac:dyDescent="0.35">
      <c r="D107">
        <f t="shared" si="14"/>
        <v>2020</v>
      </c>
      <c r="E107" t="s">
        <v>10</v>
      </c>
      <c r="F107" s="8">
        <f t="shared" ca="1" si="12"/>
        <v>0.84765064024713555</v>
      </c>
      <c r="G107">
        <f ca="1">IF($A$1=0,"",ROUND(_xlfn.NORM.INV(טבלה1[[#This Row],[Rand]],A0+Trend*(ROW()-1),Std)*INDEX(SeasonalityTable,Seasonality,MATCH(טבלה1[[#This Row],[Month]],Months,0)),0))</f>
        <v>803</v>
      </c>
      <c r="H107">
        <f t="shared" si="15"/>
        <v>801.05760000000009</v>
      </c>
      <c r="I107">
        <f ca="1">טבלה1[[#This Row],[Demand]]-טבלה1[[#This Row],[est]]</f>
        <v>1.9423999999999069</v>
      </c>
      <c r="L107" t="s">
        <v>8</v>
      </c>
      <c r="M107">
        <v>826</v>
      </c>
    </row>
    <row r="108" spans="4:13" x14ac:dyDescent="0.35">
      <c r="D108">
        <f t="shared" si="14"/>
        <v>2020</v>
      </c>
      <c r="E108" t="s">
        <v>11</v>
      </c>
      <c r="F108" s="8">
        <f t="shared" ca="1" si="12"/>
        <v>0.43950444495619101</v>
      </c>
      <c r="G108">
        <f ca="1">IF($A$1=0,"",ROUND(_xlfn.NORM.INV(טבלה1[[#This Row],[Rand]],A0+Trend*(ROW()-1),Std)*INDEX(SeasonalityTable,Seasonality,MATCH(טבלה1[[#This Row],[Month]],Months,0)),0))</f>
        <v>673</v>
      </c>
      <c r="H108">
        <f t="shared" si="15"/>
        <v>673.25440000000003</v>
      </c>
      <c r="I108">
        <f ca="1">טבלה1[[#This Row],[Demand]]-טבלה1[[#This Row],[est]]</f>
        <v>-0.25440000000003238</v>
      </c>
      <c r="L108" t="s">
        <v>9</v>
      </c>
      <c r="M108">
        <v>705</v>
      </c>
    </row>
    <row r="109" spans="4:13" x14ac:dyDescent="0.35">
      <c r="D109">
        <f t="shared" si="14"/>
        <v>2020</v>
      </c>
      <c r="E109" t="s">
        <v>12</v>
      </c>
      <c r="F109" s="8">
        <f t="shared" ca="1" si="12"/>
        <v>8.1052272829236771E-2</v>
      </c>
      <c r="G109">
        <f ca="1">IF($A$1=0,"",ROUND(_xlfn.NORM.INV(טבלה1[[#This Row],[Rand]],A0+Trend*(ROW()-1),Std)*INDEX(SeasonalityTable,Seasonality,MATCH(טבלה1[[#This Row],[Month]],Months,0)),0))</f>
        <v>765</v>
      </c>
      <c r="H109">
        <f t="shared" si="15"/>
        <v>767.47840000000008</v>
      </c>
      <c r="I109">
        <f ca="1">טבלה1[[#This Row],[Demand]]-טבלה1[[#This Row],[est]]</f>
        <v>-2.4784000000000788</v>
      </c>
      <c r="L109" t="s">
        <v>10</v>
      </c>
      <c r="M109">
        <v>801</v>
      </c>
    </row>
    <row r="110" spans="4:13" x14ac:dyDescent="0.35">
      <c r="D110">
        <f t="shared" si="14"/>
        <v>2021</v>
      </c>
      <c r="E110" t="s">
        <v>13</v>
      </c>
      <c r="F110" s="8">
        <f t="shared" ca="1" si="12"/>
        <v>0.3451346149291068</v>
      </c>
      <c r="G110">
        <f ca="1">IF($A$1=0,"",ROUND(_xlfn.NORM.INV(טבלה1[[#This Row],[Rand]],A0+Trend*(ROW()-1),Std)*INDEX(SeasonalityTable,Seasonality,MATCH(טבלה1[[#This Row],[Month]],Months,0)),0))</f>
        <v>647</v>
      </c>
      <c r="H110">
        <f t="shared" si="15"/>
        <v>647.75040000000001</v>
      </c>
      <c r="I110">
        <f ca="1">טבלה1[[#This Row],[Demand]]-טבלה1[[#This Row],[est]]</f>
        <v>-0.75040000000001328</v>
      </c>
      <c r="L110" t="s">
        <v>11</v>
      </c>
      <c r="M110">
        <v>673</v>
      </c>
    </row>
    <row r="111" spans="4:13" x14ac:dyDescent="0.35">
      <c r="D111">
        <f t="shared" si="14"/>
        <v>2021</v>
      </c>
      <c r="E111" t="s">
        <v>14</v>
      </c>
      <c r="F111" s="8">
        <f t="shared" ca="1" si="12"/>
        <v>0.98730207703251738</v>
      </c>
      <c r="G111">
        <f ca="1">IF($A$1=0,"",ROUND(_xlfn.NORM.INV(טבלה1[[#This Row],[Rand]],A0+Trend*(ROW()-1),Std)*INDEX(SeasonalityTable,Seasonality,MATCH(טבלה1[[#This Row],[Month]],Months,0)),0))</f>
        <v>731</v>
      </c>
      <c r="H111">
        <f t="shared" si="15"/>
        <v>726.85800000000006</v>
      </c>
      <c r="I111">
        <f ca="1">טבלה1[[#This Row],[Demand]]-טבלה1[[#This Row],[est]]</f>
        <v>4.1419999999999391</v>
      </c>
      <c r="L111" t="s">
        <v>12</v>
      </c>
      <c r="M111">
        <v>764</v>
      </c>
    </row>
    <row r="112" spans="4:13" x14ac:dyDescent="0.35">
      <c r="D112">
        <f t="shared" si="14"/>
        <v>2021</v>
      </c>
      <c r="E112" t="s">
        <v>15</v>
      </c>
      <c r="F112" s="8">
        <f t="shared" ca="1" si="12"/>
        <v>0.19991537060284026</v>
      </c>
      <c r="G112">
        <f ca="1">IF($A$1=0,"",ROUND(_xlfn.NORM.INV(טבלה1[[#This Row],[Rand]],A0+Trend*(ROW()-1),Std)*INDEX(SeasonalityTable,Seasonality,MATCH(טבלה1[[#This Row],[Month]],Months,0)),0))</f>
        <v>819</v>
      </c>
      <c r="H112">
        <f t="shared" si="15"/>
        <v>820.19840000000011</v>
      </c>
      <c r="I112">
        <f ca="1">טבלה1[[#This Row],[Demand]]-טבלה1[[#This Row],[est]]</f>
        <v>-1.198400000000106</v>
      </c>
      <c r="K112">
        <v>2021</v>
      </c>
      <c r="L112" t="s">
        <v>13</v>
      </c>
      <c r="M112">
        <v>648</v>
      </c>
    </row>
    <row r="113" spans="4:13" x14ac:dyDescent="0.35">
      <c r="D113">
        <f t="shared" si="14"/>
        <v>2021</v>
      </c>
      <c r="E113" t="s">
        <v>16</v>
      </c>
      <c r="F113" s="8">
        <f t="shared" ca="1" si="12"/>
        <v>0.80550744185379419</v>
      </c>
      <c r="G113">
        <f ca="1">IF($A$1=0,"",ROUND(_xlfn.NORM.INV(טבלה1[[#This Row],[Rand]],A0+Trend*(ROW()-1),Std)*INDEX(SeasonalityTable,Seasonality,MATCH(טבלה1[[#This Row],[Month]],Months,0)),0))</f>
        <v>754</v>
      </c>
      <c r="H113">
        <f t="shared" si="15"/>
        <v>752.35320000000013</v>
      </c>
      <c r="I113">
        <f ca="1">טבלה1[[#This Row],[Demand]]-טבלה1[[#This Row],[est]]</f>
        <v>1.646799999999871</v>
      </c>
      <c r="L113" t="s">
        <v>14</v>
      </c>
      <c r="M113">
        <v>728</v>
      </c>
    </row>
    <row r="114" spans="4:13" x14ac:dyDescent="0.35">
      <c r="D114">
        <f t="shared" si="14"/>
        <v>2021</v>
      </c>
      <c r="E114" t="s">
        <v>5</v>
      </c>
      <c r="F114" s="8">
        <f t="shared" ca="1" si="12"/>
        <v>3.6869784405008876E-2</v>
      </c>
      <c r="G114">
        <f ca="1">IF($A$1=0,"",ROUND(_xlfn.NORM.INV(טבלה1[[#This Row],[Rand]],A0+Trend*(ROW()-1),Std)*INDEX(SeasonalityTable,Seasonality,MATCH(טבלה1[[#This Row],[Month]],Months,0)),0))</f>
        <v>660</v>
      </c>
      <c r="H114">
        <f t="shared" si="15"/>
        <v>662.9896</v>
      </c>
      <c r="I114">
        <f ca="1">טבלה1[[#This Row],[Demand]]-טבלה1[[#This Row],[est]]</f>
        <v>-2.9895999999999958</v>
      </c>
      <c r="L114" t="s">
        <v>15</v>
      </c>
      <c r="M114">
        <v>817</v>
      </c>
    </row>
    <row r="115" spans="4:13" x14ac:dyDescent="0.35">
      <c r="D115">
        <f t="shared" si="14"/>
        <v>2021</v>
      </c>
      <c r="E115" t="s">
        <v>6</v>
      </c>
      <c r="F115" s="8">
        <f t="shared" ca="1" si="12"/>
        <v>0.22634890372837801</v>
      </c>
      <c r="G115">
        <f ca="1">IF($A$1=0,"",ROUND(_xlfn.NORM.INV(טבלה1[[#This Row],[Rand]],A0+Trend*(ROW()-1),Std)*INDEX(SeasonalityTable,Seasonality,MATCH(טבלה1[[#This Row],[Month]],Months,0)),0))</f>
        <v>762</v>
      </c>
      <c r="H115">
        <f t="shared" si="15"/>
        <v>763.01400000000012</v>
      </c>
      <c r="I115">
        <f ca="1">טבלה1[[#This Row],[Demand]]-טבלה1[[#This Row],[est]]</f>
        <v>-1.0140000000001237</v>
      </c>
      <c r="L115" t="s">
        <v>16</v>
      </c>
      <c r="M115">
        <v>750</v>
      </c>
    </row>
    <row r="116" spans="4:13" x14ac:dyDescent="0.35">
      <c r="D116">
        <f t="shared" si="14"/>
        <v>2021</v>
      </c>
      <c r="E116" t="s">
        <v>7</v>
      </c>
      <c r="F116" s="8">
        <f t="shared" ca="1" si="12"/>
        <v>0.49017363027284788</v>
      </c>
      <c r="G116">
        <f ca="1">IF($A$1=0,"",ROUND(_xlfn.NORM.INV(טבלה1[[#This Row],[Rand]],A0+Trend*(ROW()-1),Std)*INDEX(SeasonalityTable,Seasonality,MATCH(טבלה1[[#This Row],[Month]],Months,0)),0))</f>
        <v>674</v>
      </c>
      <c r="H116">
        <f t="shared" si="15"/>
        <v>674.06399999999996</v>
      </c>
      <c r="I116">
        <f ca="1">טבלה1[[#This Row],[Demand]]-טבלה1[[#This Row],[est]]</f>
        <v>-6.399999999996453E-2</v>
      </c>
      <c r="L116" t="s">
        <v>5</v>
      </c>
      <c r="M116">
        <v>664</v>
      </c>
    </row>
    <row r="117" spans="4:13" x14ac:dyDescent="0.35">
      <c r="D117">
        <f t="shared" si="14"/>
        <v>2021</v>
      </c>
      <c r="E117" t="s">
        <v>8</v>
      </c>
      <c r="F117" s="8">
        <f t="shared" ca="1" si="12"/>
        <v>0.52196841466583288</v>
      </c>
      <c r="G117">
        <f ca="1">IF($A$1=0,"",ROUND(_xlfn.NORM.INV(טבלה1[[#This Row],[Rand]],A0+Trend*(ROW()-1),Std)*INDEX(SeasonalityTable,Seasonality,MATCH(טבלה1[[#This Row],[Month]],Months,0)),0))</f>
        <v>803</v>
      </c>
      <c r="H117">
        <f t="shared" si="15"/>
        <v>802.44120000000021</v>
      </c>
      <c r="I117">
        <f ca="1">טבלה1[[#This Row],[Demand]]-טבלה1[[#This Row],[est]]</f>
        <v>0.55879999999979191</v>
      </c>
      <c r="L117" t="s">
        <v>6</v>
      </c>
      <c r="M117">
        <v>763</v>
      </c>
    </row>
    <row r="118" spans="4:13" x14ac:dyDescent="0.35">
      <c r="D118">
        <f t="shared" si="14"/>
        <v>2021</v>
      </c>
      <c r="E118" t="s">
        <v>9</v>
      </c>
      <c r="F118" s="8">
        <f t="shared" ca="1" si="12"/>
        <v>2.0428263287075255E-2</v>
      </c>
      <c r="G118">
        <f ca="1">IF($A$1=0,"",ROUND(_xlfn.NORM.INV(טבלה1[[#This Row],[Rand]],A0+Trend*(ROW()-1),Std)*INDEX(SeasonalityTable,Seasonality,MATCH(טבלה1[[#This Row],[Month]],Months,0)),0))</f>
        <v>682</v>
      </c>
      <c r="H118">
        <f t="shared" si="15"/>
        <v>684.98799999999994</v>
      </c>
      <c r="I118">
        <f ca="1">טבלה1[[#This Row],[Demand]]-טבלה1[[#This Row],[est]]</f>
        <v>-2.9879999999999427</v>
      </c>
      <c r="L118" t="s">
        <v>7</v>
      </c>
      <c r="M118">
        <v>675</v>
      </c>
    </row>
    <row r="119" spans="4:13" x14ac:dyDescent="0.35">
      <c r="D119">
        <f t="shared" si="14"/>
        <v>2021</v>
      </c>
      <c r="E119" t="s">
        <v>10</v>
      </c>
      <c r="F119" s="8">
        <f t="shared" ca="1" si="12"/>
        <v>0.98116360358270904</v>
      </c>
      <c r="G119">
        <f ca="1">IF($A$1=0,"",ROUND(_xlfn.NORM.INV(טבלה1[[#This Row],[Rand]],A0+Trend*(ROW()-1),Std)*INDEX(SeasonalityTable,Seasonality,MATCH(טבלה1[[#This Row],[Month]],Months,0)),0))</f>
        <v>781</v>
      </c>
      <c r="H119">
        <f t="shared" si="15"/>
        <v>776.69280000000015</v>
      </c>
      <c r="I119">
        <f ca="1">טבלה1[[#This Row],[Demand]]-טבלה1[[#This Row],[est]]</f>
        <v>4.3071999999998525</v>
      </c>
      <c r="L119" t="s">
        <v>8</v>
      </c>
      <c r="M119">
        <v>803</v>
      </c>
    </row>
    <row r="120" spans="4:13" x14ac:dyDescent="0.35">
      <c r="D120">
        <f t="shared" si="14"/>
        <v>2021</v>
      </c>
      <c r="E120" t="s">
        <v>11</v>
      </c>
      <c r="F120" s="8">
        <f t="shared" ca="1" si="12"/>
        <v>0.75900440831422666</v>
      </c>
      <c r="G120">
        <f ca="1">IF($A$1=0,"",ROUND(_xlfn.NORM.INV(טבלה1[[#This Row],[Rand]],A0+Trend*(ROW()-1),Std)*INDEX(SeasonalityTable,Seasonality,MATCH(טבלה1[[#This Row],[Month]],Months,0)),0))</f>
        <v>654</v>
      </c>
      <c r="H120">
        <f t="shared" si="15"/>
        <v>652.72479999999996</v>
      </c>
      <c r="I120">
        <f ca="1">טבלה1[[#This Row],[Demand]]-טבלה1[[#This Row],[est]]</f>
        <v>1.2752000000000407</v>
      </c>
      <c r="L120" t="s">
        <v>9</v>
      </c>
      <c r="M120">
        <v>684</v>
      </c>
    </row>
    <row r="121" spans="4:13" x14ac:dyDescent="0.35">
      <c r="D121">
        <f t="shared" si="14"/>
        <v>2021</v>
      </c>
      <c r="E121" t="s">
        <v>12</v>
      </c>
      <c r="F121" s="8">
        <f t="shared" ca="1" si="12"/>
        <v>0.62791143314080433</v>
      </c>
      <c r="G121">
        <f ca="1">IF($A$1=0,"",ROUND(_xlfn.NORM.INV(טבלה1[[#This Row],[Rand]],A0+Trend*(ROW()-1),Std)*INDEX(SeasonalityTable,Seasonality,MATCH(טבלה1[[#This Row],[Month]],Months,0)),0))</f>
        <v>745</v>
      </c>
      <c r="H121">
        <f t="shared" si="15"/>
        <v>744.01599999999996</v>
      </c>
      <c r="I121">
        <f ca="1">טבלה1[[#This Row],[Demand]]-טבלה1[[#This Row],[est]]</f>
        <v>0.98400000000003729</v>
      </c>
      <c r="L121" t="s">
        <v>10</v>
      </c>
      <c r="M121">
        <v>776</v>
      </c>
    </row>
    <row r="122" spans="4:13" x14ac:dyDescent="0.35">
      <c r="L122" t="s">
        <v>11</v>
      </c>
      <c r="M122">
        <v>654</v>
      </c>
    </row>
    <row r="123" spans="4:13" x14ac:dyDescent="0.35">
      <c r="L123" t="s">
        <v>12</v>
      </c>
      <c r="M123">
        <v>745</v>
      </c>
    </row>
  </sheetData>
  <pageMargins left="0.7" right="0.7" top="0.75" bottom="0.75" header="0.3" footer="0.3"/>
  <ignoredErrors>
    <ignoredError sqref="AB3:AB13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ACB8-F967-4BB8-ADB6-5494B3313084}">
  <dimension ref="A1:G20"/>
  <sheetViews>
    <sheetView tabSelected="1" workbookViewId="0">
      <selection sqref="A1:A121"/>
    </sheetView>
  </sheetViews>
  <sheetFormatPr defaultRowHeight="14.5" x14ac:dyDescent="0.35"/>
  <cols>
    <col min="1" max="1" width="5.26953125" bestFit="1" customWidth="1"/>
    <col min="2" max="3" width="4.6328125" bestFit="1" customWidth="1"/>
    <col min="4" max="4" width="8.7265625" style="10"/>
    <col min="5" max="5" width="11.453125" customWidth="1"/>
    <col min="6" max="6" width="8.90625" hidden="1" customWidth="1"/>
    <col min="7" max="7" width="6.453125" hidden="1" customWidth="1"/>
  </cols>
  <sheetData>
    <row r="1" spans="1:7" x14ac:dyDescent="0.35">
      <c r="A1" t="s">
        <v>39</v>
      </c>
      <c r="B1" t="s">
        <v>40</v>
      </c>
      <c r="C1" t="s">
        <v>42</v>
      </c>
      <c r="D1" t="s">
        <v>41</v>
      </c>
      <c r="E1" t="s">
        <v>45</v>
      </c>
      <c r="F1" t="s">
        <v>44</v>
      </c>
      <c r="G1" t="s">
        <v>43</v>
      </c>
    </row>
    <row r="2" spans="1:7" x14ac:dyDescent="0.35">
      <c r="A2" s="5">
        <v>1</v>
      </c>
      <c r="B2" s="5"/>
      <c r="C2" s="5">
        <v>2</v>
      </c>
      <c r="D2" s="10">
        <v>15</v>
      </c>
      <c r="E2" t="s">
        <v>46</v>
      </c>
      <c r="G2">
        <f>IF(טבלה3[[#This Row],[תשובה]]=טבלה3[[#This Row],[פתרון]],טבלה3[[#This Row],[ניקוד]],0)</f>
        <v>0</v>
      </c>
    </row>
    <row r="3" spans="1:7" x14ac:dyDescent="0.35">
      <c r="A3" s="5">
        <v>2</v>
      </c>
      <c r="B3" s="5"/>
      <c r="C3" s="5">
        <v>3</v>
      </c>
      <c r="D3" s="10" t="s">
        <v>73</v>
      </c>
      <c r="E3" t="s">
        <v>47</v>
      </c>
      <c r="G3">
        <f>IF(טבלה3[[#This Row],[תשובה]]=טבלה3[[#This Row],[פתרון]],טבלה3[[#This Row],[ניקוד]],0)</f>
        <v>0</v>
      </c>
    </row>
    <row r="4" spans="1:7" x14ac:dyDescent="0.35">
      <c r="A4" s="5">
        <v>5</v>
      </c>
      <c r="B4" s="5" t="s">
        <v>52</v>
      </c>
      <c r="C4" s="5">
        <v>2</v>
      </c>
      <c r="D4" s="10">
        <v>939.60896400000001</v>
      </c>
      <c r="E4" t="s">
        <v>64</v>
      </c>
      <c r="G4">
        <f>IF(טבלה3[[#This Row],[תשובה]]=טבלה3[[#This Row],[פתרון]],טבלה3[[#This Row],[ניקוד]],0)</f>
        <v>0</v>
      </c>
    </row>
    <row r="5" spans="1:7" x14ac:dyDescent="0.35">
      <c r="A5" s="5">
        <v>5</v>
      </c>
      <c r="B5" s="5" t="s">
        <v>53</v>
      </c>
      <c r="C5" s="5">
        <v>2</v>
      </c>
      <c r="D5" s="10">
        <v>-1.8619939999999999</v>
      </c>
      <c r="E5" t="s">
        <v>64</v>
      </c>
      <c r="G5">
        <f>IF(טבלה3[[#This Row],[תשובה]]=טבלה3[[#This Row],[פתרון]],טבלה3[[#This Row],[ניקוד]],0)</f>
        <v>0</v>
      </c>
    </row>
    <row r="6" spans="1:7" x14ac:dyDescent="0.35">
      <c r="A6" s="5">
        <v>5</v>
      </c>
      <c r="B6" s="5" t="s">
        <v>54</v>
      </c>
      <c r="C6" s="5">
        <v>2</v>
      </c>
      <c r="D6" s="10">
        <v>0.48480000000000001</v>
      </c>
      <c r="E6" t="s">
        <v>64</v>
      </c>
      <c r="G6">
        <f>IF(טבלה3[[#This Row],[תשובה]]=טבלה3[[#This Row],[פתרון]],טבלה3[[#This Row],[ניקוד]],0)</f>
        <v>0</v>
      </c>
    </row>
    <row r="7" spans="1:7" x14ac:dyDescent="0.35">
      <c r="A7" s="5">
        <v>5</v>
      </c>
      <c r="B7" s="5" t="s">
        <v>55</v>
      </c>
      <c r="C7" s="5">
        <v>2</v>
      </c>
      <c r="D7" s="10">
        <v>65.914240000000007</v>
      </c>
      <c r="E7" t="s">
        <v>64</v>
      </c>
      <c r="G7">
        <f>IF(טבלה3[[#This Row],[תשובה]]=טבלה3[[#This Row],[פתרון]],טבלה3[[#This Row],[ניקוד]],0)</f>
        <v>0</v>
      </c>
    </row>
    <row r="8" spans="1:7" x14ac:dyDescent="0.35">
      <c r="A8" s="5">
        <v>7</v>
      </c>
      <c r="B8" s="5" t="s">
        <v>52</v>
      </c>
      <c r="C8" s="5">
        <v>1</v>
      </c>
      <c r="D8" s="10">
        <v>734.05089999999996</v>
      </c>
      <c r="E8" t="s">
        <v>64</v>
      </c>
      <c r="G8">
        <f>IF(טבלה3[[#This Row],[תשובה]]=טבלה3[[#This Row],[פתרון]],טבלה3[[#This Row],[ניקוד]],0)</f>
        <v>0</v>
      </c>
    </row>
    <row r="9" spans="1:7" x14ac:dyDescent="0.35">
      <c r="A9" s="5">
        <v>7</v>
      </c>
      <c r="B9" s="5" t="s">
        <v>53</v>
      </c>
      <c r="C9" s="5">
        <v>1</v>
      </c>
      <c r="D9" s="10">
        <v>722.90309999999999</v>
      </c>
      <c r="E9" t="s">
        <v>64</v>
      </c>
      <c r="G9">
        <f>IF(טבלה3[[#This Row],[תשובה]]=טבלה3[[#This Row],[פתרון]],טבלה3[[#This Row],[ניקוד]],0)</f>
        <v>0</v>
      </c>
    </row>
    <row r="10" spans="1:7" x14ac:dyDescent="0.35">
      <c r="A10" s="5">
        <v>7</v>
      </c>
      <c r="B10" s="5" t="s">
        <v>54</v>
      </c>
      <c r="C10" s="5">
        <v>1</v>
      </c>
      <c r="D10" s="10">
        <v>737.03869999999995</v>
      </c>
      <c r="E10" t="s">
        <v>64</v>
      </c>
      <c r="G10">
        <f>IF(טבלה3[[#This Row],[תשובה]]=טבלה3[[#This Row],[פתרון]],טבלה3[[#This Row],[ניקוד]],0)</f>
        <v>0</v>
      </c>
    </row>
    <row r="11" spans="1:7" x14ac:dyDescent="0.35">
      <c r="A11" s="5">
        <v>7</v>
      </c>
      <c r="B11" s="5" t="s">
        <v>55</v>
      </c>
      <c r="C11" s="5">
        <v>2</v>
      </c>
      <c r="D11" s="10">
        <v>0.1031</v>
      </c>
      <c r="E11" t="s">
        <v>64</v>
      </c>
      <c r="G11">
        <f>IF(טבלה3[[#This Row],[תשובה]]=טבלה3[[#This Row],[פתרון]],טבלה3[[#This Row],[ניקוד]],0)</f>
        <v>0</v>
      </c>
    </row>
    <row r="12" spans="1:7" x14ac:dyDescent="0.35">
      <c r="A12" s="5">
        <v>7</v>
      </c>
      <c r="B12" s="5" t="s">
        <v>56</v>
      </c>
      <c r="C12" s="5">
        <v>3</v>
      </c>
      <c r="D12" s="10">
        <v>71.263000000000005</v>
      </c>
      <c r="E12" t="s">
        <v>64</v>
      </c>
      <c r="G12">
        <f>IF(טבלה3[[#This Row],[תשובה]]=טבלה3[[#This Row],[פתרון]],טבלה3[[#This Row],[ניקוד]],0)</f>
        <v>0</v>
      </c>
    </row>
    <row r="13" spans="1:7" x14ac:dyDescent="0.35">
      <c r="A13" s="5">
        <v>8</v>
      </c>
      <c r="B13" s="5" t="s">
        <v>52</v>
      </c>
      <c r="C13" s="5">
        <v>3</v>
      </c>
      <c r="D13" s="10" t="s">
        <v>75</v>
      </c>
      <c r="E13" t="s">
        <v>64</v>
      </c>
      <c r="G13">
        <f>IF(טבלה3[[#This Row],[תשובה]]=טבלה3[[#This Row],[פתרון]],טבלה3[[#This Row],[ניקוד]],0)</f>
        <v>0</v>
      </c>
    </row>
    <row r="14" spans="1:7" x14ac:dyDescent="0.35">
      <c r="A14" s="5">
        <v>8</v>
      </c>
      <c r="B14" s="5" t="s">
        <v>53</v>
      </c>
      <c r="C14" s="5">
        <v>1</v>
      </c>
      <c r="D14" s="10">
        <v>824.34379999999999</v>
      </c>
      <c r="E14" t="s">
        <v>64</v>
      </c>
      <c r="G14">
        <f>IF(טבלה3[[#This Row],[תשובה]]=טבלה3[[#This Row],[פתרון]],טבלה3[[#This Row],[ניקוד]],0)</f>
        <v>0</v>
      </c>
    </row>
    <row r="15" spans="1:7" x14ac:dyDescent="0.35">
      <c r="A15" s="5">
        <v>8</v>
      </c>
      <c r="B15" s="5" t="s">
        <v>55</v>
      </c>
      <c r="C15" s="5">
        <v>3</v>
      </c>
      <c r="D15" s="10">
        <v>816.53930000000003</v>
      </c>
      <c r="E15" t="s">
        <v>64</v>
      </c>
      <c r="G15">
        <f>IF(טבלה3[[#This Row],[תשובה]]=טבלה3[[#This Row],[פתרון]],טבלה3[[#This Row],[ניקוד]],0)</f>
        <v>0</v>
      </c>
    </row>
    <row r="16" spans="1:7" x14ac:dyDescent="0.35">
      <c r="A16" s="5">
        <v>8</v>
      </c>
      <c r="B16" s="5" t="s">
        <v>56</v>
      </c>
      <c r="C16" s="5">
        <v>5</v>
      </c>
      <c r="D16" s="10">
        <v>3.831</v>
      </c>
      <c r="E16" t="s">
        <v>64</v>
      </c>
      <c r="G16">
        <f>IF(טבלה3[[#This Row],[תשובה]]=טבלה3[[#This Row],[פתרון]],טבלה3[[#This Row],[ניקוד]],0)</f>
        <v>0</v>
      </c>
    </row>
    <row r="17" spans="1:7" x14ac:dyDescent="0.35">
      <c r="A17" s="5">
        <v>9</v>
      </c>
      <c r="B17" s="5" t="s">
        <v>53</v>
      </c>
      <c r="C17" s="5">
        <v>2</v>
      </c>
      <c r="D17" s="10">
        <v>400</v>
      </c>
      <c r="E17" t="s">
        <v>46</v>
      </c>
      <c r="G17">
        <f>IF(טבלה3[[#This Row],[תשובה]]=טבלה3[[#This Row],[פתרון]],טבלה3[[#This Row],[ניקוד]],0)</f>
        <v>0</v>
      </c>
    </row>
    <row r="18" spans="1:7" x14ac:dyDescent="0.35">
      <c r="A18" s="5">
        <v>9</v>
      </c>
      <c r="B18" s="5" t="s">
        <v>54</v>
      </c>
      <c r="C18" s="5">
        <v>2</v>
      </c>
      <c r="D18" s="10">
        <v>25.203700000000001</v>
      </c>
      <c r="E18" t="s">
        <v>64</v>
      </c>
      <c r="G18">
        <f>IF(טבלה3[[#This Row],[תשובה]]=טבלה3[[#This Row],[פתרון]],טבלה3[[#This Row],[ניקוד]],0)</f>
        <v>0</v>
      </c>
    </row>
    <row r="19" spans="1:7" x14ac:dyDescent="0.35">
      <c r="A19" s="5">
        <v>9</v>
      </c>
      <c r="B19" s="5" t="s">
        <v>55</v>
      </c>
      <c r="C19" s="5">
        <v>2</v>
      </c>
      <c r="D19" s="10" t="s">
        <v>76</v>
      </c>
      <c r="E19" s="5" t="s">
        <v>69</v>
      </c>
      <c r="G19">
        <f>IF(טבלה3[[#This Row],[תשובה]]=טבלה3[[#This Row],[פתרון]],טבלה3[[#This Row],[ניקוד]],0)</f>
        <v>0</v>
      </c>
    </row>
    <row r="20" spans="1:7" x14ac:dyDescent="0.35">
      <c r="A20" s="5">
        <v>9</v>
      </c>
      <c r="B20" s="5" t="s">
        <v>65</v>
      </c>
      <c r="C20" s="5">
        <v>2</v>
      </c>
      <c r="D20" s="10" t="s">
        <v>77</v>
      </c>
      <c r="E20" t="s">
        <v>68</v>
      </c>
      <c r="G20">
        <f>IF(טבלה3[[#This Row],[תשובה]]=טבלה3[[#This Row],[פתרון]],טבלה3[[#This Row],[ניקוד]],0)</f>
        <v>0</v>
      </c>
    </row>
  </sheetData>
  <sheetProtection algorithmName="SHA-512" hashValue="NqOGUcSWECrlC9caTVlbh3OYFlPqN6JrLBVAj6F9JwlANE6X6DW4pN7DW7unCnU8T6fne+RUkcq7VWLiOoP0jg==" saltValue="43RSVtrivlXNslFUnMKJLQ==" spinCount="100000" sheet="1" objects="1" scenarios="1" selectLockedCells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CC19-FDC4-4583-9268-FA76898A89E6}">
  <dimension ref="A1:H139"/>
  <sheetViews>
    <sheetView tabSelected="1" zoomScale="85" zoomScaleNormal="85" workbookViewId="0">
      <pane ySplit="1" topLeftCell="A2" activePane="bottomLeft" state="frozen"/>
      <selection sqref="A1:A121"/>
      <selection pane="bottomLeft" sqref="A1:A121"/>
    </sheetView>
  </sheetViews>
  <sheetFormatPr defaultColWidth="8.7265625" defaultRowHeight="14.5" x14ac:dyDescent="0.35"/>
  <cols>
    <col min="1" max="1" width="13.7265625" style="10" customWidth="1"/>
    <col min="2" max="16384" width="8.7265625" style="10"/>
  </cols>
  <sheetData>
    <row r="1" spans="1:8" ht="36" customHeight="1" x14ac:dyDescent="0.35">
      <c r="A1" s="13" t="s">
        <v>72</v>
      </c>
      <c r="B1" s="13"/>
      <c r="C1" s="13"/>
      <c r="D1" s="13"/>
      <c r="E1" s="13"/>
      <c r="F1" s="13"/>
      <c r="G1" s="13"/>
      <c r="H1" s="13"/>
    </row>
    <row r="3" spans="1:8" ht="18.5" x14ac:dyDescent="0.45">
      <c r="A3" s="11" t="s">
        <v>48</v>
      </c>
      <c r="C3" s="12"/>
    </row>
    <row r="4" spans="1:8" x14ac:dyDescent="0.35">
      <c r="A4" t="s">
        <v>60</v>
      </c>
    </row>
    <row r="18" spans="1:3" ht="18.5" x14ac:dyDescent="0.45">
      <c r="A18" s="11" t="s">
        <v>49</v>
      </c>
      <c r="C18" s="12"/>
    </row>
    <row r="19" spans="1:3" x14ac:dyDescent="0.35">
      <c r="A19" t="s">
        <v>61</v>
      </c>
    </row>
    <row r="20" spans="1:3" x14ac:dyDescent="0.35">
      <c r="A20"/>
    </row>
    <row r="33" spans="1:3" ht="18.5" x14ac:dyDescent="0.45">
      <c r="A33" s="11" t="s">
        <v>50</v>
      </c>
      <c r="C33" s="12"/>
    </row>
    <row r="34" spans="1:3" x14ac:dyDescent="0.35">
      <c r="A34" t="s">
        <v>62</v>
      </c>
    </row>
    <row r="48" spans="1:3" ht="18.5" x14ac:dyDescent="0.45">
      <c r="A48" s="11" t="s">
        <v>51</v>
      </c>
      <c r="C48" s="12"/>
    </row>
    <row r="49" spans="1:3" x14ac:dyDescent="0.35">
      <c r="A49" t="s">
        <v>60</v>
      </c>
    </row>
    <row r="63" spans="1:3" ht="18.5" x14ac:dyDescent="0.45">
      <c r="A63" s="11" t="s">
        <v>57</v>
      </c>
      <c r="C63" s="12"/>
    </row>
    <row r="64" spans="1:3" x14ac:dyDescent="0.35">
      <c r="A64" t="s">
        <v>61</v>
      </c>
    </row>
    <row r="78" spans="1:3" ht="18.5" x14ac:dyDescent="0.45">
      <c r="A78" s="11" t="s">
        <v>58</v>
      </c>
      <c r="C78" s="12"/>
    </row>
    <row r="79" spans="1:3" x14ac:dyDescent="0.35">
      <c r="A79" t="s">
        <v>63</v>
      </c>
    </row>
    <row r="93" spans="1:3" ht="18.5" x14ac:dyDescent="0.45">
      <c r="A93" s="11" t="s">
        <v>59</v>
      </c>
      <c r="C93" s="12"/>
    </row>
    <row r="94" spans="1:3" x14ac:dyDescent="0.35">
      <c r="A94" t="s">
        <v>62</v>
      </c>
    </row>
    <row r="108" spans="1:3" ht="18.5" x14ac:dyDescent="0.45">
      <c r="A108" s="11" t="s">
        <v>66</v>
      </c>
      <c r="C108" s="12"/>
    </row>
    <row r="109" spans="1:3" x14ac:dyDescent="0.35">
      <c r="A109" t="s">
        <v>67</v>
      </c>
    </row>
    <row r="113" spans="1:5" x14ac:dyDescent="0.35">
      <c r="E113" s="10" t="s">
        <v>74</v>
      </c>
    </row>
    <row r="123" spans="1:5" ht="18.5" x14ac:dyDescent="0.45">
      <c r="A123" s="11" t="s">
        <v>70</v>
      </c>
      <c r="C123" s="12"/>
    </row>
    <row r="124" spans="1:5" x14ac:dyDescent="0.35">
      <c r="A124" t="s">
        <v>60</v>
      </c>
    </row>
    <row r="138" spans="1:3" ht="18.5" x14ac:dyDescent="0.45">
      <c r="A138" s="11" t="s">
        <v>71</v>
      </c>
      <c r="C138" s="12"/>
    </row>
    <row r="139" spans="1:3" x14ac:dyDescent="0.35">
      <c r="A139" t="s">
        <v>63</v>
      </c>
    </row>
  </sheetData>
  <sheetProtection algorithmName="SHA-512" hashValue="rP34wg3rXLvGmL8EXpqWMJnqJpEHdWuxKJLrGQqjxap2Y4mB5U09oQJNV4+1IX+uL00idrHck36/EhbD6Uq4UQ==" saltValue="VqevAQSJbzUuSfnZVmKsuQ==" spinCount="100000" sheet="1" scenarios="1" formatCells="0" formatColumns="0" formatRows="0" insertColumns="0" insertRows="0" selectLockedCells="1"/>
  <mergeCells count="1">
    <mergeCell ref="A1:H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511-3370-497A-B1FE-D06D5848EB8F}">
  <dimension ref="A1:D121"/>
  <sheetViews>
    <sheetView workbookViewId="0">
      <selection activeCell="D20" sqref="D20"/>
    </sheetView>
  </sheetViews>
  <sheetFormatPr defaultRowHeight="14.5" x14ac:dyDescent="0.35"/>
  <cols>
    <col min="1" max="1" width="4.7265625" customWidth="1"/>
    <col min="2" max="2" width="9.08984375" customWidth="1"/>
    <col min="3" max="3" width="9.90625" customWidth="1"/>
  </cols>
  <sheetData>
    <row r="1" spans="1:4" x14ac:dyDescent="0.35">
      <c r="A1" s="5" t="s">
        <v>25</v>
      </c>
      <c r="B1" s="5" t="s">
        <v>24</v>
      </c>
      <c r="C1" s="5" t="s">
        <v>4</v>
      </c>
      <c r="D1" s="5" t="s">
        <v>26</v>
      </c>
    </row>
    <row r="2" spans="1:4" x14ac:dyDescent="0.35">
      <c r="A2">
        <v>1</v>
      </c>
      <c r="B2" s="6">
        <f>טבלה2[[#This Row],[Demand]]/טבלה2[[#This Row],[S]]*(טבלה2[[#This Row],[S]]-1)</f>
        <v>94.911504424778684</v>
      </c>
      <c r="C2">
        <f>Admin!M4</f>
        <v>825</v>
      </c>
      <c r="D2">
        <v>1.1299999999999999</v>
      </c>
    </row>
    <row r="3" spans="1:4" x14ac:dyDescent="0.35">
      <c r="A3">
        <v>2</v>
      </c>
      <c r="B3" s="6">
        <f>טבלה2[[#This Row],[Demand]]/טבלה2[[#This Row],[S]]*(טבלה2[[#This Row],[S]]-1)</f>
        <v>-151.06976744186048</v>
      </c>
      <c r="C3">
        <f>Admin!M5</f>
        <v>928</v>
      </c>
      <c r="D3">
        <v>0.86</v>
      </c>
    </row>
    <row r="4" spans="1:4" x14ac:dyDescent="0.35">
      <c r="A4">
        <v>3</v>
      </c>
      <c r="B4" s="6">
        <f>טבלה2[[#This Row],[Demand]]/טבלה2[[#This Row],[S]]*(טבלה2[[#This Row],[S]]-1)</f>
        <v>136.69565217391298</v>
      </c>
      <c r="C4">
        <f>Admin!M6</f>
        <v>1048</v>
      </c>
      <c r="D4">
        <v>1.1499999999999999</v>
      </c>
    </row>
    <row r="5" spans="1:4" x14ac:dyDescent="0.35">
      <c r="A5">
        <v>4</v>
      </c>
      <c r="B5" s="6">
        <f>טבלה2[[#This Row],[Demand]]/טבלה2[[#This Row],[S]]*(טבלה2[[#This Row],[S]]-1)</f>
        <v>-156.44186046511632</v>
      </c>
      <c r="C5">
        <f>Admin!M7</f>
        <v>961</v>
      </c>
      <c r="D5">
        <v>0.86</v>
      </c>
    </row>
    <row r="6" spans="1:4" x14ac:dyDescent="0.35">
      <c r="A6">
        <v>5</v>
      </c>
      <c r="B6" s="6">
        <f>טבלה2[[#This Row],[Demand]]/טבלה2[[#This Row],[S]]*(טבלה2[[#This Row],[S]]-1)</f>
        <v>77.272727272727337</v>
      </c>
      <c r="C6">
        <f>Admin!M8</f>
        <v>850</v>
      </c>
      <c r="D6">
        <v>1.1000000000000001</v>
      </c>
    </row>
    <row r="7" spans="1:4" x14ac:dyDescent="0.35">
      <c r="A7">
        <v>6</v>
      </c>
      <c r="B7" s="6">
        <f>טבלה2[[#This Row],[Demand]]/טבלה2[[#This Row],[S]]*(טבלה2[[#This Row],[S]]-1)</f>
        <v>-108.66666666666666</v>
      </c>
      <c r="C7">
        <f>Admin!M9</f>
        <v>978</v>
      </c>
      <c r="D7">
        <v>0.9</v>
      </c>
    </row>
    <row r="8" spans="1:4" x14ac:dyDescent="0.35">
      <c r="A8">
        <v>7</v>
      </c>
      <c r="B8" s="6">
        <f>טבלה2[[#This Row],[Demand]]/טבלה2[[#This Row],[S]]*(טבלה2[[#This Row],[S]]-1)</f>
        <v>16.90196078431374</v>
      </c>
      <c r="C8">
        <f>Admin!M10</f>
        <v>862</v>
      </c>
      <c r="D8">
        <v>1.02</v>
      </c>
    </row>
    <row r="9" spans="1:4" x14ac:dyDescent="0.35">
      <c r="A9">
        <v>8</v>
      </c>
      <c r="B9" s="6">
        <f>טבלה2[[#This Row],[Demand]]/טבלה2[[#This Row],[S]]*(טבלה2[[#This Row],[S]]-1)</f>
        <v>133.69565217391298</v>
      </c>
      <c r="C9">
        <f>Admin!M11</f>
        <v>1025</v>
      </c>
      <c r="D9">
        <v>1.1499999999999999</v>
      </c>
    </row>
    <row r="10" spans="1:4" x14ac:dyDescent="0.35">
      <c r="A10">
        <v>9</v>
      </c>
      <c r="B10" s="6">
        <f>טבלה2[[#This Row],[Demand]]/טבלה2[[#This Row],[S]]*(טבלה2[[#This Row],[S]]-1)</f>
        <v>-154.76470588235296</v>
      </c>
      <c r="C10">
        <f>Admin!M12</f>
        <v>877</v>
      </c>
      <c r="D10">
        <v>0.85</v>
      </c>
    </row>
    <row r="11" spans="1:4" x14ac:dyDescent="0.35">
      <c r="A11">
        <v>10</v>
      </c>
      <c r="B11" s="6">
        <f>טבלה2[[#This Row],[Demand]]/טבלה2[[#This Row],[S]]*(טבלה2[[#This Row],[S]]-1)</f>
        <v>47.476190476190517</v>
      </c>
      <c r="C11">
        <f>Admin!M13</f>
        <v>997</v>
      </c>
      <c r="D11">
        <v>1.05</v>
      </c>
    </row>
    <row r="12" spans="1:4" x14ac:dyDescent="0.35">
      <c r="A12">
        <v>11</v>
      </c>
      <c r="B12" s="6">
        <f>טבלה2[[#This Row],[Demand]]/טבלה2[[#This Row],[S]]*(טבלה2[[#This Row],[S]]-1)</f>
        <v>-103.44943820224718</v>
      </c>
      <c r="C12">
        <f>Admin!M14</f>
        <v>837</v>
      </c>
      <c r="D12">
        <v>0.89</v>
      </c>
    </row>
    <row r="13" spans="1:4" x14ac:dyDescent="0.35">
      <c r="A13">
        <v>12</v>
      </c>
      <c r="B13" s="6">
        <f>טבלה2[[#This Row],[Demand]]/טבלה2[[#This Row],[S]]*(טבלה2[[#This Row],[S]]-1)</f>
        <v>36.769230769230802</v>
      </c>
      <c r="C13">
        <f>Admin!M15</f>
        <v>956</v>
      </c>
      <c r="D13">
        <v>1.04</v>
      </c>
    </row>
    <row r="14" spans="1:4" x14ac:dyDescent="0.35">
      <c r="A14">
        <v>13</v>
      </c>
      <c r="B14" s="6">
        <f>טבלה2[[#This Row],[Demand]]/טבלה2[[#This Row],[S]]*(טבלה2[[#This Row],[S]]-1)</f>
        <v>92.840707964601705</v>
      </c>
      <c r="C14">
        <f>Admin!M16</f>
        <v>807</v>
      </c>
      <c r="D14">
        <v>1.1299999999999999</v>
      </c>
    </row>
    <row r="15" spans="1:4" x14ac:dyDescent="0.35">
      <c r="A15">
        <v>14</v>
      </c>
      <c r="B15" s="6">
        <f>טבלה2[[#This Row],[Demand]]/טבלה2[[#This Row],[S]]*(טבלה2[[#This Row],[S]]-1)</f>
        <v>-147.32558139534885</v>
      </c>
      <c r="C15">
        <f>Admin!M17</f>
        <v>905</v>
      </c>
      <c r="D15">
        <v>0.86</v>
      </c>
    </row>
    <row r="16" spans="1:4" x14ac:dyDescent="0.35">
      <c r="A16">
        <v>15</v>
      </c>
      <c r="B16" s="6">
        <f>טבלה2[[#This Row],[Demand]]/טבלה2[[#This Row],[S]]*(טבלה2[[#This Row],[S]]-1)</f>
        <v>133.30434782608688</v>
      </c>
      <c r="C16">
        <f>Admin!M18</f>
        <v>1022</v>
      </c>
      <c r="D16">
        <v>1.1499999999999999</v>
      </c>
    </row>
    <row r="17" spans="1:4" x14ac:dyDescent="0.35">
      <c r="A17">
        <v>16</v>
      </c>
      <c r="B17" s="6">
        <f>טבלה2[[#This Row],[Demand]]/טבלה2[[#This Row],[S]]*(טבלה2[[#This Row],[S]]-1)</f>
        <v>-153.02325581395351</v>
      </c>
      <c r="C17">
        <f>Admin!M19</f>
        <v>940</v>
      </c>
      <c r="D17">
        <v>0.86</v>
      </c>
    </row>
    <row r="18" spans="1:4" x14ac:dyDescent="0.35">
      <c r="A18">
        <v>17</v>
      </c>
      <c r="B18" s="6">
        <f>טבלה2[[#This Row],[Demand]]/טבלה2[[#This Row],[S]]*(טבלה2[[#This Row],[S]]-1)</f>
        <v>75.09090909090915</v>
      </c>
      <c r="C18">
        <f>Admin!M20</f>
        <v>826</v>
      </c>
      <c r="D18">
        <v>1.1000000000000001</v>
      </c>
    </row>
    <row r="19" spans="1:4" x14ac:dyDescent="0.35">
      <c r="A19">
        <v>18</v>
      </c>
      <c r="B19" s="6">
        <f>טבלה2[[#This Row],[Demand]]/טבלה2[[#This Row],[S]]*(טבלה2[[#This Row],[S]]-1)</f>
        <v>-105.99999999999997</v>
      </c>
      <c r="C19">
        <f>Admin!M21</f>
        <v>954</v>
      </c>
      <c r="D19">
        <v>0.9</v>
      </c>
    </row>
    <row r="20" spans="1:4" x14ac:dyDescent="0.35">
      <c r="A20">
        <v>19</v>
      </c>
      <c r="B20" s="6">
        <f>טבלה2[[#This Row],[Demand]]/טבלה2[[#This Row],[S]]*(טבלה2[[#This Row],[S]]-1)</f>
        <v>16.509803921568643</v>
      </c>
      <c r="C20">
        <f>Admin!M22</f>
        <v>842</v>
      </c>
      <c r="D20">
        <v>1.02</v>
      </c>
    </row>
    <row r="21" spans="1:4" x14ac:dyDescent="0.35">
      <c r="A21">
        <v>20</v>
      </c>
      <c r="B21" s="6">
        <f>טבלה2[[#This Row],[Demand]]/טבלה2[[#This Row],[S]]*(טבלה2[[#This Row],[S]]-1)</f>
        <v>130.95652173913035</v>
      </c>
      <c r="C21">
        <f>Admin!M23</f>
        <v>1004</v>
      </c>
      <c r="D21">
        <v>1.1499999999999999</v>
      </c>
    </row>
    <row r="22" spans="1:4" x14ac:dyDescent="0.35">
      <c r="A22">
        <v>21</v>
      </c>
      <c r="B22" s="6">
        <f>טבלה2[[#This Row],[Demand]]/טבלה2[[#This Row],[S]]*(טבלה2[[#This Row],[S]]-1)</f>
        <v>-151.23529411764707</v>
      </c>
      <c r="C22">
        <f>Admin!M24</f>
        <v>857</v>
      </c>
      <c r="D22">
        <v>0.85</v>
      </c>
    </row>
    <row r="23" spans="1:4" x14ac:dyDescent="0.35">
      <c r="A23">
        <v>22</v>
      </c>
      <c r="B23" s="6">
        <f>טבלה2[[#This Row],[Demand]]/טבלה2[[#This Row],[S]]*(טבלה2[[#This Row],[S]]-1)</f>
        <v>46.285714285714327</v>
      </c>
      <c r="C23">
        <f>Admin!M25</f>
        <v>972</v>
      </c>
      <c r="D23">
        <v>1.05</v>
      </c>
    </row>
    <row r="24" spans="1:4" x14ac:dyDescent="0.35">
      <c r="A24">
        <v>23</v>
      </c>
      <c r="B24" s="6">
        <f>טבלה2[[#This Row],[Demand]]/טבלה2[[#This Row],[S]]*(טבלה2[[#This Row],[S]]-1)</f>
        <v>-101.1011235955056</v>
      </c>
      <c r="C24">
        <f>Admin!M26</f>
        <v>818</v>
      </c>
      <c r="D24">
        <v>0.89</v>
      </c>
    </row>
    <row r="25" spans="1:4" x14ac:dyDescent="0.35">
      <c r="A25">
        <v>24</v>
      </c>
      <c r="B25" s="6">
        <f>טבלה2[[#This Row],[Demand]]/טבלה2[[#This Row],[S]]*(טבלה2[[#This Row],[S]]-1)</f>
        <v>35.846153846153875</v>
      </c>
      <c r="C25">
        <f>Admin!M27</f>
        <v>932</v>
      </c>
      <c r="D25">
        <v>1.04</v>
      </c>
    </row>
    <row r="26" spans="1:4" x14ac:dyDescent="0.35">
      <c r="A26">
        <v>25</v>
      </c>
      <c r="B26" s="6">
        <f>טבלה2[[#This Row],[Demand]]/טבלה2[[#This Row],[S]]*(טבלה2[[#This Row],[S]]-1)</f>
        <v>90.424778761061873</v>
      </c>
      <c r="C26">
        <f>Admin!M28</f>
        <v>786</v>
      </c>
      <c r="D26">
        <v>1.1299999999999999</v>
      </c>
    </row>
    <row r="27" spans="1:4" x14ac:dyDescent="0.35">
      <c r="A27">
        <v>26</v>
      </c>
      <c r="B27" s="6">
        <f>טבלה2[[#This Row],[Demand]]/טבלה2[[#This Row],[S]]*(טבלה2[[#This Row],[S]]-1)</f>
        <v>-143.90697674418607</v>
      </c>
      <c r="C27">
        <f>Admin!M29</f>
        <v>884</v>
      </c>
      <c r="D27">
        <v>0.86</v>
      </c>
    </row>
    <row r="28" spans="1:4" x14ac:dyDescent="0.35">
      <c r="A28">
        <v>27</v>
      </c>
      <c r="B28" s="6">
        <f>טבלה2[[#This Row],[Demand]]/טבלה2[[#This Row],[S]]*(טבלה2[[#This Row],[S]]-1)</f>
        <v>129.7826086956521</v>
      </c>
      <c r="C28">
        <f>Admin!M30</f>
        <v>995</v>
      </c>
      <c r="D28">
        <v>1.1499999999999999</v>
      </c>
    </row>
    <row r="29" spans="1:4" x14ac:dyDescent="0.35">
      <c r="A29">
        <v>28</v>
      </c>
      <c r="B29" s="6">
        <f>טבלה2[[#This Row],[Demand]]/טבלה2[[#This Row],[S]]*(טבלה2[[#This Row],[S]]-1)</f>
        <v>-148.95348837209303</v>
      </c>
      <c r="C29">
        <f>Admin!M31</f>
        <v>915</v>
      </c>
      <c r="D29">
        <v>0.86</v>
      </c>
    </row>
    <row r="30" spans="1:4" x14ac:dyDescent="0.35">
      <c r="A30">
        <v>29</v>
      </c>
      <c r="B30" s="6">
        <f>טבלה2[[#This Row],[Demand]]/טבלה2[[#This Row],[S]]*(טבלה2[[#This Row],[S]]-1)</f>
        <v>73.272727272727323</v>
      </c>
      <c r="C30">
        <f>Admin!M32</f>
        <v>806</v>
      </c>
      <c r="D30">
        <v>1.1000000000000001</v>
      </c>
    </row>
    <row r="31" spans="1:4" x14ac:dyDescent="0.35">
      <c r="A31">
        <v>30</v>
      </c>
      <c r="B31" s="6">
        <f>טבלה2[[#This Row],[Demand]]/טבלה2[[#This Row],[S]]*(טבלה2[[#This Row],[S]]-1)</f>
        <v>-103.3333333333333</v>
      </c>
      <c r="C31">
        <f>Admin!M33</f>
        <v>930</v>
      </c>
      <c r="D31">
        <v>0.9</v>
      </c>
    </row>
    <row r="32" spans="1:4" x14ac:dyDescent="0.35">
      <c r="A32">
        <v>31</v>
      </c>
      <c r="B32" s="6">
        <f>טבלה2[[#This Row],[Demand]]/טבלה2[[#This Row],[S]]*(טבלה2[[#This Row],[S]]-1)</f>
        <v>16.098039215686288</v>
      </c>
      <c r="C32">
        <f>Admin!M34</f>
        <v>821</v>
      </c>
      <c r="D32">
        <v>1.02</v>
      </c>
    </row>
    <row r="33" spans="1:4" x14ac:dyDescent="0.35">
      <c r="A33">
        <v>32</v>
      </c>
      <c r="B33" s="6">
        <f>טבלה2[[#This Row],[Demand]]/טבלה2[[#This Row],[S]]*(טבלה2[[#This Row],[S]]-1)</f>
        <v>127.56521739130429</v>
      </c>
      <c r="C33">
        <f>Admin!M35</f>
        <v>978</v>
      </c>
      <c r="D33">
        <v>1.1499999999999999</v>
      </c>
    </row>
    <row r="34" spans="1:4" x14ac:dyDescent="0.35">
      <c r="A34">
        <v>33</v>
      </c>
      <c r="B34" s="6">
        <f>טבלה2[[#This Row],[Demand]]/טבלה2[[#This Row],[S]]*(טבלה2[[#This Row],[S]]-1)</f>
        <v>-147.70588235294122</v>
      </c>
      <c r="C34">
        <f>Admin!M36</f>
        <v>837</v>
      </c>
      <c r="D34">
        <v>0.85</v>
      </c>
    </row>
    <row r="35" spans="1:4" x14ac:dyDescent="0.35">
      <c r="A35">
        <v>34</v>
      </c>
      <c r="B35" s="6">
        <f>טבלה2[[#This Row],[Demand]]/טבלה2[[#This Row],[S]]*(טבלה2[[#This Row],[S]]-1)</f>
        <v>45.09523809523813</v>
      </c>
      <c r="C35">
        <f>Admin!M37</f>
        <v>947</v>
      </c>
      <c r="D35">
        <v>1.05</v>
      </c>
    </row>
    <row r="36" spans="1:4" x14ac:dyDescent="0.35">
      <c r="A36">
        <v>35</v>
      </c>
      <c r="B36" s="6">
        <f>טבלה2[[#This Row],[Demand]]/טבלה2[[#This Row],[S]]*(טבלה2[[#This Row],[S]]-1)</f>
        <v>-98.505617977528075</v>
      </c>
      <c r="C36">
        <f>Admin!M38</f>
        <v>797</v>
      </c>
      <c r="D36">
        <v>0.89</v>
      </c>
    </row>
    <row r="37" spans="1:4" x14ac:dyDescent="0.35">
      <c r="A37">
        <v>36</v>
      </c>
      <c r="B37" s="6">
        <f>טבלה2[[#This Row],[Demand]]/טבלה2[[#This Row],[S]]*(טבלה2[[#This Row],[S]]-1)</f>
        <v>35.038461538461569</v>
      </c>
      <c r="C37">
        <f>Admin!M39</f>
        <v>911</v>
      </c>
      <c r="D37">
        <v>1.04</v>
      </c>
    </row>
    <row r="38" spans="1:4" x14ac:dyDescent="0.35">
      <c r="A38">
        <v>37</v>
      </c>
      <c r="B38" s="6">
        <f>טבלה2[[#This Row],[Demand]]/טבלה2[[#This Row],[S]]*(טבלה2[[#This Row],[S]]-1)</f>
        <v>87.778761061946838</v>
      </c>
      <c r="C38">
        <f>Admin!M40</f>
        <v>763</v>
      </c>
      <c r="D38">
        <v>1.1299999999999999</v>
      </c>
    </row>
    <row r="39" spans="1:4" x14ac:dyDescent="0.35">
      <c r="A39">
        <v>38</v>
      </c>
      <c r="B39" s="6">
        <f>טבלה2[[#This Row],[Demand]]/טבלה2[[#This Row],[S]]*(טבלה2[[#This Row],[S]]-1)</f>
        <v>-140</v>
      </c>
      <c r="C39">
        <f>Admin!M41</f>
        <v>860</v>
      </c>
      <c r="D39">
        <v>0.86</v>
      </c>
    </row>
    <row r="40" spans="1:4" x14ac:dyDescent="0.35">
      <c r="A40">
        <v>39</v>
      </c>
      <c r="B40" s="6">
        <f>טבלה2[[#This Row],[Demand]]/טבלה2[[#This Row],[S]]*(טבלה2[[#This Row],[S]]-1)</f>
        <v>126.7826086956521</v>
      </c>
      <c r="C40">
        <f>Admin!M42</f>
        <v>972</v>
      </c>
      <c r="D40">
        <v>1.1499999999999999</v>
      </c>
    </row>
    <row r="41" spans="1:4" x14ac:dyDescent="0.35">
      <c r="A41">
        <v>40</v>
      </c>
      <c r="B41" s="6">
        <f>טבלה2[[#This Row],[Demand]]/טבלה2[[#This Row],[S]]*(טבלה2[[#This Row],[S]]-1)</f>
        <v>-144.88372093023258</v>
      </c>
      <c r="C41">
        <f>Admin!M43</f>
        <v>890</v>
      </c>
      <c r="D41">
        <v>0.86</v>
      </c>
    </row>
    <row r="42" spans="1:4" x14ac:dyDescent="0.35">
      <c r="A42">
        <v>41</v>
      </c>
      <c r="B42" s="6">
        <f>טבלה2[[#This Row],[Demand]]/טבלה2[[#This Row],[S]]*(טבלה2[[#This Row],[S]]-1)</f>
        <v>71.45454545454551</v>
      </c>
      <c r="C42">
        <f>Admin!M44</f>
        <v>786</v>
      </c>
      <c r="D42">
        <v>1.1000000000000001</v>
      </c>
    </row>
    <row r="43" spans="1:4" x14ac:dyDescent="0.35">
      <c r="A43">
        <v>42</v>
      </c>
      <c r="B43" s="6">
        <f>טבלה2[[#This Row],[Demand]]/טבלה2[[#This Row],[S]]*(טבלה2[[#This Row],[S]]-1)</f>
        <v>-100.55555555555553</v>
      </c>
      <c r="C43">
        <f>Admin!M45</f>
        <v>905</v>
      </c>
      <c r="D43">
        <v>0.9</v>
      </c>
    </row>
    <row r="44" spans="1:4" x14ac:dyDescent="0.35">
      <c r="A44">
        <v>43</v>
      </c>
      <c r="B44" s="6">
        <f>טבלה2[[#This Row],[Demand]]/טבלה2[[#This Row],[S]]*(טבלה2[[#This Row],[S]]-1)</f>
        <v>15.686274509803935</v>
      </c>
      <c r="C44">
        <f>Admin!M46</f>
        <v>800</v>
      </c>
      <c r="D44">
        <v>1.02</v>
      </c>
    </row>
    <row r="45" spans="1:4" x14ac:dyDescent="0.35">
      <c r="A45">
        <v>44</v>
      </c>
      <c r="B45" s="6">
        <f>טבלה2[[#This Row],[Demand]]/טבלה2[[#This Row],[S]]*(טבלה2[[#This Row],[S]]-1)</f>
        <v>124.04347826086951</v>
      </c>
      <c r="C45">
        <f>Admin!M47</f>
        <v>951</v>
      </c>
      <c r="D45">
        <v>1.1499999999999999</v>
      </c>
    </row>
    <row r="46" spans="1:4" x14ac:dyDescent="0.35">
      <c r="A46">
        <v>45</v>
      </c>
      <c r="B46" s="6">
        <f>טבלה2[[#This Row],[Demand]]/טבלה2[[#This Row],[S]]*(טבלה2[[#This Row],[S]]-1)</f>
        <v>-143.29411764705887</v>
      </c>
      <c r="C46">
        <f>Admin!M48</f>
        <v>812</v>
      </c>
      <c r="D46">
        <v>0.85</v>
      </c>
    </row>
    <row r="47" spans="1:4" x14ac:dyDescent="0.35">
      <c r="A47">
        <v>46</v>
      </c>
      <c r="B47" s="6">
        <f>טבלה2[[#This Row],[Demand]]/טבלה2[[#This Row],[S]]*(טבלה2[[#This Row],[S]]-1)</f>
        <v>44.000000000000043</v>
      </c>
      <c r="C47">
        <f>Admin!M49</f>
        <v>924</v>
      </c>
      <c r="D47">
        <v>1.05</v>
      </c>
    </row>
    <row r="48" spans="1:4" x14ac:dyDescent="0.35">
      <c r="A48">
        <v>47</v>
      </c>
      <c r="B48" s="6">
        <f>טבלה2[[#This Row],[Demand]]/טבלה2[[#This Row],[S]]*(טבלה2[[#This Row],[S]]-1)</f>
        <v>-96.280898876404493</v>
      </c>
      <c r="C48">
        <f>Admin!M50</f>
        <v>779</v>
      </c>
      <c r="D48">
        <v>0.89</v>
      </c>
    </row>
    <row r="49" spans="1:4" x14ac:dyDescent="0.35">
      <c r="A49">
        <v>48</v>
      </c>
      <c r="B49" s="6">
        <f>טבלה2[[#This Row],[Demand]]/טבלה2[[#This Row],[S]]*(טבלה2[[#This Row],[S]]-1)</f>
        <v>34.076923076923109</v>
      </c>
      <c r="C49">
        <f>Admin!M51</f>
        <v>886</v>
      </c>
      <c r="D49">
        <v>1.04</v>
      </c>
    </row>
    <row r="50" spans="1:4" x14ac:dyDescent="0.35">
      <c r="A50">
        <v>49</v>
      </c>
      <c r="B50" s="6">
        <f>טבלה2[[#This Row],[Demand]]/טבלה2[[#This Row],[S]]*(טבלה2[[#This Row],[S]]-1)</f>
        <v>85.938053097345062</v>
      </c>
      <c r="C50">
        <f>Admin!M52</f>
        <v>747</v>
      </c>
      <c r="D50">
        <v>1.1299999999999999</v>
      </c>
    </row>
    <row r="51" spans="1:4" x14ac:dyDescent="0.35">
      <c r="A51">
        <v>50</v>
      </c>
      <c r="B51" s="6">
        <f>טבלה2[[#This Row],[Demand]]/טבלה2[[#This Row],[S]]*(טבלה2[[#This Row],[S]]-1)</f>
        <v>-136.2558139534884</v>
      </c>
      <c r="C51">
        <f>Admin!M53</f>
        <v>837</v>
      </c>
      <c r="D51">
        <v>0.86</v>
      </c>
    </row>
    <row r="52" spans="1:4" x14ac:dyDescent="0.35">
      <c r="A52">
        <v>51</v>
      </c>
      <c r="B52" s="6">
        <f>טבלה2[[#This Row],[Demand]]/טבלה2[[#This Row],[S]]*(טבלה2[[#This Row],[S]]-1)</f>
        <v>123.39130434782602</v>
      </c>
      <c r="C52">
        <f>Admin!M54</f>
        <v>946</v>
      </c>
      <c r="D52">
        <v>1.1499999999999999</v>
      </c>
    </row>
    <row r="53" spans="1:4" x14ac:dyDescent="0.35">
      <c r="A53">
        <v>52</v>
      </c>
      <c r="B53" s="6">
        <f>טבלה2[[#This Row],[Demand]]/טבלה2[[#This Row],[S]]*(טבלה2[[#This Row],[S]]-1)</f>
        <v>-141.13953488372093</v>
      </c>
      <c r="C53">
        <f>Admin!M55</f>
        <v>867</v>
      </c>
      <c r="D53">
        <v>0.86</v>
      </c>
    </row>
    <row r="54" spans="1:4" x14ac:dyDescent="0.35">
      <c r="A54">
        <v>53</v>
      </c>
      <c r="B54" s="6">
        <f>טבלה2[[#This Row],[Demand]]/טבלה2[[#This Row],[S]]*(טבלה2[[#This Row],[S]]-1)</f>
        <v>69.909090909090963</v>
      </c>
      <c r="C54">
        <f>Admin!M56</f>
        <v>769</v>
      </c>
      <c r="D54">
        <v>1.1000000000000001</v>
      </c>
    </row>
    <row r="55" spans="1:4" x14ac:dyDescent="0.35">
      <c r="A55">
        <v>54</v>
      </c>
      <c r="B55" s="6">
        <f>טבלה2[[#This Row],[Demand]]/טבלה2[[#This Row],[S]]*(טבלה2[[#This Row],[S]]-1)</f>
        <v>-97.555555555555529</v>
      </c>
      <c r="C55">
        <f>Admin!M57</f>
        <v>878</v>
      </c>
      <c r="D55">
        <v>0.9</v>
      </c>
    </row>
    <row r="56" spans="1:4" x14ac:dyDescent="0.35">
      <c r="A56">
        <v>55</v>
      </c>
      <c r="B56" s="6">
        <f>טבלה2[[#This Row],[Demand]]/טבלה2[[#This Row],[S]]*(טבלה2[[#This Row],[S]]-1)</f>
        <v>15.254901960784327</v>
      </c>
      <c r="C56">
        <f>Admin!M58</f>
        <v>778</v>
      </c>
      <c r="D56">
        <v>1.02</v>
      </c>
    </row>
    <row r="57" spans="1:4" x14ac:dyDescent="0.35">
      <c r="A57">
        <v>56</v>
      </c>
      <c r="B57" s="6">
        <f>טבלה2[[#This Row],[Demand]]/טבלה2[[#This Row],[S]]*(טבלה2[[#This Row],[S]]-1)</f>
        <v>121.04347826086951</v>
      </c>
      <c r="C57">
        <f>Admin!M59</f>
        <v>928</v>
      </c>
      <c r="D57">
        <v>1.1499999999999999</v>
      </c>
    </row>
    <row r="58" spans="1:4" x14ac:dyDescent="0.35">
      <c r="A58">
        <v>57</v>
      </c>
      <c r="B58" s="6">
        <f>טבלה2[[#This Row],[Demand]]/טבלה2[[#This Row],[S]]*(טבלה2[[#This Row],[S]]-1)</f>
        <v>-139.76470588235296</v>
      </c>
      <c r="C58">
        <f>Admin!M60</f>
        <v>792</v>
      </c>
      <c r="D58">
        <v>0.85</v>
      </c>
    </row>
    <row r="59" spans="1:4" x14ac:dyDescent="0.35">
      <c r="A59">
        <v>58</v>
      </c>
      <c r="B59" s="6">
        <f>טבלה2[[#This Row],[Demand]]/טבלה2[[#This Row],[S]]*(טבלה2[[#This Row],[S]]-1)</f>
        <v>42.6666666666667</v>
      </c>
      <c r="C59">
        <f>Admin!M61</f>
        <v>896</v>
      </c>
      <c r="D59">
        <v>1.05</v>
      </c>
    </row>
    <row r="60" spans="1:4" x14ac:dyDescent="0.35">
      <c r="A60">
        <v>59</v>
      </c>
      <c r="B60" s="6">
        <f>טבלה2[[#This Row],[Demand]]/טבלה2[[#This Row],[S]]*(טבלה2[[#This Row],[S]]-1)</f>
        <v>-93.191011235955031</v>
      </c>
      <c r="C60">
        <f>Admin!M62</f>
        <v>754</v>
      </c>
      <c r="D60">
        <v>0.89</v>
      </c>
    </row>
    <row r="61" spans="1:4" x14ac:dyDescent="0.35">
      <c r="A61">
        <v>60</v>
      </c>
      <c r="B61" s="6">
        <f>טבלה2[[#This Row],[Demand]]/טבלה2[[#This Row],[S]]*(טבלה2[[#This Row],[S]]-1)</f>
        <v>33.115384615384642</v>
      </c>
      <c r="C61">
        <f>Admin!M63</f>
        <v>861</v>
      </c>
      <c r="D61">
        <v>1.04</v>
      </c>
    </row>
    <row r="62" spans="1:4" x14ac:dyDescent="0.35">
      <c r="A62">
        <v>61</v>
      </c>
      <c r="B62" s="6">
        <f>טבלה2[[#This Row],[Demand]]/טבלה2[[#This Row],[S]]*(טבלה2[[#This Row],[S]]-1)</f>
        <v>83.752212389380475</v>
      </c>
      <c r="C62">
        <f>Admin!M64</f>
        <v>728</v>
      </c>
      <c r="D62">
        <v>1.1299999999999999</v>
      </c>
    </row>
    <row r="63" spans="1:4" x14ac:dyDescent="0.35">
      <c r="A63">
        <v>62</v>
      </c>
      <c r="B63" s="6">
        <f>טבלה2[[#This Row],[Demand]]/טבלה2[[#This Row],[S]]*(טבלה2[[#This Row],[S]]-1)</f>
        <v>-132.67441860465118</v>
      </c>
      <c r="C63">
        <f>Admin!M65</f>
        <v>815</v>
      </c>
      <c r="D63">
        <v>0.86</v>
      </c>
    </row>
    <row r="64" spans="1:4" x14ac:dyDescent="0.35">
      <c r="A64">
        <v>63</v>
      </c>
      <c r="B64" s="6">
        <f>טבלה2[[#This Row],[Demand]]/טבלה2[[#This Row],[S]]*(טבלה2[[#This Row],[S]]-1)</f>
        <v>119.99999999999994</v>
      </c>
      <c r="C64">
        <f>Admin!M66</f>
        <v>920</v>
      </c>
      <c r="D64">
        <v>1.1499999999999999</v>
      </c>
    </row>
    <row r="65" spans="1:4" x14ac:dyDescent="0.35">
      <c r="A65">
        <v>64</v>
      </c>
      <c r="B65" s="6">
        <f>טבלה2[[#This Row],[Demand]]/טבלה2[[#This Row],[S]]*(טבלה2[[#This Row],[S]]-1)</f>
        <v>-137.55813953488374</v>
      </c>
      <c r="C65">
        <f>Admin!M67</f>
        <v>845</v>
      </c>
      <c r="D65">
        <v>0.86</v>
      </c>
    </row>
    <row r="66" spans="1:4" x14ac:dyDescent="0.35">
      <c r="A66">
        <v>65</v>
      </c>
      <c r="B66" s="6">
        <f>טבלה2[[#This Row],[Demand]]/טבלה2[[#This Row],[S]]*(טבלה2[[#This Row],[S]]-1)</f>
        <v>67.545454545454604</v>
      </c>
      <c r="C66">
        <f>Admin!M68</f>
        <v>743</v>
      </c>
      <c r="D66">
        <v>1.1000000000000001</v>
      </c>
    </row>
    <row r="67" spans="1:4" x14ac:dyDescent="0.35">
      <c r="A67">
        <v>66</v>
      </c>
      <c r="B67" s="6">
        <f>טבלה2[[#This Row],[Demand]]/טבלה2[[#This Row],[S]]*(טבלה2[[#This Row],[S]]-1)</f>
        <v>-95.2222222222222</v>
      </c>
      <c r="C67">
        <f>Admin!M69</f>
        <v>857</v>
      </c>
      <c r="D67">
        <v>0.9</v>
      </c>
    </row>
    <row r="68" spans="1:4" x14ac:dyDescent="0.35">
      <c r="A68">
        <v>67</v>
      </c>
      <c r="B68" s="6">
        <f>טבלה2[[#This Row],[Demand]]/טבלה2[[#This Row],[S]]*(טבלה2[[#This Row],[S]]-1)</f>
        <v>14.862745098039229</v>
      </c>
      <c r="C68">
        <f>Admin!M70</f>
        <v>758</v>
      </c>
      <c r="D68">
        <v>1.02</v>
      </c>
    </row>
    <row r="69" spans="1:4" x14ac:dyDescent="0.35">
      <c r="A69">
        <v>68</v>
      </c>
      <c r="B69" s="6">
        <f>טבלה2[[#This Row],[Demand]]/טבלה2[[#This Row],[S]]*(טבלה2[[#This Row],[S]]-1)</f>
        <v>117.78260869565212</v>
      </c>
      <c r="C69">
        <f>Admin!M71</f>
        <v>903</v>
      </c>
      <c r="D69">
        <v>1.1499999999999999</v>
      </c>
    </row>
    <row r="70" spans="1:4" x14ac:dyDescent="0.35">
      <c r="A70">
        <v>69</v>
      </c>
      <c r="B70" s="6">
        <f>טבלה2[[#This Row],[Demand]]/טבלה2[[#This Row],[S]]*(טבלה2[[#This Row],[S]]-1)</f>
        <v>-136.41176470588238</v>
      </c>
      <c r="C70">
        <f>Admin!M72</f>
        <v>773</v>
      </c>
      <c r="D70">
        <v>0.85</v>
      </c>
    </row>
    <row r="71" spans="1:4" x14ac:dyDescent="0.35">
      <c r="A71">
        <v>70</v>
      </c>
      <c r="B71" s="6">
        <f>טבלה2[[#This Row],[Demand]]/טבלה2[[#This Row],[S]]*(טבלה2[[#This Row],[S]]-1)</f>
        <v>41.47619047619051</v>
      </c>
      <c r="C71">
        <f>Admin!M73</f>
        <v>871</v>
      </c>
      <c r="D71">
        <v>1.05</v>
      </c>
    </row>
    <row r="72" spans="1:4" x14ac:dyDescent="0.35">
      <c r="A72">
        <v>71</v>
      </c>
      <c r="B72" s="6">
        <f>טבלה2[[#This Row],[Demand]]/טבלה2[[#This Row],[S]]*(טבלה2[[#This Row],[S]]-1)</f>
        <v>-90.966292134831448</v>
      </c>
      <c r="C72">
        <f>Admin!M74</f>
        <v>736</v>
      </c>
      <c r="D72">
        <v>0.89</v>
      </c>
    </row>
    <row r="73" spans="1:4" x14ac:dyDescent="0.35">
      <c r="A73">
        <v>72</v>
      </c>
      <c r="B73" s="6">
        <f>טבלה2[[#This Row],[Demand]]/טבלה2[[#This Row],[S]]*(טבלה2[[#This Row],[S]]-1)</f>
        <v>32.192307692307722</v>
      </c>
      <c r="C73">
        <f>Admin!M75</f>
        <v>837</v>
      </c>
      <c r="D73">
        <v>1.04</v>
      </c>
    </row>
    <row r="74" spans="1:4" x14ac:dyDescent="0.35">
      <c r="A74">
        <v>73</v>
      </c>
      <c r="B74" s="6">
        <f>טבלה2[[#This Row],[Demand]]/טבלה2[[#This Row],[S]]*(טבלה2[[#This Row],[S]]-1)</f>
        <v>81.451327433628251</v>
      </c>
      <c r="C74">
        <f>Admin!M76</f>
        <v>708</v>
      </c>
      <c r="D74">
        <v>1.1299999999999999</v>
      </c>
    </row>
    <row r="75" spans="1:4" x14ac:dyDescent="0.35">
      <c r="A75">
        <v>74</v>
      </c>
      <c r="B75" s="6">
        <f>טבלה2[[#This Row],[Demand]]/טבלה2[[#This Row],[S]]*(טבלה2[[#This Row],[S]]-1)</f>
        <v>-129.2558139534884</v>
      </c>
      <c r="C75">
        <f>Admin!M77</f>
        <v>794</v>
      </c>
      <c r="D75">
        <v>0.86</v>
      </c>
    </row>
    <row r="76" spans="1:4" x14ac:dyDescent="0.35">
      <c r="A76">
        <v>75</v>
      </c>
      <c r="B76" s="6">
        <f>טבלה2[[#This Row],[Demand]]/טבלה2[[#This Row],[S]]*(טבלה2[[#This Row],[S]]-1)</f>
        <v>117.13043478260863</v>
      </c>
      <c r="C76">
        <f>Admin!M78</f>
        <v>898</v>
      </c>
      <c r="D76">
        <v>1.1499999999999999</v>
      </c>
    </row>
    <row r="77" spans="1:4" x14ac:dyDescent="0.35">
      <c r="A77">
        <v>76</v>
      </c>
      <c r="B77" s="6">
        <f>טבלה2[[#This Row],[Demand]]/טבלה2[[#This Row],[S]]*(טבלה2[[#This Row],[S]]-1)</f>
        <v>-134.13953488372093</v>
      </c>
      <c r="C77">
        <f>Admin!M79</f>
        <v>824</v>
      </c>
      <c r="D77">
        <v>0.86</v>
      </c>
    </row>
    <row r="78" spans="1:4" x14ac:dyDescent="0.35">
      <c r="A78">
        <v>77</v>
      </c>
      <c r="B78" s="6">
        <f>טבלה2[[#This Row],[Demand]]/טבלה2[[#This Row],[S]]*(טבלה2[[#This Row],[S]]-1)</f>
        <v>65.81818181818187</v>
      </c>
      <c r="C78">
        <f>Admin!M80</f>
        <v>724</v>
      </c>
      <c r="D78">
        <v>1.1000000000000001</v>
      </c>
    </row>
    <row r="79" spans="1:4" x14ac:dyDescent="0.35">
      <c r="A79">
        <v>78</v>
      </c>
      <c r="B79" s="6">
        <f>טבלה2[[#This Row],[Demand]]/טבלה2[[#This Row],[S]]*(טבלה2[[#This Row],[S]]-1)</f>
        <v>-91.999999999999986</v>
      </c>
      <c r="C79">
        <f>Admin!M81</f>
        <v>828</v>
      </c>
      <c r="D79">
        <v>0.9</v>
      </c>
    </row>
    <row r="80" spans="1:4" x14ac:dyDescent="0.35">
      <c r="A80">
        <v>79</v>
      </c>
      <c r="B80" s="6">
        <f>טבלה2[[#This Row],[Demand]]/טבלה2[[#This Row],[S]]*(טבלה2[[#This Row],[S]]-1)</f>
        <v>14.450980392156875</v>
      </c>
      <c r="C80">
        <f>Admin!M82</f>
        <v>737</v>
      </c>
      <c r="D80">
        <v>1.02</v>
      </c>
    </row>
    <row r="81" spans="1:4" x14ac:dyDescent="0.35">
      <c r="A81">
        <v>80</v>
      </c>
      <c r="B81" s="6">
        <f>טבלה2[[#This Row],[Demand]]/טבלה2[[#This Row],[S]]*(טבלה2[[#This Row],[S]]-1)</f>
        <v>114.78260869565212</v>
      </c>
      <c r="C81">
        <f>Admin!M83</f>
        <v>880</v>
      </c>
      <c r="D81">
        <v>1.1499999999999999</v>
      </c>
    </row>
    <row r="82" spans="1:4" x14ac:dyDescent="0.35">
      <c r="A82">
        <v>81</v>
      </c>
      <c r="B82" s="6">
        <f>טבלה2[[#This Row],[Demand]]/טבלה2[[#This Row],[S]]*(טבלה2[[#This Row],[S]]-1)</f>
        <v>-132.17647058823533</v>
      </c>
      <c r="C82">
        <f>Admin!M84</f>
        <v>749</v>
      </c>
      <c r="D82">
        <v>0.85</v>
      </c>
    </row>
    <row r="83" spans="1:4" x14ac:dyDescent="0.35">
      <c r="A83">
        <v>82</v>
      </c>
      <c r="B83" s="6">
        <f>טבלה2[[#This Row],[Demand]]/טבלה2[[#This Row],[S]]*(טבלה2[[#This Row],[S]]-1)</f>
        <v>40.333333333333364</v>
      </c>
      <c r="C83">
        <f>Admin!M85</f>
        <v>847</v>
      </c>
      <c r="D83">
        <v>1.05</v>
      </c>
    </row>
    <row r="84" spans="1:4" x14ac:dyDescent="0.35">
      <c r="A84">
        <v>83</v>
      </c>
      <c r="B84" s="6">
        <f>טבלה2[[#This Row],[Demand]]/טבלה2[[#This Row],[S]]*(טבלה2[[#This Row],[S]]-1)</f>
        <v>-88.617977528089881</v>
      </c>
      <c r="C84">
        <f>Admin!M86</f>
        <v>717</v>
      </c>
      <c r="D84">
        <v>0.89</v>
      </c>
    </row>
    <row r="85" spans="1:4" x14ac:dyDescent="0.35">
      <c r="A85">
        <v>84</v>
      </c>
      <c r="B85" s="6">
        <f>טבלה2[[#This Row],[Demand]]/טבלה2[[#This Row],[S]]*(טבלה2[[#This Row],[S]]-1)</f>
        <v>31.307692307692331</v>
      </c>
      <c r="C85">
        <f>Admin!M87</f>
        <v>814</v>
      </c>
      <c r="D85">
        <v>1.04</v>
      </c>
    </row>
    <row r="86" spans="1:4" x14ac:dyDescent="0.35">
      <c r="A86">
        <v>85</v>
      </c>
      <c r="B86" s="6">
        <f>טבלה2[[#This Row],[Demand]]/טבלה2[[#This Row],[S]]*(טבלה2[[#This Row],[S]]-1)</f>
        <v>79.035398230088447</v>
      </c>
      <c r="C86">
        <f>Admin!M88</f>
        <v>687</v>
      </c>
      <c r="D86">
        <v>1.1299999999999999</v>
      </c>
    </row>
    <row r="87" spans="1:4" x14ac:dyDescent="0.35">
      <c r="A87">
        <v>86</v>
      </c>
      <c r="B87" s="6">
        <f>טבלה2[[#This Row],[Demand]]/טבלה2[[#This Row],[S]]*(טבלה2[[#This Row],[S]]-1)</f>
        <v>-125.8372093023256</v>
      </c>
      <c r="C87">
        <f>Admin!M89</f>
        <v>773</v>
      </c>
      <c r="D87">
        <v>0.86</v>
      </c>
    </row>
    <row r="88" spans="1:4" x14ac:dyDescent="0.35">
      <c r="A88">
        <v>87</v>
      </c>
      <c r="B88" s="6">
        <f>טבלה2[[#This Row],[Demand]]/טבלה2[[#This Row],[S]]*(טבלה2[[#This Row],[S]]-1)</f>
        <v>113.47826086956516</v>
      </c>
      <c r="C88">
        <f>Admin!M90</f>
        <v>870</v>
      </c>
      <c r="D88">
        <v>1.1499999999999999</v>
      </c>
    </row>
    <row r="89" spans="1:4" x14ac:dyDescent="0.35">
      <c r="A89">
        <v>88</v>
      </c>
      <c r="B89" s="6">
        <f>טבלה2[[#This Row],[Demand]]/טבלה2[[#This Row],[S]]*(טבלה2[[#This Row],[S]]-1)</f>
        <v>-129.90697674418607</v>
      </c>
      <c r="C89">
        <f>Admin!M91</f>
        <v>798</v>
      </c>
      <c r="D89">
        <v>0.86</v>
      </c>
    </row>
    <row r="90" spans="1:4" x14ac:dyDescent="0.35">
      <c r="A90">
        <v>89</v>
      </c>
      <c r="B90" s="6">
        <f>טבלה2[[#This Row],[Demand]]/טבלה2[[#This Row],[S]]*(טבלה2[[#This Row],[S]]-1)</f>
        <v>64.18181818181823</v>
      </c>
      <c r="C90">
        <f>Admin!M92</f>
        <v>706</v>
      </c>
      <c r="D90">
        <v>1.1000000000000001</v>
      </c>
    </row>
    <row r="91" spans="1:4" x14ac:dyDescent="0.35">
      <c r="A91">
        <v>90</v>
      </c>
      <c r="B91" s="6">
        <f>טבלה2[[#This Row],[Demand]]/טבלה2[[#This Row],[S]]*(טבלה2[[#This Row],[S]]-1)</f>
        <v>-90.111111111111086</v>
      </c>
      <c r="C91">
        <f>Admin!M93</f>
        <v>811</v>
      </c>
      <c r="D91">
        <v>0.9</v>
      </c>
    </row>
    <row r="92" spans="1:4" x14ac:dyDescent="0.35">
      <c r="A92">
        <v>91</v>
      </c>
      <c r="B92" s="6">
        <f>טבלה2[[#This Row],[Demand]]/טבלה2[[#This Row],[S]]*(טבלה2[[#This Row],[S]]-1)</f>
        <v>14.098039215686287</v>
      </c>
      <c r="C92">
        <f>Admin!M94</f>
        <v>719</v>
      </c>
      <c r="D92">
        <v>1.02</v>
      </c>
    </row>
    <row r="93" spans="1:4" x14ac:dyDescent="0.35">
      <c r="A93">
        <v>92</v>
      </c>
      <c r="B93" s="6">
        <f>טבלה2[[#This Row],[Demand]]/טבלה2[[#This Row],[S]]*(טבלה2[[#This Row],[S]]-1)</f>
        <v>110.86956521739124</v>
      </c>
      <c r="C93">
        <f>Admin!M95</f>
        <v>850</v>
      </c>
      <c r="D93">
        <v>1.1499999999999999</v>
      </c>
    </row>
    <row r="94" spans="1:4" x14ac:dyDescent="0.35">
      <c r="A94">
        <v>93</v>
      </c>
      <c r="B94" s="6">
        <f>טבלה2[[#This Row],[Demand]]/טבלה2[[#This Row],[S]]*(טבלה2[[#This Row],[S]]-1)</f>
        <v>-128.47058823529414</v>
      </c>
      <c r="C94">
        <f>Admin!M96</f>
        <v>728</v>
      </c>
      <c r="D94">
        <v>0.85</v>
      </c>
    </row>
    <row r="95" spans="1:4" x14ac:dyDescent="0.35">
      <c r="A95">
        <v>94</v>
      </c>
      <c r="B95" s="6">
        <f>טבלה2[[#This Row],[Demand]]/טבלה2[[#This Row],[S]]*(טבלה2[[#This Row],[S]]-1)</f>
        <v>39.28571428571432</v>
      </c>
      <c r="C95">
        <f>Admin!M97</f>
        <v>825</v>
      </c>
      <c r="D95">
        <v>1.05</v>
      </c>
    </row>
    <row r="96" spans="1:4" x14ac:dyDescent="0.35">
      <c r="A96">
        <v>95</v>
      </c>
      <c r="B96" s="6">
        <f>טבלה2[[#This Row],[Demand]]/טבלה2[[#This Row],[S]]*(טבלה2[[#This Row],[S]]-1)</f>
        <v>-85.528089887640448</v>
      </c>
      <c r="C96">
        <f>Admin!M98</f>
        <v>692</v>
      </c>
      <c r="D96">
        <v>0.89</v>
      </c>
    </row>
    <row r="97" spans="1:4" x14ac:dyDescent="0.35">
      <c r="A97">
        <v>96</v>
      </c>
      <c r="B97" s="6">
        <f>טבלה2[[#This Row],[Demand]]/טבלה2[[#This Row],[S]]*(טבלה2[[#This Row],[S]]-1)</f>
        <v>30.307692307692331</v>
      </c>
      <c r="C97">
        <f>Admin!M99</f>
        <v>788</v>
      </c>
      <c r="D97">
        <v>1.04</v>
      </c>
    </row>
    <row r="98" spans="1:4" x14ac:dyDescent="0.35">
      <c r="A98">
        <v>97</v>
      </c>
      <c r="B98" s="6">
        <f>טבלה2[[#This Row],[Demand]]/טבלה2[[#This Row],[S]]*(טבלה2[[#This Row],[S]]-1)</f>
        <v>76.734513274336223</v>
      </c>
      <c r="C98">
        <f>Admin!M100</f>
        <v>667</v>
      </c>
      <c r="D98">
        <v>1.1299999999999999</v>
      </c>
    </row>
    <row r="99" spans="1:4" x14ac:dyDescent="0.35">
      <c r="A99">
        <v>98</v>
      </c>
      <c r="B99" s="6">
        <f>טבלה2[[#This Row],[Demand]]/טבלה2[[#This Row],[S]]*(טבלה2[[#This Row],[S]]-1)</f>
        <v>-121.93023255813955</v>
      </c>
      <c r="C99">
        <f>Admin!M101</f>
        <v>749</v>
      </c>
      <c r="D99">
        <v>0.86</v>
      </c>
    </row>
    <row r="100" spans="1:4" x14ac:dyDescent="0.35">
      <c r="A100">
        <v>99</v>
      </c>
      <c r="B100" s="6">
        <f>טבלה2[[#This Row],[Demand]]/טבלה2[[#This Row],[S]]*(טבלה2[[#This Row],[S]]-1)</f>
        <v>110.34782608695646</v>
      </c>
      <c r="C100">
        <f>Admin!M102</f>
        <v>846</v>
      </c>
      <c r="D100">
        <v>1.1499999999999999</v>
      </c>
    </row>
    <row r="101" spans="1:4" x14ac:dyDescent="0.35">
      <c r="A101">
        <v>100</v>
      </c>
      <c r="B101" s="6">
        <f>טבלה2[[#This Row],[Demand]]/טבלה2[[#This Row],[S]]*(טבלה2[[#This Row],[S]]-1)</f>
        <v>-126.16279069767442</v>
      </c>
      <c r="C101">
        <f>Admin!M103</f>
        <v>775</v>
      </c>
      <c r="D101">
        <v>0.86</v>
      </c>
    </row>
    <row r="102" spans="1:4" x14ac:dyDescent="0.35">
      <c r="A102">
        <v>101</v>
      </c>
      <c r="B102" s="6">
        <f>טבלה2[[#This Row],[Demand]]/טבלה2[[#This Row],[S]]*(טבלה2[[#This Row],[S]]-1)</f>
        <v>62.18181818181823</v>
      </c>
      <c r="C102">
        <f>Admin!M104</f>
        <v>684</v>
      </c>
      <c r="D102">
        <v>1.1000000000000001</v>
      </c>
    </row>
    <row r="103" spans="1:4" x14ac:dyDescent="0.35">
      <c r="A103">
        <v>102</v>
      </c>
      <c r="B103" s="6">
        <f>טבלה2[[#This Row],[Demand]]/טבלה2[[#This Row],[S]]*(טבלה2[[#This Row],[S]]-1)</f>
        <v>-86.888888888888872</v>
      </c>
      <c r="C103">
        <f>Admin!M105</f>
        <v>782</v>
      </c>
      <c r="D103">
        <v>0.9</v>
      </c>
    </row>
    <row r="104" spans="1:4" x14ac:dyDescent="0.35">
      <c r="A104">
        <v>103</v>
      </c>
      <c r="B104" s="6">
        <f>טבלה2[[#This Row],[Demand]]/טבלה2[[#This Row],[S]]*(טבלה2[[#This Row],[S]]-1)</f>
        <v>13.568627450980403</v>
      </c>
      <c r="C104">
        <f>Admin!M106</f>
        <v>692</v>
      </c>
      <c r="D104">
        <v>1.02</v>
      </c>
    </row>
    <row r="105" spans="1:4" x14ac:dyDescent="0.35">
      <c r="A105">
        <v>104</v>
      </c>
      <c r="B105" s="6">
        <f>טבלה2[[#This Row],[Demand]]/טבלה2[[#This Row],[S]]*(טבלה2[[#This Row],[S]]-1)</f>
        <v>107.73913043478257</v>
      </c>
      <c r="C105">
        <f>Admin!M107</f>
        <v>826</v>
      </c>
      <c r="D105">
        <v>1.1499999999999999</v>
      </c>
    </row>
    <row r="106" spans="1:4" x14ac:dyDescent="0.35">
      <c r="A106">
        <v>105</v>
      </c>
      <c r="B106" s="6">
        <f>טבלה2[[#This Row],[Demand]]/טבלה2[[#This Row],[S]]*(טבלה2[[#This Row],[S]]-1)</f>
        <v>-124.41176470588236</v>
      </c>
      <c r="C106">
        <f>Admin!M108</f>
        <v>705</v>
      </c>
      <c r="D106">
        <v>0.85</v>
      </c>
    </row>
    <row r="107" spans="1:4" x14ac:dyDescent="0.35">
      <c r="A107">
        <v>106</v>
      </c>
      <c r="B107" s="6">
        <f>טבלה2[[#This Row],[Demand]]/טבלה2[[#This Row],[S]]*(טבלה2[[#This Row],[S]]-1)</f>
        <v>38.142857142857174</v>
      </c>
      <c r="C107">
        <f>Admin!M109</f>
        <v>801</v>
      </c>
      <c r="D107">
        <v>1.05</v>
      </c>
    </row>
    <row r="108" spans="1:4" x14ac:dyDescent="0.35">
      <c r="A108">
        <v>107</v>
      </c>
      <c r="B108" s="6">
        <f>טבלה2[[#This Row],[Demand]]/טבלה2[[#This Row],[S]]*(טבלה2[[#This Row],[S]]-1)</f>
        <v>-83.179775280898866</v>
      </c>
      <c r="C108">
        <f>Admin!M110</f>
        <v>673</v>
      </c>
      <c r="D108">
        <v>0.89</v>
      </c>
    </row>
    <row r="109" spans="1:4" x14ac:dyDescent="0.35">
      <c r="A109">
        <v>108</v>
      </c>
      <c r="B109" s="6">
        <f>טבלה2[[#This Row],[Demand]]/טבלה2[[#This Row],[S]]*(טבלה2[[#This Row],[S]]-1)</f>
        <v>29.384615384615412</v>
      </c>
      <c r="C109">
        <f>Admin!M111</f>
        <v>764</v>
      </c>
      <c r="D109">
        <v>1.04</v>
      </c>
    </row>
    <row r="110" spans="1:4" x14ac:dyDescent="0.35">
      <c r="A110">
        <v>109</v>
      </c>
      <c r="B110" s="6">
        <f>טבלה2[[#This Row],[Demand]]/טבלה2[[#This Row],[S]]*(טבלה2[[#This Row],[S]]-1)</f>
        <v>74.548672566371636</v>
      </c>
      <c r="C110">
        <f>Admin!M112</f>
        <v>648</v>
      </c>
      <c r="D110">
        <v>1.1299999999999999</v>
      </c>
    </row>
    <row r="111" spans="1:4" x14ac:dyDescent="0.35">
      <c r="A111">
        <v>110</v>
      </c>
      <c r="B111" s="6">
        <f>טבלה2[[#This Row],[Demand]]/טבלה2[[#This Row],[S]]*(טבלה2[[#This Row],[S]]-1)</f>
        <v>-118.51162790697676</v>
      </c>
      <c r="C111">
        <f>Admin!M113</f>
        <v>728</v>
      </c>
      <c r="D111">
        <v>0.86</v>
      </c>
    </row>
    <row r="112" spans="1:4" x14ac:dyDescent="0.35">
      <c r="A112">
        <v>111</v>
      </c>
      <c r="B112" s="6">
        <f>טבלה2[[#This Row],[Demand]]/טבלה2[[#This Row],[S]]*(טבלה2[[#This Row],[S]]-1)</f>
        <v>106.5652173913043</v>
      </c>
      <c r="C112">
        <f>Admin!M114</f>
        <v>817</v>
      </c>
      <c r="D112">
        <v>1.1499999999999999</v>
      </c>
    </row>
    <row r="113" spans="1:4" x14ac:dyDescent="0.35">
      <c r="A113">
        <v>112</v>
      </c>
      <c r="B113" s="6">
        <f>טבלה2[[#This Row],[Demand]]/טבלה2[[#This Row],[S]]*(טבלה2[[#This Row],[S]]-1)</f>
        <v>-122.09302325581396</v>
      </c>
      <c r="C113">
        <f>Admin!M115</f>
        <v>750</v>
      </c>
      <c r="D113">
        <v>0.86</v>
      </c>
    </row>
    <row r="114" spans="1:4" x14ac:dyDescent="0.35">
      <c r="A114">
        <v>113</v>
      </c>
      <c r="B114" s="6">
        <f>טבלה2[[#This Row],[Demand]]/טבלה2[[#This Row],[S]]*(טבלה2[[#This Row],[S]]-1)</f>
        <v>60.363636363636417</v>
      </c>
      <c r="C114">
        <f>Admin!M116</f>
        <v>664</v>
      </c>
      <c r="D114">
        <v>1.1000000000000001</v>
      </c>
    </row>
    <row r="115" spans="1:4" x14ac:dyDescent="0.35">
      <c r="A115">
        <v>114</v>
      </c>
      <c r="B115" s="6">
        <f>טבלה2[[#This Row],[Demand]]/טבלה2[[#This Row],[S]]*(טבלה2[[#This Row],[S]]-1)</f>
        <v>-84.777777777777757</v>
      </c>
      <c r="C115">
        <f>Admin!M117</f>
        <v>763</v>
      </c>
      <c r="D115">
        <v>0.9</v>
      </c>
    </row>
    <row r="116" spans="1:4" x14ac:dyDescent="0.35">
      <c r="A116">
        <v>115</v>
      </c>
      <c r="B116" s="6">
        <f>טבלה2[[#This Row],[Demand]]/טבלה2[[#This Row],[S]]*(טבלה2[[#This Row],[S]]-1)</f>
        <v>13.23529411764707</v>
      </c>
      <c r="C116">
        <f>Admin!M118</f>
        <v>675</v>
      </c>
      <c r="D116">
        <v>1.02</v>
      </c>
    </row>
    <row r="117" spans="1:4" x14ac:dyDescent="0.35">
      <c r="A117">
        <v>116</v>
      </c>
      <c r="B117" s="6">
        <f>טבלה2[[#This Row],[Demand]]/טבלה2[[#This Row],[S]]*(טבלה2[[#This Row],[S]]-1)</f>
        <v>104.73913043478257</v>
      </c>
      <c r="C117">
        <f>Admin!M119</f>
        <v>803</v>
      </c>
      <c r="D117">
        <v>1.1499999999999999</v>
      </c>
    </row>
    <row r="118" spans="1:4" x14ac:dyDescent="0.35">
      <c r="A118">
        <v>117</v>
      </c>
      <c r="B118" s="6">
        <f>טבלה2[[#This Row],[Demand]]/טבלה2[[#This Row],[S]]*(טבלה2[[#This Row],[S]]-1)</f>
        <v>-120.7058823529412</v>
      </c>
      <c r="C118">
        <f>Admin!M120</f>
        <v>684</v>
      </c>
      <c r="D118">
        <v>0.85</v>
      </c>
    </row>
    <row r="119" spans="1:4" x14ac:dyDescent="0.35">
      <c r="A119">
        <v>118</v>
      </c>
      <c r="B119" s="6">
        <f>טבלה2[[#This Row],[Demand]]/טבלה2[[#This Row],[S]]*(טבלה2[[#This Row],[S]]-1)</f>
        <v>36.952380952380985</v>
      </c>
      <c r="C119">
        <f>Admin!M121</f>
        <v>776</v>
      </c>
      <c r="D119">
        <v>1.05</v>
      </c>
    </row>
    <row r="120" spans="1:4" x14ac:dyDescent="0.35">
      <c r="A120">
        <v>119</v>
      </c>
      <c r="B120" s="6">
        <f>טבלה2[[#This Row],[Demand]]/טבלה2[[#This Row],[S]]*(טבלה2[[#This Row],[S]]-1)</f>
        <v>-80.831460674157285</v>
      </c>
      <c r="C120">
        <f>Admin!M122</f>
        <v>654</v>
      </c>
      <c r="D120">
        <v>0.89</v>
      </c>
    </row>
    <row r="121" spans="1:4" x14ac:dyDescent="0.35">
      <c r="A121">
        <v>120</v>
      </c>
      <c r="B121" s="6">
        <f>טבלה2[[#This Row],[Demand]]/טבלה2[[#This Row],[S]]*(טבלה2[[#This Row],[S]]-1)</f>
        <v>28.653846153846178</v>
      </c>
      <c r="C121">
        <f>Admin!M123</f>
        <v>745</v>
      </c>
      <c r="D121">
        <v>1.04</v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ID</vt:lpstr>
      <vt:lpstr>Data316087337_NoaBarnov</vt:lpstr>
      <vt:lpstr>Admin</vt:lpstr>
      <vt:lpstr>Answers</vt:lpstr>
      <vt:lpstr>Graphs</vt:lpstr>
      <vt:lpstr>Data (2)</vt:lpstr>
      <vt:lpstr>תרשים1</vt:lpstr>
      <vt:lpstr>A0</vt:lpstr>
      <vt:lpstr>avg</vt:lpstr>
      <vt:lpstr>ID</vt:lpstr>
      <vt:lpstr>Months</vt:lpstr>
      <vt:lpstr>RefNum</vt:lpstr>
      <vt:lpstr>Seasonality</vt:lpstr>
      <vt:lpstr>SeasonalityTable</vt:lpstr>
      <vt:lpstr>Std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עדן כהן</cp:lastModifiedBy>
  <cp:lastPrinted>2022-04-13T14:39:59Z</cp:lastPrinted>
  <dcterms:created xsi:type="dcterms:W3CDTF">2018-04-21T19:50:28Z</dcterms:created>
  <dcterms:modified xsi:type="dcterms:W3CDTF">2022-12-30T13:40:09Z</dcterms:modified>
</cp:coreProperties>
</file>