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E7EB88E-8401-450A-9360-BA5E6A2D5042}" xr6:coauthVersionLast="47" xr6:coauthVersionMax="47" xr10:uidLastSave="{00000000-0000-0000-0000-000000000000}"/>
  <bookViews>
    <workbookView xWindow="-108" yWindow="-108" windowWidth="23256" windowHeight="12456" tabRatio="644" xr2:uid="{00000000-000D-0000-FFFF-FFFF00000000}"/>
  </bookViews>
  <sheets>
    <sheet name="Metodo 1" sheetId="1" r:id="rId1"/>
    <sheet name="Parte 1" sheetId="3" r:id="rId2"/>
    <sheet name="Parte 2" sheetId="5" r:id="rId3"/>
    <sheet name="Parte 3" sheetId="6" r:id="rId4"/>
    <sheet name="Parte 4" sheetId="8" r:id="rId5"/>
    <sheet name="Parte 5" sheetId="9" r:id="rId6"/>
    <sheet name="Parte 6" sheetId="10" r:id="rId7"/>
    <sheet name="Parte 7" sheetId="11" r:id="rId8"/>
    <sheet name="Parte 8" sheetId="12" r:id="rId9"/>
    <sheet name="Parte 9" sheetId="13" r:id="rId10"/>
    <sheet name="Parte 10" sheetId="14" r:id="rId11"/>
    <sheet name="Parte 11" sheetId="15" r:id="rId12"/>
    <sheet name="Parte 12" sheetId="16" r:id="rId13"/>
    <sheet name="Parte 13" sheetId="17" r:id="rId14"/>
    <sheet name="Parte 14" sheetId="18" r:id="rId15"/>
    <sheet name="Parte 15" sheetId="19" r:id="rId16"/>
    <sheet name="Parte 16" sheetId="20" r:id="rId17"/>
    <sheet name="Parte 17" sheetId="21" r:id="rId18"/>
    <sheet name="Parte 18" sheetId="22" r:id="rId19"/>
    <sheet name="Parte 19" sheetId="23" r:id="rId20"/>
    <sheet name="Parte 20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1" l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9" i="1"/>
  <c r="AA8" i="1"/>
  <c r="Z10" i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9" i="1"/>
  <c r="Z8" i="1"/>
  <c r="V9" i="1" l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8" i="1"/>
  <c r="B12" i="1"/>
  <c r="P27" i="1" l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A6" i="24"/>
  <c r="A3" i="24"/>
  <c r="A6" i="23"/>
  <c r="A3" i="23"/>
  <c r="A6" i="22"/>
  <c r="A3" i="22"/>
  <c r="A6" i="21"/>
  <c r="A3" i="21"/>
  <c r="A6" i="20"/>
  <c r="A3" i="20"/>
  <c r="A6" i="19"/>
  <c r="A3" i="19"/>
  <c r="A6" i="18"/>
  <c r="A3" i="18"/>
  <c r="A6" i="17"/>
  <c r="A3" i="17"/>
  <c r="A6" i="16"/>
  <c r="A3" i="16"/>
  <c r="A6" i="15"/>
  <c r="A3" i="15"/>
  <c r="A6" i="14"/>
  <c r="A3" i="14"/>
  <c r="A6" i="13"/>
  <c r="A3" i="13"/>
  <c r="A6" i="12"/>
  <c r="A3" i="12"/>
  <c r="A6" i="11"/>
  <c r="A3" i="11"/>
  <c r="A6" i="10"/>
  <c r="A3" i="10"/>
  <c r="A6" i="9"/>
  <c r="A3" i="9"/>
  <c r="A6" i="8"/>
  <c r="A3" i="8"/>
  <c r="A6" i="6"/>
  <c r="A3" i="6"/>
  <c r="A6" i="5"/>
  <c r="A3" i="5"/>
  <c r="A3" i="3"/>
  <c r="A6" i="3"/>
  <c r="V28" i="1" l="1"/>
  <c r="B11" i="1"/>
  <c r="G12" i="1" s="1"/>
  <c r="H12" i="1" s="1"/>
  <c r="I12" i="1" l="1"/>
  <c r="G27" i="1"/>
  <c r="G23" i="1"/>
  <c r="G19" i="1"/>
  <c r="G15" i="1"/>
  <c r="G11" i="1"/>
  <c r="G10" i="1"/>
  <c r="G25" i="1"/>
  <c r="G21" i="1"/>
  <c r="G17" i="1"/>
  <c r="G13" i="1"/>
  <c r="G8" i="1"/>
  <c r="G9" i="1"/>
  <c r="G26" i="1"/>
  <c r="G24" i="1"/>
  <c r="G22" i="1"/>
  <c r="G20" i="1"/>
  <c r="G18" i="1"/>
  <c r="G16" i="1"/>
  <c r="G14" i="1"/>
  <c r="J12" i="1" l="1"/>
  <c r="K12" i="1" s="1"/>
  <c r="H16" i="1"/>
  <c r="I16" i="1"/>
  <c r="H20" i="1"/>
  <c r="I20" i="1"/>
  <c r="H24" i="1"/>
  <c r="I24" i="1"/>
  <c r="H9" i="1"/>
  <c r="I9" i="1"/>
  <c r="H13" i="1"/>
  <c r="I13" i="1"/>
  <c r="H21" i="1"/>
  <c r="I21" i="1"/>
  <c r="H10" i="1"/>
  <c r="I10" i="1"/>
  <c r="H15" i="1"/>
  <c r="I15" i="1"/>
  <c r="H23" i="1"/>
  <c r="I23" i="1"/>
  <c r="H14" i="1"/>
  <c r="I14" i="1"/>
  <c r="H18" i="1"/>
  <c r="I18" i="1"/>
  <c r="H22" i="1"/>
  <c r="I22" i="1"/>
  <c r="H26" i="1"/>
  <c r="I26" i="1"/>
  <c r="H8" i="1"/>
  <c r="I8" i="1"/>
  <c r="H17" i="1"/>
  <c r="I17" i="1"/>
  <c r="H25" i="1"/>
  <c r="I25" i="1"/>
  <c r="H11" i="1"/>
  <c r="I11" i="1"/>
  <c r="H19" i="1"/>
  <c r="I19" i="1"/>
  <c r="H27" i="1"/>
  <c r="I27" i="1"/>
  <c r="X26" i="1" l="1"/>
  <c r="X25" i="1"/>
  <c r="X12" i="1"/>
  <c r="T12" i="1"/>
  <c r="L12" i="1"/>
  <c r="B8" i="9" s="1"/>
  <c r="Q12" i="1"/>
  <c r="M12" i="1"/>
  <c r="A8" i="9" s="1"/>
  <c r="U12" i="1"/>
  <c r="W12" i="1" s="1"/>
  <c r="J27" i="1"/>
  <c r="K27" i="1" s="1"/>
  <c r="J11" i="1"/>
  <c r="K11" i="1" s="1"/>
  <c r="J17" i="1"/>
  <c r="K17" i="1" s="1"/>
  <c r="J26" i="1"/>
  <c r="K26" i="1" s="1"/>
  <c r="J18" i="1"/>
  <c r="K18" i="1" s="1"/>
  <c r="J23" i="1"/>
  <c r="K23" i="1" s="1"/>
  <c r="J10" i="1"/>
  <c r="K10" i="1" s="1"/>
  <c r="J13" i="1"/>
  <c r="K13" i="1" s="1"/>
  <c r="J24" i="1"/>
  <c r="K24" i="1" s="1"/>
  <c r="J16" i="1"/>
  <c r="K16" i="1" s="1"/>
  <c r="J19" i="1"/>
  <c r="K19" i="1" s="1"/>
  <c r="J25" i="1"/>
  <c r="K25" i="1" s="1"/>
  <c r="J8" i="1"/>
  <c r="K8" i="1" s="1"/>
  <c r="J22" i="1"/>
  <c r="K22" i="1" s="1"/>
  <c r="J14" i="1"/>
  <c r="K14" i="1" s="1"/>
  <c r="J15" i="1"/>
  <c r="K15" i="1" s="1"/>
  <c r="J21" i="1"/>
  <c r="K21" i="1" s="1"/>
  <c r="J9" i="1"/>
  <c r="K9" i="1" s="1"/>
  <c r="J20" i="1"/>
  <c r="K20" i="1" s="1"/>
  <c r="X19" i="1" l="1"/>
  <c r="X8" i="1"/>
  <c r="X14" i="1"/>
  <c r="X20" i="1"/>
  <c r="X13" i="1"/>
  <c r="X21" i="1"/>
  <c r="X11" i="1"/>
  <c r="X17" i="1"/>
  <c r="X9" i="1"/>
  <c r="X18" i="1"/>
  <c r="X24" i="1"/>
  <c r="X15" i="1"/>
  <c r="X16" i="1"/>
  <c r="X10" i="1"/>
  <c r="X22" i="1"/>
  <c r="X23" i="1"/>
  <c r="X27" i="1"/>
  <c r="T20" i="1"/>
  <c r="T21" i="1"/>
  <c r="T14" i="1"/>
  <c r="T8" i="1"/>
  <c r="U19" i="1"/>
  <c r="W19" i="1" s="1"/>
  <c r="T24" i="1"/>
  <c r="T10" i="1"/>
  <c r="T18" i="1"/>
  <c r="T17" i="1"/>
  <c r="U27" i="1"/>
  <c r="W27" i="1" s="1"/>
  <c r="M9" i="1"/>
  <c r="A8" i="5" s="1"/>
  <c r="Q9" i="1"/>
  <c r="M15" i="1"/>
  <c r="A8" i="12" s="1"/>
  <c r="Q15" i="1"/>
  <c r="M22" i="1"/>
  <c r="A8" i="19" s="1"/>
  <c r="Q22" i="1"/>
  <c r="M25" i="1"/>
  <c r="A8" i="22" s="1"/>
  <c r="Q25" i="1"/>
  <c r="M16" i="1"/>
  <c r="A8" i="13" s="1"/>
  <c r="Q16" i="1"/>
  <c r="M13" i="1"/>
  <c r="A8" i="10" s="1"/>
  <c r="Q13" i="1"/>
  <c r="L23" i="1"/>
  <c r="B8" i="20" s="1"/>
  <c r="Q23" i="1"/>
  <c r="M26" i="1"/>
  <c r="A8" i="23" s="1"/>
  <c r="Q26" i="1"/>
  <c r="L11" i="1"/>
  <c r="B8" i="8" s="1"/>
  <c r="Q11" i="1"/>
  <c r="T16" i="1"/>
  <c r="U9" i="1"/>
  <c r="W9" i="1" s="1"/>
  <c r="T13" i="1"/>
  <c r="U15" i="1"/>
  <c r="W15" i="1" s="1"/>
  <c r="U23" i="1"/>
  <c r="W23" i="1" s="1"/>
  <c r="T22" i="1"/>
  <c r="T26" i="1"/>
  <c r="T25" i="1"/>
  <c r="U11" i="1"/>
  <c r="W11" i="1" s="1"/>
  <c r="L20" i="1"/>
  <c r="B8" i="17" s="1"/>
  <c r="Q20" i="1"/>
  <c r="M21" i="1"/>
  <c r="A8" i="18" s="1"/>
  <c r="Q21" i="1"/>
  <c r="L14" i="1"/>
  <c r="B8" i="11" s="1"/>
  <c r="Q14" i="1"/>
  <c r="L8" i="1"/>
  <c r="B8" i="3" s="1"/>
  <c r="Q8" i="1"/>
  <c r="M19" i="1"/>
  <c r="A8" i="16" s="1"/>
  <c r="Q19" i="1"/>
  <c r="L24" i="1"/>
  <c r="B8" i="21" s="1"/>
  <c r="Q24" i="1"/>
  <c r="L10" i="1"/>
  <c r="B8" i="6" s="1"/>
  <c r="Q10" i="1"/>
  <c r="L18" i="1"/>
  <c r="B8" i="15" s="1"/>
  <c r="Q18" i="1"/>
  <c r="M17" i="1"/>
  <c r="A8" i="14" s="1"/>
  <c r="Q17" i="1"/>
  <c r="M27" i="1"/>
  <c r="A8" i="24" s="1"/>
  <c r="Q27" i="1"/>
  <c r="U16" i="1"/>
  <c r="W16" i="1" s="1"/>
  <c r="U20" i="1"/>
  <c r="W20" i="1" s="1"/>
  <c r="U24" i="1"/>
  <c r="W24" i="1" s="1"/>
  <c r="T9" i="1"/>
  <c r="U13" i="1"/>
  <c r="W13" i="1" s="1"/>
  <c r="U21" i="1"/>
  <c r="W21" i="1" s="1"/>
  <c r="U10" i="1"/>
  <c r="W10" i="1" s="1"/>
  <c r="T15" i="1"/>
  <c r="T23" i="1"/>
  <c r="U14" i="1"/>
  <c r="W14" i="1" s="1"/>
  <c r="U18" i="1"/>
  <c r="W18" i="1" s="1"/>
  <c r="U22" i="1"/>
  <c r="W22" i="1" s="1"/>
  <c r="U26" i="1"/>
  <c r="W26" i="1" s="1"/>
  <c r="U8" i="1"/>
  <c r="U17" i="1"/>
  <c r="W17" i="1" s="1"/>
  <c r="U25" i="1"/>
  <c r="W25" i="1" s="1"/>
  <c r="T11" i="1"/>
  <c r="T19" i="1"/>
  <c r="T27" i="1"/>
  <c r="D11" i="9"/>
  <c r="O12" i="1" s="1"/>
  <c r="D10" i="9"/>
  <c r="E10" i="9" s="1"/>
  <c r="D9" i="9"/>
  <c r="E9" i="9" s="1"/>
  <c r="D8" i="9"/>
  <c r="E8" i="9" s="1"/>
  <c r="L9" i="1"/>
  <c r="B8" i="5" s="1"/>
  <c r="M18" i="1"/>
  <c r="A8" i="15" s="1"/>
  <c r="M24" i="1"/>
  <c r="A8" i="21" s="1"/>
  <c r="M11" i="1"/>
  <c r="A8" i="8" s="1"/>
  <c r="L16" i="1"/>
  <c r="B8" i="13" s="1"/>
  <c r="L13" i="1"/>
  <c r="B8" i="10" s="1"/>
  <c r="L17" i="1"/>
  <c r="B8" i="14" s="1"/>
  <c r="L27" i="1"/>
  <c r="B8" i="24" s="1"/>
  <c r="M23" i="1"/>
  <c r="A8" i="20" s="1"/>
  <c r="L21" i="1"/>
  <c r="B8" i="18" s="1"/>
  <c r="L15" i="1"/>
  <c r="B8" i="12" s="1"/>
  <c r="L22" i="1"/>
  <c r="B8" i="19" s="1"/>
  <c r="L25" i="1"/>
  <c r="B8" i="22" s="1"/>
  <c r="L19" i="1"/>
  <c r="B8" i="16" s="1"/>
  <c r="L26" i="1"/>
  <c r="B8" i="23" s="1"/>
  <c r="M20" i="1"/>
  <c r="A8" i="17" s="1"/>
  <c r="M14" i="1"/>
  <c r="A8" i="11" s="1"/>
  <c r="M8" i="1"/>
  <c r="A8" i="3" s="1"/>
  <c r="M10" i="1"/>
  <c r="A8" i="6" s="1"/>
  <c r="X28" i="1" l="1"/>
  <c r="D11" i="22"/>
  <c r="O25" i="1" s="1"/>
  <c r="D8" i="22"/>
  <c r="E8" i="22" s="1"/>
  <c r="D10" i="22"/>
  <c r="E10" i="22" s="1"/>
  <c r="D9" i="22"/>
  <c r="E9" i="22" s="1"/>
  <c r="D9" i="16"/>
  <c r="E9" i="16" s="1"/>
  <c r="D10" i="16"/>
  <c r="E10" i="16" s="1"/>
  <c r="D11" i="16"/>
  <c r="O19" i="1" s="1"/>
  <c r="D8" i="16"/>
  <c r="E8" i="16" s="1"/>
  <c r="D10" i="19"/>
  <c r="E10" i="19" s="1"/>
  <c r="D11" i="19"/>
  <c r="O22" i="1" s="1"/>
  <c r="D9" i="19"/>
  <c r="E9" i="19" s="1"/>
  <c r="D8" i="19"/>
  <c r="E8" i="19" s="1"/>
  <c r="D11" i="18"/>
  <c r="O21" i="1" s="1"/>
  <c r="D9" i="18"/>
  <c r="E9" i="18" s="1"/>
  <c r="D8" i="18"/>
  <c r="E8" i="18" s="1"/>
  <c r="D10" i="18"/>
  <c r="E10" i="18" s="1"/>
  <c r="D11" i="24"/>
  <c r="O27" i="1" s="1"/>
  <c r="D8" i="24"/>
  <c r="D10" i="24"/>
  <c r="E10" i="24" s="1"/>
  <c r="D9" i="24"/>
  <c r="E9" i="24" s="1"/>
  <c r="D9" i="10"/>
  <c r="E9" i="10" s="1"/>
  <c r="D10" i="10"/>
  <c r="E10" i="10" s="1"/>
  <c r="D8" i="10"/>
  <c r="E8" i="10" s="1"/>
  <c r="D11" i="10"/>
  <c r="O13" i="1" s="1"/>
  <c r="E8" i="24"/>
  <c r="D11" i="15"/>
  <c r="O18" i="1" s="1"/>
  <c r="D10" i="15"/>
  <c r="E10" i="15" s="1"/>
  <c r="D9" i="15"/>
  <c r="E9" i="15" s="1"/>
  <c r="D8" i="15"/>
  <c r="E8" i="15" s="1"/>
  <c r="D11" i="6"/>
  <c r="O10" i="1" s="1"/>
  <c r="D10" i="6"/>
  <c r="E10" i="6" s="1"/>
  <c r="D8" i="6"/>
  <c r="E8" i="6" s="1"/>
  <c r="D9" i="6"/>
  <c r="E9" i="6" s="1"/>
  <c r="D11" i="21"/>
  <c r="O24" i="1" s="1"/>
  <c r="D8" i="21"/>
  <c r="E8" i="21" s="1"/>
  <c r="D10" i="21"/>
  <c r="E10" i="21" s="1"/>
  <c r="D9" i="21"/>
  <c r="E9" i="21" s="1"/>
  <c r="D10" i="3"/>
  <c r="E10" i="3" s="1"/>
  <c r="D9" i="3"/>
  <c r="E9" i="3" s="1"/>
  <c r="D11" i="3"/>
  <c r="O8" i="1" s="1"/>
  <c r="D8" i="3"/>
  <c r="E8" i="3" s="1"/>
  <c r="D11" i="11"/>
  <c r="O14" i="1" s="1"/>
  <c r="D10" i="11"/>
  <c r="E10" i="11" s="1"/>
  <c r="D8" i="11"/>
  <c r="E8" i="11" s="1"/>
  <c r="D9" i="11"/>
  <c r="E9" i="11" s="1"/>
  <c r="D11" i="17"/>
  <c r="D8" i="17"/>
  <c r="E8" i="17" s="1"/>
  <c r="D10" i="17"/>
  <c r="E10" i="17" s="1"/>
  <c r="D9" i="17"/>
  <c r="E9" i="17" s="1"/>
  <c r="D11" i="23"/>
  <c r="O26" i="1" s="1"/>
  <c r="D8" i="23"/>
  <c r="E8" i="23" s="1"/>
  <c r="D10" i="23"/>
  <c r="E10" i="23" s="1"/>
  <c r="D9" i="23"/>
  <c r="E9" i="23" s="1"/>
  <c r="D11" i="12"/>
  <c r="O15" i="1" s="1"/>
  <c r="D10" i="12"/>
  <c r="E10" i="12" s="1"/>
  <c r="D9" i="12"/>
  <c r="E9" i="12" s="1"/>
  <c r="D8" i="12"/>
  <c r="E8" i="12" s="1"/>
  <c r="D11" i="14"/>
  <c r="O17" i="1" s="1"/>
  <c r="D10" i="14"/>
  <c r="E10" i="14" s="1"/>
  <c r="D8" i="14"/>
  <c r="E8" i="14" s="1"/>
  <c r="D9" i="14"/>
  <c r="E9" i="14" s="1"/>
  <c r="D11" i="13"/>
  <c r="O16" i="1" s="1"/>
  <c r="D10" i="13"/>
  <c r="D9" i="13"/>
  <c r="E9" i="13" s="1"/>
  <c r="D8" i="13"/>
  <c r="E8" i="13" s="1"/>
  <c r="E11" i="21"/>
  <c r="R24" i="1" s="1"/>
  <c r="D11" i="5"/>
  <c r="O9" i="1" s="1"/>
  <c r="D10" i="5"/>
  <c r="E10" i="5" s="1"/>
  <c r="D9" i="5"/>
  <c r="E9" i="5" s="1"/>
  <c r="D8" i="5"/>
  <c r="E8" i="5" s="1"/>
  <c r="W8" i="1"/>
  <c r="U28" i="1"/>
  <c r="E11" i="9"/>
  <c r="R12" i="1" s="1"/>
  <c r="D9" i="8"/>
  <c r="E9" i="8" s="1"/>
  <c r="D10" i="8"/>
  <c r="E10" i="8" s="1"/>
  <c r="D8" i="8"/>
  <c r="E8" i="8" s="1"/>
  <c r="D11" i="8"/>
  <c r="O11" i="1" s="1"/>
  <c r="E11" i="23"/>
  <c r="R26" i="1" s="1"/>
  <c r="D11" i="20"/>
  <c r="O23" i="1" s="1"/>
  <c r="D8" i="20"/>
  <c r="E8" i="20" s="1"/>
  <c r="D10" i="20"/>
  <c r="E10" i="20" s="1"/>
  <c r="D9" i="20"/>
  <c r="E9" i="20" s="1"/>
  <c r="E10" i="13"/>
  <c r="E11" i="5" l="1"/>
  <c r="R9" i="1" s="1"/>
  <c r="E11" i="10"/>
  <c r="R13" i="1" s="1"/>
  <c r="E11" i="13"/>
  <c r="R16" i="1" s="1"/>
  <c r="E11" i="6"/>
  <c r="R10" i="1" s="1"/>
  <c r="E11" i="16"/>
  <c r="R19" i="1" s="1"/>
  <c r="E11" i="19"/>
  <c r="R22" i="1" s="1"/>
  <c r="E11" i="12"/>
  <c r="R15" i="1" s="1"/>
  <c r="E11" i="22"/>
  <c r="R25" i="1" s="1"/>
  <c r="E11" i="18"/>
  <c r="R21" i="1" s="1"/>
  <c r="E11" i="24"/>
  <c r="R27" i="1" s="1"/>
  <c r="E11" i="20"/>
  <c r="R23" i="1" s="1"/>
  <c r="E11" i="15"/>
  <c r="R18" i="1" s="1"/>
  <c r="E11" i="8"/>
  <c r="R11" i="1" s="1"/>
  <c r="E11" i="17"/>
  <c r="R20" i="1" s="1"/>
  <c r="O20" i="1"/>
  <c r="E11" i="14"/>
  <c r="R17" i="1" s="1"/>
  <c r="E11" i="3"/>
  <c r="R8" i="1" s="1"/>
  <c r="E11" i="11"/>
  <c r="R14" i="1" s="1"/>
</calcChain>
</file>

<file path=xl/sharedStrings.xml><?xml version="1.0" encoding="utf-8"?>
<sst xmlns="http://schemas.openxmlformats.org/spreadsheetml/2006/main" count="173" uniqueCount="39">
  <si>
    <t>DATOS DE PARTIDA</t>
  </si>
  <si>
    <t>Velocidad (v)</t>
  </si>
  <si>
    <t xml:space="preserve">Radio (R) </t>
  </si>
  <si>
    <t>Partes</t>
  </si>
  <si>
    <t>λ</t>
  </si>
  <si>
    <t>rpm</t>
  </si>
  <si>
    <r>
      <t>Velocidad Angular (</t>
    </r>
    <r>
      <rPr>
        <sz val="11"/>
        <color theme="1"/>
        <rFont val="Calibri"/>
        <family val="2"/>
      </rPr>
      <t>ω) rpm</t>
    </r>
  </si>
  <si>
    <r>
      <t>Velocidad Angular (n</t>
    </r>
    <r>
      <rPr>
        <sz val="11"/>
        <color theme="1"/>
        <rFont val="Calibri"/>
        <family val="2"/>
      </rPr>
      <t>):</t>
    </r>
  </si>
  <si>
    <t>FORMULAS</t>
  </si>
  <si>
    <t>λi</t>
  </si>
  <si>
    <t>factor de inducción axial (ai)</t>
  </si>
  <si>
    <t>coeficiente de rotación inducida (hi)</t>
  </si>
  <si>
    <t>Palas (B)</t>
  </si>
  <si>
    <t>Producto (Qi)</t>
  </si>
  <si>
    <t>Velocidad Relativa (w)</t>
  </si>
  <si>
    <t>ángulo de inclinación (θi) rad</t>
  </si>
  <si>
    <t>ri</t>
  </si>
  <si>
    <t>Viscosidad Agua 10°</t>
  </si>
  <si>
    <t xml:space="preserve">Cuerda (c) </t>
  </si>
  <si>
    <t>CL</t>
  </si>
  <si>
    <t>Reynolds</t>
  </si>
  <si>
    <t xml:space="preserve"> (Qi)</t>
  </si>
  <si>
    <t>Usando QBLADE se optiene el nuevo CL</t>
  </si>
  <si>
    <r>
      <t xml:space="preserve">Angulo de Ataque </t>
    </r>
    <r>
      <rPr>
        <sz val="11"/>
        <color theme="1"/>
        <rFont val="Calibri"/>
        <family val="2"/>
      </rPr>
      <t>α</t>
    </r>
  </si>
  <si>
    <t>Iterando se calcula la cuerda y el angulo de ataque optimo para cada velocidad relativa.</t>
  </si>
  <si>
    <t>DESPUES DE ITERAR</t>
  </si>
  <si>
    <r>
      <t>Angulo de Ataque (</t>
    </r>
    <r>
      <rPr>
        <sz val="11"/>
        <color theme="1"/>
        <rFont val="Calibri"/>
        <family val="2"/>
      </rPr>
      <t>α)</t>
    </r>
  </si>
  <si>
    <r>
      <t>Angulo de Calado (</t>
    </r>
    <r>
      <rPr>
        <sz val="11"/>
        <color theme="1"/>
        <rFont val="Calibri"/>
        <family val="2"/>
      </rPr>
      <t>β)</t>
    </r>
  </si>
  <si>
    <t>CP</t>
  </si>
  <si>
    <t>ω</t>
  </si>
  <si>
    <t>rad/s</t>
  </si>
  <si>
    <t>dP</t>
  </si>
  <si>
    <t>dp ideal</t>
  </si>
  <si>
    <t>CP con formula</t>
  </si>
  <si>
    <t>Reynolds (Re)</t>
  </si>
  <si>
    <t>Par dM</t>
  </si>
  <si>
    <t>Potencia</t>
  </si>
  <si>
    <t>Par</t>
  </si>
  <si>
    <t>Proceso de calculo para Rotor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</si>
</sst>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Cuerda vs Radio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1'!$F$8:$F$27</c:f>
              <c:numCache>
                <c:formatCode>General</c:formatCode>
                <c:ptCount val="20"/>
                <c:pt idx="0">
                  <c:v>2.2499999999999999E-2</c:v>
                </c:pt>
                <c:pt idx="1">
                  <c:v>4.4999999999999998E-2</c:v>
                </c:pt>
                <c:pt idx="2">
                  <c:v>6.7500000000000004E-2</c:v>
                </c:pt>
                <c:pt idx="3">
                  <c:v>0.09</c:v>
                </c:pt>
                <c:pt idx="4">
                  <c:v>0.1125</c:v>
                </c:pt>
                <c:pt idx="5">
                  <c:v>0.13500000000000001</c:v>
                </c:pt>
                <c:pt idx="6">
                  <c:v>0.1575</c:v>
                </c:pt>
                <c:pt idx="7">
                  <c:v>0.18</c:v>
                </c:pt>
                <c:pt idx="8">
                  <c:v>0.20250000000000001</c:v>
                </c:pt>
                <c:pt idx="9">
                  <c:v>0.22500000000000001</c:v>
                </c:pt>
                <c:pt idx="10">
                  <c:v>0.2475</c:v>
                </c:pt>
                <c:pt idx="11">
                  <c:v>0.27</c:v>
                </c:pt>
                <c:pt idx="12">
                  <c:v>0.29249999999999998</c:v>
                </c:pt>
                <c:pt idx="13">
                  <c:v>0.315</c:v>
                </c:pt>
                <c:pt idx="14">
                  <c:v>0.33750000000000002</c:v>
                </c:pt>
                <c:pt idx="15">
                  <c:v>0.36</c:v>
                </c:pt>
                <c:pt idx="16">
                  <c:v>0.38250000000000001</c:v>
                </c:pt>
                <c:pt idx="17">
                  <c:v>0.40500000000000003</c:v>
                </c:pt>
                <c:pt idx="18">
                  <c:v>0.42749999999999999</c:v>
                </c:pt>
                <c:pt idx="19">
                  <c:v>0.45</c:v>
                </c:pt>
              </c:numCache>
            </c:numRef>
          </c:xVal>
          <c:yVal>
            <c:numRef>
              <c:f>'Metodo 1'!$O$8:$O$27</c:f>
              <c:numCache>
                <c:formatCode>General</c:formatCode>
                <c:ptCount val="20"/>
                <c:pt idx="0">
                  <c:v>5.1570362406377808E-2</c:v>
                </c:pt>
                <c:pt idx="1">
                  <c:v>8.1648843441847738E-2</c:v>
                </c:pt>
                <c:pt idx="2">
                  <c:v>9.4509938493629375E-2</c:v>
                </c:pt>
                <c:pt idx="3">
                  <c:v>9.5660391943811374E-2</c:v>
                </c:pt>
                <c:pt idx="4">
                  <c:v>9.4867079016934544E-2</c:v>
                </c:pt>
                <c:pt idx="5">
                  <c:v>8.9521373010954211E-2</c:v>
                </c:pt>
                <c:pt idx="6">
                  <c:v>8.3486905858866756E-2</c:v>
                </c:pt>
                <c:pt idx="7">
                  <c:v>7.7539747751429064E-2</c:v>
                </c:pt>
                <c:pt idx="8">
                  <c:v>7.2035312927189732E-2</c:v>
                </c:pt>
                <c:pt idx="9">
                  <c:v>6.6965065441252442E-2</c:v>
                </c:pt>
                <c:pt idx="10">
                  <c:v>6.2444403806125127E-2</c:v>
                </c:pt>
                <c:pt idx="11">
                  <c:v>6.0241756535914744E-2</c:v>
                </c:pt>
                <c:pt idx="12">
                  <c:v>5.6494644282282722E-2</c:v>
                </c:pt>
                <c:pt idx="13">
                  <c:v>5.3134122357890029E-2</c:v>
                </c:pt>
                <c:pt idx="14">
                  <c:v>5.0074703756566544E-2</c:v>
                </c:pt>
                <c:pt idx="15">
                  <c:v>4.7353637413596925E-2</c:v>
                </c:pt>
                <c:pt idx="16">
                  <c:v>4.489262253903234E-2</c:v>
                </c:pt>
                <c:pt idx="17">
                  <c:v>4.2659316894963349E-2</c:v>
                </c:pt>
                <c:pt idx="18">
                  <c:v>4.0625827764734099E-2</c:v>
                </c:pt>
                <c:pt idx="19">
                  <c:v>3.876817005481499E-2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4-461E-9A25-925CDEA9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1040"/>
        <c:axId val="301570624"/>
      </c:scatterChart>
      <c:valAx>
        <c:axId val="3015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Radio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570624"/>
        <c:crosses val="autoZero"/>
        <c:crossBetween val="midCat"/>
        <c:majorUnit val="5.000000000000001E-2"/>
      </c:valAx>
      <c:valAx>
        <c:axId val="301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Cuerda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5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Cuerda vs Calado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1'!$F$8:$F$27</c:f>
              <c:numCache>
                <c:formatCode>General</c:formatCode>
                <c:ptCount val="20"/>
                <c:pt idx="0">
                  <c:v>2.2499999999999999E-2</c:v>
                </c:pt>
                <c:pt idx="1">
                  <c:v>4.4999999999999998E-2</c:v>
                </c:pt>
                <c:pt idx="2">
                  <c:v>6.7500000000000004E-2</c:v>
                </c:pt>
                <c:pt idx="3">
                  <c:v>0.09</c:v>
                </c:pt>
                <c:pt idx="4">
                  <c:v>0.1125</c:v>
                </c:pt>
                <c:pt idx="5">
                  <c:v>0.13500000000000001</c:v>
                </c:pt>
                <c:pt idx="6">
                  <c:v>0.1575</c:v>
                </c:pt>
                <c:pt idx="7">
                  <c:v>0.18</c:v>
                </c:pt>
                <c:pt idx="8">
                  <c:v>0.20250000000000001</c:v>
                </c:pt>
                <c:pt idx="9">
                  <c:v>0.22500000000000001</c:v>
                </c:pt>
                <c:pt idx="10">
                  <c:v>0.2475</c:v>
                </c:pt>
                <c:pt idx="11">
                  <c:v>0.27</c:v>
                </c:pt>
                <c:pt idx="12">
                  <c:v>0.29249999999999998</c:v>
                </c:pt>
                <c:pt idx="13">
                  <c:v>0.315</c:v>
                </c:pt>
                <c:pt idx="14">
                  <c:v>0.33750000000000002</c:v>
                </c:pt>
                <c:pt idx="15">
                  <c:v>0.36</c:v>
                </c:pt>
                <c:pt idx="16">
                  <c:v>0.38250000000000001</c:v>
                </c:pt>
                <c:pt idx="17">
                  <c:v>0.40500000000000003</c:v>
                </c:pt>
                <c:pt idx="18">
                  <c:v>0.42749999999999999</c:v>
                </c:pt>
                <c:pt idx="19">
                  <c:v>0.45</c:v>
                </c:pt>
              </c:numCache>
            </c:numRef>
          </c:xVal>
          <c:yVal>
            <c:numRef>
              <c:f>'Metodo 1'!$Q$8:$Q$27</c:f>
              <c:numCache>
                <c:formatCode>General</c:formatCode>
                <c:ptCount val="20"/>
                <c:pt idx="0">
                  <c:v>43.960045017319864</c:v>
                </c:pt>
                <c:pt idx="1">
                  <c:v>38.465727009098799</c:v>
                </c:pt>
                <c:pt idx="2">
                  <c:v>32.857495645284324</c:v>
                </c:pt>
                <c:pt idx="3">
                  <c:v>27.726794497273275</c:v>
                </c:pt>
                <c:pt idx="4">
                  <c:v>24.000000000000004</c:v>
                </c:pt>
                <c:pt idx="5">
                  <c:v>20.537047394843462</c:v>
                </c:pt>
                <c:pt idx="6">
                  <c:v>17.691785194649597</c:v>
                </c:pt>
                <c:pt idx="7">
                  <c:v>15.336922138722336</c:v>
                </c:pt>
                <c:pt idx="8">
                  <c:v>13.369736066051431</c:v>
                </c:pt>
                <c:pt idx="9">
                  <c:v>11.710034118052</c:v>
                </c:pt>
                <c:pt idx="10">
                  <c:v>10.295969853611027</c:v>
                </c:pt>
                <c:pt idx="11">
                  <c:v>9.5799099653602831</c:v>
                </c:pt>
                <c:pt idx="12">
                  <c:v>8.525007350281216</c:v>
                </c:pt>
                <c:pt idx="13">
                  <c:v>7.6025493720355399</c:v>
                </c:pt>
                <c:pt idx="14">
                  <c:v>6.7899658819480067</c:v>
                </c:pt>
                <c:pt idx="15">
                  <c:v>6.0693497575075526</c:v>
                </c:pt>
                <c:pt idx="16">
                  <c:v>5.4263602226898602</c:v>
                </c:pt>
                <c:pt idx="17">
                  <c:v>4.8494073311695125</c:v>
                </c:pt>
                <c:pt idx="18">
                  <c:v>4.3290418909804931</c:v>
                </c:pt>
                <c:pt idx="19">
                  <c:v>3.8574956452843203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0-4F7F-8954-C6293109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05728"/>
        <c:axId val="301104480"/>
      </c:scatterChart>
      <c:valAx>
        <c:axId val="3011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Radio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104480"/>
        <c:crosses val="autoZero"/>
        <c:crossBetween val="midCat"/>
        <c:majorUnit val="5.000000000000001E-2"/>
      </c:valAx>
      <c:valAx>
        <c:axId val="3011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Angulo de Calado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1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1'!$F$8:$F$27</c:f>
              <c:numCache>
                <c:formatCode>General</c:formatCode>
                <c:ptCount val="20"/>
                <c:pt idx="0">
                  <c:v>2.2499999999999999E-2</c:v>
                </c:pt>
                <c:pt idx="1">
                  <c:v>4.4999999999999998E-2</c:v>
                </c:pt>
                <c:pt idx="2">
                  <c:v>6.7500000000000004E-2</c:v>
                </c:pt>
                <c:pt idx="3">
                  <c:v>0.09</c:v>
                </c:pt>
                <c:pt idx="4">
                  <c:v>0.1125</c:v>
                </c:pt>
                <c:pt idx="5">
                  <c:v>0.13500000000000001</c:v>
                </c:pt>
                <c:pt idx="6">
                  <c:v>0.1575</c:v>
                </c:pt>
                <c:pt idx="7">
                  <c:v>0.18</c:v>
                </c:pt>
                <c:pt idx="8">
                  <c:v>0.20250000000000001</c:v>
                </c:pt>
                <c:pt idx="9">
                  <c:v>0.22500000000000001</c:v>
                </c:pt>
                <c:pt idx="10">
                  <c:v>0.2475</c:v>
                </c:pt>
                <c:pt idx="11">
                  <c:v>0.27</c:v>
                </c:pt>
                <c:pt idx="12">
                  <c:v>0.29249999999999998</c:v>
                </c:pt>
                <c:pt idx="13">
                  <c:v>0.315</c:v>
                </c:pt>
                <c:pt idx="14">
                  <c:v>0.33750000000000002</c:v>
                </c:pt>
                <c:pt idx="15">
                  <c:v>0.36</c:v>
                </c:pt>
                <c:pt idx="16">
                  <c:v>0.38250000000000001</c:v>
                </c:pt>
                <c:pt idx="17">
                  <c:v>0.40500000000000003</c:v>
                </c:pt>
                <c:pt idx="18">
                  <c:v>0.42749999999999999</c:v>
                </c:pt>
                <c:pt idx="19">
                  <c:v>0.45</c:v>
                </c:pt>
              </c:numCache>
            </c:numRef>
          </c:xVal>
          <c:yVal>
            <c:numRef>
              <c:f>'Metodo 1'!$Z$8:$Z$27</c:f>
              <c:numCache>
                <c:formatCode>General</c:formatCode>
                <c:ptCount val="20"/>
                <c:pt idx="0">
                  <c:v>1.2684345621354436</c:v>
                </c:pt>
                <c:pt idx="1">
                  <c:v>5.3800287626787906</c:v>
                </c:pt>
                <c:pt idx="2">
                  <c:v>13.016705582058464</c:v>
                </c:pt>
                <c:pt idx="3">
                  <c:v>24.440084686895759</c:v>
                </c:pt>
                <c:pt idx="4">
                  <c:v>39.730259398667769</c:v>
                </c:pt>
                <c:pt idx="5">
                  <c:v>58.894666268774863</c:v>
                </c:pt>
                <c:pt idx="6">
                  <c:v>81.914569060820327</c:v>
                </c:pt>
                <c:pt idx="7">
                  <c:v>108.76400005594701</c:v>
                </c:pt>
                <c:pt idx="8">
                  <c:v>139.41706257836199</c:v>
                </c:pt>
                <c:pt idx="9">
                  <c:v>173.85043909651421</c:v>
                </c:pt>
                <c:pt idx="10">
                  <c:v>212.04397931613099</c:v>
                </c:pt>
                <c:pt idx="11">
                  <c:v>253.98056292958336</c:v>
                </c:pt>
                <c:pt idx="12">
                  <c:v>299.64572766115703</c:v>
                </c:pt>
                <c:pt idx="13">
                  <c:v>349.02725818645479</c:v>
                </c:pt>
                <c:pt idx="14">
                  <c:v>402.11480804852044</c:v>
                </c:pt>
                <c:pt idx="15">
                  <c:v>458.89957574339547</c:v>
                </c:pt>
                <c:pt idx="16">
                  <c:v>519.37403598375727</c:v>
                </c:pt>
                <c:pt idx="17">
                  <c:v>583.53172000535017</c:v>
                </c:pt>
                <c:pt idx="18">
                  <c:v>651.36703702198622</c:v>
                </c:pt>
                <c:pt idx="19">
                  <c:v>722.87512927212845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1-4DAF-A4F2-41555571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05728"/>
        <c:axId val="301104480"/>
      </c:scatterChart>
      <c:valAx>
        <c:axId val="3011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Radio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104480"/>
        <c:crosses val="autoZero"/>
        <c:crossBetween val="midCat"/>
        <c:majorUnit val="5.000000000000001E-2"/>
      </c:valAx>
      <c:valAx>
        <c:axId val="3011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Potencia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1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1'!$F$8:$F$27</c:f>
              <c:numCache>
                <c:formatCode>General</c:formatCode>
                <c:ptCount val="20"/>
                <c:pt idx="0">
                  <c:v>2.2499999999999999E-2</c:v>
                </c:pt>
                <c:pt idx="1">
                  <c:v>4.4999999999999998E-2</c:v>
                </c:pt>
                <c:pt idx="2">
                  <c:v>6.7500000000000004E-2</c:v>
                </c:pt>
                <c:pt idx="3">
                  <c:v>0.09</c:v>
                </c:pt>
                <c:pt idx="4">
                  <c:v>0.1125</c:v>
                </c:pt>
                <c:pt idx="5">
                  <c:v>0.13500000000000001</c:v>
                </c:pt>
                <c:pt idx="6">
                  <c:v>0.1575</c:v>
                </c:pt>
                <c:pt idx="7">
                  <c:v>0.18</c:v>
                </c:pt>
                <c:pt idx="8">
                  <c:v>0.20250000000000001</c:v>
                </c:pt>
                <c:pt idx="9">
                  <c:v>0.22500000000000001</c:v>
                </c:pt>
                <c:pt idx="10">
                  <c:v>0.2475</c:v>
                </c:pt>
                <c:pt idx="11">
                  <c:v>0.27</c:v>
                </c:pt>
                <c:pt idx="12">
                  <c:v>0.29249999999999998</c:v>
                </c:pt>
                <c:pt idx="13">
                  <c:v>0.315</c:v>
                </c:pt>
                <c:pt idx="14">
                  <c:v>0.33750000000000002</c:v>
                </c:pt>
                <c:pt idx="15">
                  <c:v>0.36</c:v>
                </c:pt>
                <c:pt idx="16">
                  <c:v>0.38250000000000001</c:v>
                </c:pt>
                <c:pt idx="17">
                  <c:v>0.40500000000000003</c:v>
                </c:pt>
                <c:pt idx="18">
                  <c:v>0.42749999999999999</c:v>
                </c:pt>
                <c:pt idx="19">
                  <c:v>0.45</c:v>
                </c:pt>
              </c:numCache>
            </c:numRef>
          </c:xVal>
          <c:yVal>
            <c:numRef>
              <c:f>'Metodo 1'!$AA$8:$AA$27</c:f>
              <c:numCache>
                <c:formatCode>General</c:formatCode>
                <c:ptCount val="20"/>
                <c:pt idx="0">
                  <c:v>9.1082458824431875E-2</c:v>
                </c:pt>
                <c:pt idx="1">
                  <c:v>0.3863236329874028</c:v>
                </c:pt>
                <c:pt idx="2">
                  <c:v>0.93469035423602298</c:v>
                </c:pt>
                <c:pt idx="3">
                  <c:v>1.7549687414793982</c:v>
                </c:pt>
                <c:pt idx="4">
                  <c:v>2.8529100544776433</c:v>
                </c:pt>
                <c:pt idx="5">
                  <c:v>4.229048289549481</c:v>
                </c:pt>
                <c:pt idx="6">
                  <c:v>5.8820380540896702</c:v>
                </c:pt>
                <c:pt idx="7">
                  <c:v>7.8100146845560978</c:v>
                </c:pt>
                <c:pt idx="8">
                  <c:v>10.011118618794743</c:v>
                </c:pt>
                <c:pt idx="9">
                  <c:v>12.483675495217877</c:v>
                </c:pt>
                <c:pt idx="10">
                  <c:v>15.22623838199064</c:v>
                </c:pt>
                <c:pt idx="11">
                  <c:v>18.237577921477072</c:v>
                </c:pt>
                <c:pt idx="12">
                  <c:v>21.516655621293271</c:v>
                </c:pt>
                <c:pt idx="13">
                  <c:v>25.06259433584998</c:v>
                </c:pt>
                <c:pt idx="14">
                  <c:v>28.874651117290195</c:v>
                </c:pt>
                <c:pt idx="15">
                  <c:v>32.952193956170291</c:v>
                </c:pt>
                <c:pt idx="16">
                  <c:v>37.294682484312695</c:v>
                </c:pt>
                <c:pt idx="17">
                  <c:v>41.90165219927357</c:v>
                </c:pt>
                <c:pt idx="18">
                  <c:v>46.772701643565107</c:v>
                </c:pt>
                <c:pt idx="19">
                  <c:v>51.907481995988036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2-4E76-AD8D-6E79B375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05728"/>
        <c:axId val="301104480"/>
      </c:scatterChart>
      <c:valAx>
        <c:axId val="3011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Radio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104480"/>
        <c:crosses val="autoZero"/>
        <c:crossBetween val="midCat"/>
        <c:majorUnit val="5.000000000000001E-2"/>
      </c:valAx>
      <c:valAx>
        <c:axId val="3011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Par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1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</xdr:row>
      <xdr:rowOff>142875</xdr:rowOff>
    </xdr:from>
    <xdr:ext cx="923925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6248400" y="523875"/>
              <a:ext cx="923925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30</m:t>
                        </m:r>
                        <m:r>
                          <m:rPr>
                            <m:sty m:val="p"/>
                          </m:rPr>
                          <a:rPr lang="el-GR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λ</m:t>
                        </m:r>
                        <m:r>
                          <a:rPr lang="es-MX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</m:oMath>
                </m:oMathPara>
              </a14:m>
              <a:endParaRPr lang="es-MX" sz="14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248400" y="523875"/>
              <a:ext cx="923925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𝑛=30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0</xdr:col>
      <xdr:colOff>1085850</xdr:colOff>
      <xdr:row>15</xdr:row>
      <xdr:rowOff>161925</xdr:rowOff>
    </xdr:from>
    <xdr:ext cx="904875" cy="369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085850" y="3028950"/>
              <a:ext cx="904875" cy="36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λ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MX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lang="es-MX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𝑛𝑟</m:t>
                        </m:r>
                      </m:num>
                      <m:den>
                        <m:r>
                          <a:rPr lang="es-MX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</m:t>
                        </m:r>
                        <m:r>
                          <a:rPr lang="es-MX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den>
                    </m:f>
                  </m:oMath>
                </m:oMathPara>
              </a14:m>
              <a:endParaRPr lang="es-MX" sz="14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085850" y="3028950"/>
              <a:ext cx="904875" cy="36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λ</a:t>
              </a:r>
              <a:r>
                <a:rPr lang="es-MX" sz="1400" b="0" i="0">
                  <a:latin typeface="Cambria Math" panose="02040503050406030204" pitchFamily="18" charset="0"/>
                </a:rPr>
                <a:t>𝑖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30𝑣</a:t>
              </a:r>
              <a:endParaRPr lang="es-MX" sz="1400"/>
            </a:p>
          </xdr:txBody>
        </xdr:sp>
      </mc:Fallback>
    </mc:AlternateContent>
    <xdr:clientData/>
  </xdr:oneCellAnchor>
  <xdr:twoCellAnchor>
    <xdr:from>
      <xdr:col>0</xdr:col>
      <xdr:colOff>190500</xdr:colOff>
      <xdr:row>18</xdr:row>
      <xdr:rowOff>171450</xdr:rowOff>
    </xdr:from>
    <xdr:to>
      <xdr:col>2</xdr:col>
      <xdr:colOff>600075</xdr:colOff>
      <xdr:row>21</xdr:row>
      <xdr:rowOff>47625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609975"/>
          <a:ext cx="2733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904875</xdr:colOff>
      <xdr:row>22</xdr:row>
      <xdr:rowOff>66675</xdr:rowOff>
    </xdr:from>
    <xdr:to>
      <xdr:col>1</xdr:col>
      <xdr:colOff>847725</xdr:colOff>
      <xdr:row>25</xdr:row>
      <xdr:rowOff>142875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4267200"/>
          <a:ext cx="13811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657225</xdr:colOff>
      <xdr:row>26</xdr:row>
      <xdr:rowOff>66675</xdr:rowOff>
    </xdr:from>
    <xdr:to>
      <xdr:col>2</xdr:col>
      <xdr:colOff>190500</xdr:colOff>
      <xdr:row>28</xdr:row>
      <xdr:rowOff>142875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5029200"/>
          <a:ext cx="18573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29</xdr:row>
      <xdr:rowOff>57150</xdr:rowOff>
    </xdr:from>
    <xdr:to>
      <xdr:col>2</xdr:col>
      <xdr:colOff>466725</xdr:colOff>
      <xdr:row>31</xdr:row>
      <xdr:rowOff>152400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581650"/>
          <a:ext cx="24479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2</xdr:row>
      <xdr:rowOff>57150</xdr:rowOff>
    </xdr:from>
    <xdr:to>
      <xdr:col>12</xdr:col>
      <xdr:colOff>1209675</xdr:colOff>
      <xdr:row>4</xdr:row>
      <xdr:rowOff>95250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438150"/>
          <a:ext cx="10287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133350</xdr:colOff>
      <xdr:row>3</xdr:row>
      <xdr:rowOff>180975</xdr:rowOff>
    </xdr:from>
    <xdr:to>
      <xdr:col>16</xdr:col>
      <xdr:colOff>742950</xdr:colOff>
      <xdr:row>4</xdr:row>
      <xdr:rowOff>171450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0" y="752475"/>
          <a:ext cx="609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466725</xdr:colOff>
      <xdr:row>28</xdr:row>
      <xdr:rowOff>92392</xdr:rowOff>
    </xdr:from>
    <xdr:to>
      <xdr:col>9</xdr:col>
      <xdr:colOff>389668</xdr:colOff>
      <xdr:row>44</xdr:row>
      <xdr:rowOff>11478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682535</xdr:colOff>
      <xdr:row>28</xdr:row>
      <xdr:rowOff>80689</xdr:rowOff>
    </xdr:from>
    <xdr:to>
      <xdr:col>12</xdr:col>
      <xdr:colOff>1519878</xdr:colOff>
      <xdr:row>43</xdr:row>
      <xdr:rowOff>184832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323850</xdr:colOff>
      <xdr:row>0</xdr:row>
      <xdr:rowOff>0</xdr:rowOff>
    </xdr:from>
    <xdr:to>
      <xdr:col>18</xdr:col>
      <xdr:colOff>85725</xdr:colOff>
      <xdr:row>3</xdr:row>
      <xdr:rowOff>57150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06775" y="0"/>
          <a:ext cx="2857500" cy="628650"/>
        </a:xfrm>
        <a:prstGeom prst="rect">
          <a:avLst/>
        </a:prstGeom>
      </xdr:spPr>
    </xdr:pic>
    <xdr:clientData/>
  </xdr:twoCellAnchor>
  <xdr:twoCellAnchor>
    <xdr:from>
      <xdr:col>20</xdr:col>
      <xdr:colOff>247650</xdr:colOff>
      <xdr:row>1</xdr:row>
      <xdr:rowOff>180975</xdr:rowOff>
    </xdr:from>
    <xdr:to>
      <xdr:col>23</xdr:col>
      <xdr:colOff>9525</xdr:colOff>
      <xdr:row>3</xdr:row>
      <xdr:rowOff>28575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0" y="371475"/>
          <a:ext cx="2533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544287</xdr:colOff>
      <xdr:row>28</xdr:row>
      <xdr:rowOff>87085</xdr:rowOff>
    </xdr:from>
    <xdr:to>
      <xdr:col>17</xdr:col>
      <xdr:colOff>489001</xdr:colOff>
      <xdr:row>44</xdr:row>
      <xdr:rowOff>6171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70F0C76-2F40-4103-BA33-F7F0C6944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881744</xdr:colOff>
      <xdr:row>28</xdr:row>
      <xdr:rowOff>76200</xdr:rowOff>
    </xdr:from>
    <xdr:to>
      <xdr:col>22</xdr:col>
      <xdr:colOff>902658</xdr:colOff>
      <xdr:row>43</xdr:row>
      <xdr:rowOff>180343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E236804-3A1E-4765-A799-D130898EE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"/>
  <sheetViews>
    <sheetView tabSelected="1" zoomScale="70" zoomScaleNormal="70" workbookViewId="0">
      <selection activeCell="C9" sqref="C9"/>
    </sheetView>
  </sheetViews>
  <sheetFormatPr baseColWidth="10" defaultColWidth="9.109375" defaultRowHeight="14.4" x14ac:dyDescent="0.3"/>
  <cols>
    <col min="1" max="1" width="21.5546875" customWidth="1"/>
    <col min="2" max="2" width="13.88671875" customWidth="1"/>
    <col min="3" max="3" width="11.88671875" customWidth="1"/>
    <col min="6" max="6" width="10.44140625" customWidth="1"/>
    <col min="7" max="7" width="7.6640625" customWidth="1"/>
    <col min="8" max="8" width="15.5546875" customWidth="1"/>
    <col min="9" max="9" width="17.6640625" customWidth="1"/>
    <col min="10" max="10" width="21.33203125" customWidth="1"/>
    <col min="11" max="11" width="18.6640625" customWidth="1"/>
    <col min="12" max="12" width="16" customWidth="1"/>
    <col min="13" max="13" width="23" customWidth="1"/>
    <col min="14" max="14" width="15.44140625" customWidth="1"/>
    <col min="15" max="15" width="22.109375" customWidth="1"/>
    <col min="16" max="16" width="16.6640625" customWidth="1"/>
    <col min="17" max="18" width="14.88671875" customWidth="1"/>
    <col min="20" max="20" width="15.88671875" customWidth="1"/>
    <col min="21" max="21" width="12.6640625" customWidth="1"/>
    <col min="22" max="22" width="15.44140625" customWidth="1"/>
    <col min="23" max="23" width="13.44140625" customWidth="1"/>
    <col min="26" max="26" width="9.109375" customWidth="1"/>
  </cols>
  <sheetData>
    <row r="1" spans="1:27" ht="15" customHeight="1" x14ac:dyDescent="0.3">
      <c r="A1" s="19" t="s">
        <v>38</v>
      </c>
      <c r="B1" s="19"/>
      <c r="C1" s="19"/>
      <c r="D1" s="19"/>
      <c r="E1" s="19"/>
      <c r="F1" s="19"/>
      <c r="G1" s="19"/>
    </row>
    <row r="2" spans="1:27" ht="15" customHeight="1" x14ac:dyDescent="0.3">
      <c r="A2" s="19"/>
      <c r="B2" s="19"/>
      <c r="C2" s="19"/>
      <c r="D2" s="19"/>
      <c r="E2" s="19"/>
      <c r="F2" s="19"/>
      <c r="G2" s="19"/>
    </row>
    <row r="5" spans="1:27" x14ac:dyDescent="0.3">
      <c r="O5" t="s">
        <v>25</v>
      </c>
      <c r="T5" t="s">
        <v>33</v>
      </c>
      <c r="Z5" t="s">
        <v>36</v>
      </c>
      <c r="AA5" t="s">
        <v>37</v>
      </c>
    </row>
    <row r="6" spans="1:27" ht="15" customHeight="1" x14ac:dyDescent="0.3">
      <c r="A6" t="s">
        <v>0</v>
      </c>
      <c r="H6" s="20" t="s">
        <v>6</v>
      </c>
      <c r="I6" s="20" t="s">
        <v>10</v>
      </c>
      <c r="J6" s="20" t="s">
        <v>11</v>
      </c>
      <c r="K6" s="21" t="s">
        <v>15</v>
      </c>
      <c r="L6" s="22" t="s">
        <v>13</v>
      </c>
      <c r="M6" s="25" t="s">
        <v>14</v>
      </c>
      <c r="N6" s="22" t="s">
        <v>24</v>
      </c>
      <c r="O6" s="23" t="s">
        <v>18</v>
      </c>
      <c r="P6" s="17" t="s">
        <v>26</v>
      </c>
      <c r="Q6" s="17" t="s">
        <v>27</v>
      </c>
      <c r="R6" s="15" t="s">
        <v>34</v>
      </c>
      <c r="U6" s="12" t="s">
        <v>31</v>
      </c>
      <c r="V6" s="12" t="s">
        <v>32</v>
      </c>
      <c r="W6" s="12" t="s">
        <v>28</v>
      </c>
      <c r="X6" s="13" t="s">
        <v>35</v>
      </c>
    </row>
    <row r="7" spans="1:27" x14ac:dyDescent="0.3">
      <c r="A7" s="2" t="s">
        <v>1</v>
      </c>
      <c r="B7" s="2">
        <v>1.5667</v>
      </c>
      <c r="E7" s="1" t="s">
        <v>3</v>
      </c>
      <c r="F7" s="1" t="s">
        <v>16</v>
      </c>
      <c r="G7" s="3" t="s">
        <v>9</v>
      </c>
      <c r="H7" s="20"/>
      <c r="I7" s="20"/>
      <c r="J7" s="20"/>
      <c r="K7" s="21"/>
      <c r="L7" s="22"/>
      <c r="M7" s="25"/>
      <c r="N7" s="22"/>
      <c r="O7" s="24"/>
      <c r="P7" s="18"/>
      <c r="Q7" s="18"/>
      <c r="R7" s="16"/>
    </row>
    <row r="8" spans="1:27" x14ac:dyDescent="0.3">
      <c r="A8" s="2" t="s">
        <v>2</v>
      </c>
      <c r="B8" s="2">
        <v>0.45</v>
      </c>
      <c r="E8">
        <v>1</v>
      </c>
      <c r="F8">
        <v>2.2499999999999999E-2</v>
      </c>
      <c r="G8">
        <f>PI()*F8*B$11/(30*B$7)</f>
        <v>0.2</v>
      </c>
      <c r="H8">
        <f>30*G8*B$7/(PI()*F8)</f>
        <v>132.98562631577195</v>
      </c>
      <c r="I8">
        <f>SQRT(POWER(G8,2)+1)*COS((ATAN(G8)/3)+(PI()/3))</f>
        <v>0.45072879670936422</v>
      </c>
      <c r="J8">
        <f>SQRT(1+((1-POWER(I8,2))/POWER(G8,2)))</f>
        <v>4.5739576731123357</v>
      </c>
      <c r="K8">
        <f>_xlfn.ACOT(G8*((1+J8)/(1+I8)))</f>
        <v>0.9156005112966773</v>
      </c>
      <c r="L8">
        <f>(8*PI()*F8*(1-I8)*POWER(SIN(K8),2))/(B$9*(1+I8)*COS(K8))</f>
        <v>7.3642477516307508E-2</v>
      </c>
      <c r="M8" s="7">
        <f>(B$7*(1+I8))/(2*SIN(K8))</f>
        <v>1.4332038972930197</v>
      </c>
      <c r="N8" s="22"/>
      <c r="O8">
        <f>'Parte 1'!D11</f>
        <v>5.1570362406377808E-2</v>
      </c>
      <c r="P8">
        <f>'Parte 1'!F$11</f>
        <v>8.5</v>
      </c>
      <c r="Q8">
        <f>DEGREES(K8)-P8</f>
        <v>43.960045017319864</v>
      </c>
      <c r="R8">
        <f>'Parte 1'!E11</f>
        <v>56420.491897430613</v>
      </c>
      <c r="T8">
        <f>POWER((B$12*F8/B$7),2)*(1+I8)*(J8-1)</f>
        <v>0.20739373258417837</v>
      </c>
      <c r="U8">
        <f>B$12^2*1000*PI()*POWER(F8,3)*0.0225*B$7*(1+I8)*(J8-1)</f>
        <v>1.2684345621354436</v>
      </c>
      <c r="V8">
        <f>1000*PI()*F8*0.0225*B$7^3</f>
        <v>6.1160698847088009</v>
      </c>
      <c r="W8">
        <f>U8/V8</f>
        <v>0.20739373258417834</v>
      </c>
      <c r="X8">
        <f>B$12*1000*PI()*POWER(F8,3)*0.0225*B$7*(1+I8)*(J8-1)</f>
        <v>9.1082458824431875E-2</v>
      </c>
      <c r="Z8">
        <f>U8</f>
        <v>1.2684345621354436</v>
      </c>
      <c r="AA8">
        <f>X8</f>
        <v>9.1082458824431875E-2</v>
      </c>
    </row>
    <row r="9" spans="1:27" x14ac:dyDescent="0.3">
      <c r="A9" s="3" t="s">
        <v>12</v>
      </c>
      <c r="B9" s="1">
        <v>3</v>
      </c>
      <c r="E9">
        <v>2</v>
      </c>
      <c r="F9">
        <v>4.4999999999999998E-2</v>
      </c>
      <c r="G9">
        <f t="shared" ref="G9:G27" si="0">PI()*F9*B$11/(30*B$7)</f>
        <v>0.4</v>
      </c>
      <c r="H9">
        <f t="shared" ref="H9:H27" si="1">30*G9*B$7/(PI()*F9)</f>
        <v>132.98562631577195</v>
      </c>
      <c r="I9">
        <f t="shared" ref="I9:I27" si="2">SQRT(POWER(G9,2)+1)*COS((ATAN(G9)/3)+(PI()/3))</f>
        <v>0.41620336692013554</v>
      </c>
      <c r="J9">
        <f t="shared" ref="J9:J27" si="3">SQRT(1+((1-POWER(I9,2))/POWER(G9,2)))</f>
        <v>2.483413423803444</v>
      </c>
      <c r="K9">
        <f t="shared" ref="K9:K27" si="4">_xlfn.ACOT(G9*((1+J9)/(1+I9)))</f>
        <v>0.79352663312168792</v>
      </c>
      <c r="L9">
        <f>(8*PI()*F9*(1-I9)*POWER(SIN(K9),2))/(B$9*(1+I9)*COS(K9))</f>
        <v>0.11259375510630804</v>
      </c>
      <c r="M9" s="7">
        <f t="shared" ref="M9:M27" si="5">(B$7*(1+I9))/(2*SIN(K9))</f>
        <v>1.5563055244291424</v>
      </c>
      <c r="N9" s="22"/>
      <c r="O9">
        <f>'Parte 2'!D$11</f>
        <v>8.1648843441847738E-2</v>
      </c>
      <c r="P9">
        <f>'Parte 2'!F$11</f>
        <v>7</v>
      </c>
      <c r="Q9">
        <f t="shared" ref="Q9:Q27" si="6">DEGREES(K9)-P9</f>
        <v>38.465727009098799</v>
      </c>
      <c r="R9">
        <f>'Parte 2'!E11</f>
        <v>97000.416879234966</v>
      </c>
      <c r="T9">
        <f>POWER((B$12*F9/B$7),2)*(1+I9)*(J9-1)</f>
        <v>0.3361304136519942</v>
      </c>
      <c r="U9">
        <f t="shared" ref="U9:U27" si="7">B$12^2*1000*PI()*POWER(F9,3)*0.0225*B$7*(1+I9)*(J9-1)</f>
        <v>4.1115942005433475</v>
      </c>
      <c r="V9">
        <f t="shared" ref="V9:V27" si="8">1000*PI()*F9*0.0225*B$7^3</f>
        <v>12.232139769417602</v>
      </c>
      <c r="W9">
        <f>U9/V9</f>
        <v>0.3361304136519942</v>
      </c>
      <c r="X9">
        <f t="shared" ref="X9:X27" si="9">B$12*1000*PI()*POWER(F9,3)*0.0225*B$7*(1+I9)*(J9-1)</f>
        <v>0.29524117416297091</v>
      </c>
      <c r="Z9">
        <f>Z8+U9</f>
        <v>5.3800287626787906</v>
      </c>
      <c r="AA9">
        <f>AA8+X9</f>
        <v>0.3863236329874028</v>
      </c>
    </row>
    <row r="10" spans="1:27" x14ac:dyDescent="0.3">
      <c r="A10" s="4" t="s">
        <v>4</v>
      </c>
      <c r="B10" s="5">
        <v>4</v>
      </c>
      <c r="E10">
        <v>3</v>
      </c>
      <c r="F10">
        <v>6.7500000000000004E-2</v>
      </c>
      <c r="G10">
        <f t="shared" si="0"/>
        <v>0.60000000000000009</v>
      </c>
      <c r="H10">
        <f t="shared" si="1"/>
        <v>132.98562631577198</v>
      </c>
      <c r="I10">
        <f t="shared" si="2"/>
        <v>0.39270997398252883</v>
      </c>
      <c r="J10">
        <f t="shared" si="3"/>
        <v>1.8301327185743186</v>
      </c>
      <c r="K10">
        <f t="shared" si="4"/>
        <v>0.68691788434954171</v>
      </c>
      <c r="L10">
        <f t="shared" ref="L10:L27" si="10">(8*PI()*F10*(1-I10)*POWER(SIN(K10),2))/(B$9*(1+I10)*COS(K10))</f>
        <v>0.12824998653585507</v>
      </c>
      <c r="M10" s="7">
        <f t="shared" si="5"/>
        <v>1.7203613581142314</v>
      </c>
      <c r="N10" s="22"/>
      <c r="O10">
        <f>'Parte 3'!D$11</f>
        <v>9.4509938493629375E-2</v>
      </c>
      <c r="P10">
        <f>'Parte 3'!F$11</f>
        <v>6.5</v>
      </c>
      <c r="Q10">
        <f t="shared" si="6"/>
        <v>32.857495645284324</v>
      </c>
      <c r="R10">
        <f>'Parte 3'!E11</f>
        <v>124115.45507037611</v>
      </c>
      <c r="T10">
        <f t="shared" ref="T10:T27" si="11">POWER((B$12*F10/B$7),2)*(1+I10)*(J10-1)</f>
        <v>0.41620828207956678</v>
      </c>
      <c r="U10">
        <f t="shared" si="7"/>
        <v>7.636676819379673</v>
      </c>
      <c r="V10">
        <f t="shared" si="8"/>
        <v>18.348209654126403</v>
      </c>
      <c r="W10">
        <f>U10/V10</f>
        <v>0.41620828207956678</v>
      </c>
      <c r="X10">
        <f t="shared" si="9"/>
        <v>0.54836672124862018</v>
      </c>
      <c r="Z10">
        <f t="shared" ref="Z10:Z27" si="12">Z9+U10</f>
        <v>13.016705582058464</v>
      </c>
      <c r="AA10">
        <f t="shared" ref="AA10:AA27" si="13">AA9+X10</f>
        <v>0.93469035423602298</v>
      </c>
    </row>
    <row r="11" spans="1:27" x14ac:dyDescent="0.3">
      <c r="A11" t="s">
        <v>7</v>
      </c>
      <c r="B11">
        <f>30*B10*B7/(PI()*B8)</f>
        <v>132.98562631577195</v>
      </c>
      <c r="C11" t="s">
        <v>5</v>
      </c>
      <c r="E11">
        <v>4</v>
      </c>
      <c r="F11">
        <v>0.09</v>
      </c>
      <c r="G11">
        <f t="shared" si="0"/>
        <v>0.8</v>
      </c>
      <c r="H11">
        <f t="shared" si="1"/>
        <v>132.98562631577195</v>
      </c>
      <c r="I11">
        <f t="shared" si="2"/>
        <v>0.37684154237685907</v>
      </c>
      <c r="J11">
        <f t="shared" si="3"/>
        <v>1.529905252345626</v>
      </c>
      <c r="K11">
        <f t="shared" si="4"/>
        <v>0.59737025638089603</v>
      </c>
      <c r="L11">
        <f t="shared" si="10"/>
        <v>0.13057643500330252</v>
      </c>
      <c r="M11" s="7">
        <f t="shared" si="5"/>
        <v>1.9175220470799139</v>
      </c>
      <c r="N11" s="22"/>
      <c r="O11">
        <f>'Parte 4'!D$11</f>
        <v>9.5660391943811374E-2</v>
      </c>
      <c r="P11">
        <f>'Parte 4'!F$11</f>
        <v>6.5</v>
      </c>
      <c r="Q11">
        <f t="shared" si="6"/>
        <v>27.726794497273275</v>
      </c>
      <c r="R11">
        <f>'Parte 4'!E11</f>
        <v>140023.59586607947</v>
      </c>
      <c r="T11">
        <f t="shared" si="11"/>
        <v>0.46694116157001642</v>
      </c>
      <c r="U11">
        <f t="shared" si="7"/>
        <v>11.423379104837297</v>
      </c>
      <c r="V11">
        <f t="shared" si="8"/>
        <v>24.464279538835203</v>
      </c>
      <c r="W11">
        <f>U11/V11</f>
        <v>0.46694116157001647</v>
      </c>
      <c r="X11">
        <f t="shared" si="9"/>
        <v>0.8202783872433751</v>
      </c>
      <c r="Z11">
        <f t="shared" si="12"/>
        <v>24.440084686895759</v>
      </c>
      <c r="AA11">
        <f t="shared" si="13"/>
        <v>1.7549687414793982</v>
      </c>
    </row>
    <row r="12" spans="1:27" x14ac:dyDescent="0.3">
      <c r="A12" t="s">
        <v>29</v>
      </c>
      <c r="B12">
        <f>B10*B7/B8</f>
        <v>13.926222222222222</v>
      </c>
      <c r="C12" t="s">
        <v>30</v>
      </c>
      <c r="E12">
        <v>5</v>
      </c>
      <c r="F12">
        <v>0.1125</v>
      </c>
      <c r="G12">
        <f t="shared" si="0"/>
        <v>1</v>
      </c>
      <c r="H12">
        <f t="shared" si="1"/>
        <v>132.98562631577195</v>
      </c>
      <c r="I12">
        <f t="shared" si="2"/>
        <v>0.36602540378443893</v>
      </c>
      <c r="J12">
        <f t="shared" si="3"/>
        <v>1.3660254037844386</v>
      </c>
      <c r="K12">
        <f t="shared" si="4"/>
        <v>0.52359877559829893</v>
      </c>
      <c r="L12">
        <f t="shared" si="10"/>
        <v>0.12626808217153987</v>
      </c>
      <c r="M12" s="7">
        <f t="shared" si="5"/>
        <v>2.1401520001090804</v>
      </c>
      <c r="N12" s="22"/>
      <c r="O12">
        <f>'Parte 5'!D$11</f>
        <v>9.4867079016934544E-2</v>
      </c>
      <c r="P12">
        <f>'Parte 5'!F$11</f>
        <v>6</v>
      </c>
      <c r="Q12">
        <f t="shared" si="6"/>
        <v>24.000000000000004</v>
      </c>
      <c r="R12">
        <f>'Parte 5'!E11</f>
        <v>154984.70908595316</v>
      </c>
      <c r="T12">
        <f t="shared" si="11"/>
        <v>0.5</v>
      </c>
      <c r="U12">
        <f t="shared" si="7"/>
        <v>15.290174711772009</v>
      </c>
      <c r="V12">
        <f t="shared" si="8"/>
        <v>30.580349423544011</v>
      </c>
      <c r="W12">
        <f>U12/V12</f>
        <v>0.50000000000000011</v>
      </c>
      <c r="X12">
        <f t="shared" si="9"/>
        <v>1.0979413129982454</v>
      </c>
      <c r="Z12">
        <f t="shared" si="12"/>
        <v>39.730259398667769</v>
      </c>
      <c r="AA12">
        <f t="shared" si="13"/>
        <v>2.8529100544776433</v>
      </c>
    </row>
    <row r="13" spans="1:27" x14ac:dyDescent="0.3">
      <c r="E13">
        <v>6</v>
      </c>
      <c r="F13">
        <v>0.13500000000000001</v>
      </c>
      <c r="G13">
        <f t="shared" si="0"/>
        <v>1.2000000000000002</v>
      </c>
      <c r="H13">
        <f t="shared" si="1"/>
        <v>132.98562631577198</v>
      </c>
      <c r="I13">
        <f t="shared" si="2"/>
        <v>0.35851400330261035</v>
      </c>
      <c r="J13">
        <f t="shared" si="3"/>
        <v>1.2669593163675426</v>
      </c>
      <c r="K13">
        <f t="shared" si="4"/>
        <v>0.46315885079780211</v>
      </c>
      <c r="L13">
        <f t="shared" si="10"/>
        <v>0.11915294747758005</v>
      </c>
      <c r="M13" s="7">
        <f t="shared" si="5"/>
        <v>2.3819341931436351</v>
      </c>
      <c r="N13" s="22"/>
      <c r="O13">
        <f>'Parte 6'!D$11</f>
        <v>8.9521373010954211E-2</v>
      </c>
      <c r="P13">
        <f>'Parte 6'!F$11</f>
        <v>6</v>
      </c>
      <c r="Q13">
        <f t="shared" si="6"/>
        <v>20.537047394843462</v>
      </c>
      <c r="R13">
        <f>'Parte 6'!E11</f>
        <v>162774.06060454779</v>
      </c>
      <c r="T13">
        <f t="shared" si="11"/>
        <v>0.52224187622025375</v>
      </c>
      <c r="U13">
        <f t="shared" si="7"/>
        <v>19.164406870107094</v>
      </c>
      <c r="V13">
        <f t="shared" si="8"/>
        <v>36.696419308252807</v>
      </c>
      <c r="W13">
        <f t="shared" ref="W13:W19" si="14">U13/V13</f>
        <v>0.52224187622025375</v>
      </c>
      <c r="X13">
        <f t="shared" si="9"/>
        <v>1.3761382350718374</v>
      </c>
      <c r="Z13">
        <f t="shared" si="12"/>
        <v>58.894666268774863</v>
      </c>
      <c r="AA13">
        <f t="shared" si="13"/>
        <v>4.229048289549481</v>
      </c>
    </row>
    <row r="14" spans="1:27" x14ac:dyDescent="0.3">
      <c r="E14">
        <v>7</v>
      </c>
      <c r="F14">
        <v>0.1575</v>
      </c>
      <c r="G14">
        <f t="shared" si="0"/>
        <v>1.3999999999999997</v>
      </c>
      <c r="H14">
        <f t="shared" si="1"/>
        <v>132.98562631577195</v>
      </c>
      <c r="I14">
        <f t="shared" si="2"/>
        <v>0.35317712870420903</v>
      </c>
      <c r="J14">
        <f t="shared" si="3"/>
        <v>1.2027319912328025</v>
      </c>
      <c r="K14">
        <f t="shared" si="4"/>
        <v>0.4134996573218811</v>
      </c>
      <c r="L14">
        <f t="shared" si="10"/>
        <v>0.11120455860401053</v>
      </c>
      <c r="M14" s="7">
        <f t="shared" si="5"/>
        <v>2.6380482949302038</v>
      </c>
      <c r="O14">
        <f>'Parte 7'!D$11</f>
        <v>8.3486905858866756E-2</v>
      </c>
      <c r="P14">
        <f>'Parte 7'!F$11</f>
        <v>6</v>
      </c>
      <c r="Q14">
        <f t="shared" si="6"/>
        <v>17.691785194649597</v>
      </c>
      <c r="R14">
        <f>'Parte 7'!E11</f>
        <v>168124.03790074954</v>
      </c>
      <c r="T14">
        <f t="shared" si="11"/>
        <v>0.5376912958340655</v>
      </c>
      <c r="U14">
        <f t="shared" si="7"/>
        <v>23.01990279204546</v>
      </c>
      <c r="V14">
        <f t="shared" si="8"/>
        <v>42.812489192961607</v>
      </c>
      <c r="W14">
        <f t="shared" si="14"/>
        <v>0.53769129583406572</v>
      </c>
      <c r="X14">
        <f t="shared" si="9"/>
        <v>1.6529897645401892</v>
      </c>
      <c r="Z14">
        <f t="shared" si="12"/>
        <v>81.914569060820327</v>
      </c>
      <c r="AA14">
        <f t="shared" si="13"/>
        <v>5.8820380540896702</v>
      </c>
    </row>
    <row r="15" spans="1:27" x14ac:dyDescent="0.3">
      <c r="B15" t="s">
        <v>8</v>
      </c>
      <c r="E15">
        <v>8</v>
      </c>
      <c r="F15">
        <v>0.18</v>
      </c>
      <c r="G15">
        <f t="shared" si="0"/>
        <v>1.6</v>
      </c>
      <c r="H15">
        <f t="shared" si="1"/>
        <v>132.98562631577195</v>
      </c>
      <c r="I15">
        <f t="shared" si="2"/>
        <v>0.34929447222875942</v>
      </c>
      <c r="J15">
        <f t="shared" si="3"/>
        <v>1.1588641684031664</v>
      </c>
      <c r="K15">
        <f t="shared" si="4"/>
        <v>0.37239954356237503</v>
      </c>
      <c r="L15">
        <f t="shared" si="10"/>
        <v>0.10336048375265494</v>
      </c>
      <c r="M15" s="7">
        <f t="shared" si="5"/>
        <v>2.9049479882195861</v>
      </c>
      <c r="O15">
        <f>'Parte 8'!D$11</f>
        <v>7.7539747751429064E-2</v>
      </c>
      <c r="P15">
        <f>'Parte 8'!F$11</f>
        <v>6</v>
      </c>
      <c r="Q15">
        <f t="shared" si="6"/>
        <v>15.336922138722336</v>
      </c>
      <c r="R15">
        <f>'Parte 8'!E11</f>
        <v>171945.75132638781</v>
      </c>
      <c r="T15">
        <f t="shared" si="11"/>
        <v>0.54874763330972476</v>
      </c>
      <c r="U15">
        <f t="shared" si="7"/>
        <v>26.849430995126685</v>
      </c>
      <c r="V15">
        <f t="shared" si="8"/>
        <v>48.928559077670407</v>
      </c>
      <c r="W15">
        <f t="shared" si="14"/>
        <v>0.54874763330972476</v>
      </c>
      <c r="X15">
        <f t="shared" si="9"/>
        <v>1.9279766304664274</v>
      </c>
      <c r="Z15">
        <f t="shared" si="12"/>
        <v>108.76400005594701</v>
      </c>
      <c r="AA15">
        <f t="shared" si="13"/>
        <v>7.8100146845560978</v>
      </c>
    </row>
    <row r="16" spans="1:27" x14ac:dyDescent="0.3">
      <c r="E16">
        <v>9</v>
      </c>
      <c r="F16">
        <v>0.20250000000000001</v>
      </c>
      <c r="G16">
        <f t="shared" si="0"/>
        <v>1.8</v>
      </c>
      <c r="H16">
        <f t="shared" si="1"/>
        <v>132.98562631577195</v>
      </c>
      <c r="I16">
        <f t="shared" si="2"/>
        <v>0.34640480895974046</v>
      </c>
      <c r="J16">
        <f t="shared" si="3"/>
        <v>1.1276551258331455</v>
      </c>
      <c r="K16">
        <f t="shared" si="4"/>
        <v>0.33806566959489132</v>
      </c>
      <c r="L16">
        <f t="shared" si="10"/>
        <v>9.6023072131943901E-2</v>
      </c>
      <c r="M16" s="7">
        <f t="shared" si="5"/>
        <v>3.1800551141570206</v>
      </c>
      <c r="O16">
        <f>'Parte 9'!D$11</f>
        <v>7.2035312927189732E-2</v>
      </c>
      <c r="P16">
        <f>'Parte 9'!F$11</f>
        <v>6</v>
      </c>
      <c r="Q16">
        <f t="shared" si="6"/>
        <v>13.369736066051431</v>
      </c>
      <c r="R16">
        <f>'Parte 9'!E11</f>
        <v>174867.37807176416</v>
      </c>
      <c r="T16">
        <f t="shared" si="11"/>
        <v>0.55687654000474995</v>
      </c>
      <c r="U16">
        <f t="shared" si="7"/>
        <v>30.653062522414988</v>
      </c>
      <c r="V16">
        <f t="shared" si="8"/>
        <v>55.044628962379214</v>
      </c>
      <c r="W16">
        <f t="shared" si="14"/>
        <v>0.55687654000474995</v>
      </c>
      <c r="X16">
        <f t="shared" si="9"/>
        <v>2.2011039342386454</v>
      </c>
      <c r="Z16">
        <f t="shared" si="12"/>
        <v>139.41706257836199</v>
      </c>
      <c r="AA16">
        <f t="shared" si="13"/>
        <v>10.011118618794743</v>
      </c>
    </row>
    <row r="17" spans="5:28" x14ac:dyDescent="0.3">
      <c r="E17">
        <v>10</v>
      </c>
      <c r="F17">
        <v>0.22500000000000001</v>
      </c>
      <c r="G17">
        <f t="shared" si="0"/>
        <v>2</v>
      </c>
      <c r="H17">
        <f t="shared" si="1"/>
        <v>132.98562631577195</v>
      </c>
      <c r="I17">
        <f t="shared" si="2"/>
        <v>0.34420843314024036</v>
      </c>
      <c r="J17">
        <f t="shared" si="3"/>
        <v>1.1047081689925105</v>
      </c>
      <c r="K17">
        <f t="shared" si="4"/>
        <v>0.30909840600053756</v>
      </c>
      <c r="L17">
        <f t="shared" si="10"/>
        <v>8.9331397298630766E-2</v>
      </c>
      <c r="M17" s="7">
        <f t="shared" si="5"/>
        <v>3.461492576721132</v>
      </c>
      <c r="O17">
        <f>'Parte 10'!D$11</f>
        <v>6.6965065441252442E-2</v>
      </c>
      <c r="P17">
        <f>'Parte 10'!F$11</f>
        <v>6</v>
      </c>
      <c r="Q17">
        <f t="shared" si="6"/>
        <v>11.710034118052</v>
      </c>
      <c r="R17">
        <f>'Parte 10'!E11</f>
        <v>176945.86024774055</v>
      </c>
      <c r="T17">
        <f t="shared" si="11"/>
        <v>0.56299841511362392</v>
      </c>
      <c r="U17">
        <f t="shared" si="7"/>
        <v>34.433376518152215</v>
      </c>
      <c r="V17">
        <f t="shared" si="8"/>
        <v>61.160698847088021</v>
      </c>
      <c r="W17">
        <f t="shared" si="14"/>
        <v>0.56299841511362414</v>
      </c>
      <c r="X17">
        <f t="shared" si="9"/>
        <v>2.4725568764231336</v>
      </c>
      <c r="Z17">
        <f t="shared" si="12"/>
        <v>173.85043909651421</v>
      </c>
      <c r="AA17">
        <f t="shared" si="13"/>
        <v>12.483675495217877</v>
      </c>
    </row>
    <row r="18" spans="5:28" x14ac:dyDescent="0.3">
      <c r="E18">
        <v>11</v>
      </c>
      <c r="F18">
        <v>0.2475</v>
      </c>
      <c r="G18">
        <f t="shared" si="0"/>
        <v>2.2000000000000002</v>
      </c>
      <c r="H18">
        <f t="shared" si="1"/>
        <v>132.98562631577195</v>
      </c>
      <c r="I18">
        <f t="shared" si="2"/>
        <v>0.34250679993049088</v>
      </c>
      <c r="J18">
        <f t="shared" si="3"/>
        <v>1.0873701206760864</v>
      </c>
      <c r="K18">
        <f t="shared" si="4"/>
        <v>0.28441832875125078</v>
      </c>
      <c r="L18">
        <f t="shared" si="10"/>
        <v>8.3300834677370927E-2</v>
      </c>
      <c r="M18" s="7">
        <f t="shared" si="5"/>
        <v>3.747882089739095</v>
      </c>
      <c r="O18">
        <f>'Parte 11'!D$11</f>
        <v>6.2444403806125127E-2</v>
      </c>
      <c r="P18">
        <f>'Parte 11'!F$11</f>
        <v>6</v>
      </c>
      <c r="Q18">
        <f t="shared" si="6"/>
        <v>10.295969853611027</v>
      </c>
      <c r="R18">
        <f>'Parte 11'!E11</f>
        <v>178652.10887741385</v>
      </c>
      <c r="T18">
        <f t="shared" si="11"/>
        <v>0.567707708613025</v>
      </c>
      <c r="U18">
        <f t="shared" si="7"/>
        <v>38.193540219616771</v>
      </c>
      <c r="V18">
        <f t="shared" si="8"/>
        <v>67.276768731796807</v>
      </c>
      <c r="W18">
        <f t="shared" si="14"/>
        <v>0.567707708613025</v>
      </c>
      <c r="X18">
        <f t="shared" si="9"/>
        <v>2.7425628867727627</v>
      </c>
      <c r="Z18">
        <f t="shared" si="12"/>
        <v>212.04397931613099</v>
      </c>
      <c r="AA18">
        <f t="shared" si="13"/>
        <v>15.22623838199064</v>
      </c>
    </row>
    <row r="19" spans="5:28" x14ac:dyDescent="0.3">
      <c r="E19">
        <v>12</v>
      </c>
      <c r="F19">
        <v>0.27</v>
      </c>
      <c r="G19">
        <f t="shared" si="0"/>
        <v>2.4000000000000004</v>
      </c>
      <c r="H19">
        <f t="shared" si="1"/>
        <v>132.98562631577198</v>
      </c>
      <c r="I19">
        <f t="shared" si="2"/>
        <v>0.34116560539301416</v>
      </c>
      <c r="J19">
        <f t="shared" si="3"/>
        <v>1.0739663982639969</v>
      </c>
      <c r="K19">
        <f t="shared" si="4"/>
        <v>0.263194079799841</v>
      </c>
      <c r="L19">
        <f t="shared" si="10"/>
        <v>7.7892591200937764E-2</v>
      </c>
      <c r="M19" s="7">
        <f t="shared" si="5"/>
        <v>4.0381995747844899</v>
      </c>
      <c r="O19">
        <f>'Parte 12'!D$11</f>
        <v>6.0241756535914744E-2</v>
      </c>
      <c r="P19">
        <f>'Parte 12'!F$11</f>
        <v>5.5</v>
      </c>
      <c r="Q19">
        <f t="shared" si="6"/>
        <v>9.5799099653602831</v>
      </c>
      <c r="R19">
        <f>'Parte 12'!E11</f>
        <v>185700.94322717687</v>
      </c>
      <c r="T19">
        <f t="shared" si="11"/>
        <v>0.57139885040529126</v>
      </c>
      <c r="U19">
        <f t="shared" si="7"/>
        <v>41.936583613452378</v>
      </c>
      <c r="V19">
        <f t="shared" si="8"/>
        <v>73.392838616505614</v>
      </c>
      <c r="W19">
        <f t="shared" si="14"/>
        <v>0.57139885040529126</v>
      </c>
      <c r="X19">
        <f t="shared" si="9"/>
        <v>3.0113395394864315</v>
      </c>
      <c r="Z19">
        <f t="shared" si="12"/>
        <v>253.98056292958336</v>
      </c>
      <c r="AA19">
        <f t="shared" si="13"/>
        <v>18.237577921477072</v>
      </c>
    </row>
    <row r="20" spans="5:28" x14ac:dyDescent="0.3">
      <c r="E20">
        <v>13</v>
      </c>
      <c r="F20">
        <v>0.29249999999999998</v>
      </c>
      <c r="G20">
        <f t="shared" si="0"/>
        <v>2.5999999999999996</v>
      </c>
      <c r="H20">
        <f t="shared" si="1"/>
        <v>132.98562631577195</v>
      </c>
      <c r="I20">
        <f t="shared" si="2"/>
        <v>0.34009208664955298</v>
      </c>
      <c r="J20">
        <f t="shared" si="3"/>
        <v>1.06339980156023</v>
      </c>
      <c r="K20">
        <f t="shared" si="4"/>
        <v>0.24478255587881287</v>
      </c>
      <c r="L20">
        <f t="shared" si="10"/>
        <v>7.3047575056991554E-2</v>
      </c>
      <c r="M20" s="7">
        <f t="shared" si="5"/>
        <v>4.331674019671472</v>
      </c>
      <c r="O20">
        <f>'Parte 13'!D$11</f>
        <v>5.6494644282282722E-2</v>
      </c>
      <c r="P20">
        <f>'Parte 13'!F$11</f>
        <v>5.5</v>
      </c>
      <c r="Q20">
        <f t="shared" si="6"/>
        <v>8.525007350281216</v>
      </c>
      <c r="R20">
        <f>'Parte 13'!E11</f>
        <v>186806.39915125613</v>
      </c>
      <c r="T20">
        <f t="shared" si="11"/>
        <v>0.57434022919426897</v>
      </c>
      <c r="U20">
        <f t="shared" si="7"/>
        <v>45.665164731573661</v>
      </c>
      <c r="V20">
        <f t="shared" si="8"/>
        <v>79.508908501214407</v>
      </c>
      <c r="W20">
        <f>U20/V20</f>
        <v>0.57434022919426919</v>
      </c>
      <c r="X20">
        <f t="shared" si="9"/>
        <v>3.2790776998161975</v>
      </c>
      <c r="Z20">
        <f t="shared" si="12"/>
        <v>299.64572766115703</v>
      </c>
      <c r="AA20">
        <f t="shared" si="13"/>
        <v>21.516655621293271</v>
      </c>
    </row>
    <row r="21" spans="5:28" x14ac:dyDescent="0.3">
      <c r="E21">
        <v>14</v>
      </c>
      <c r="F21">
        <v>0.315</v>
      </c>
      <c r="G21">
        <f t="shared" si="0"/>
        <v>2.7999999999999994</v>
      </c>
      <c r="H21">
        <f t="shared" si="1"/>
        <v>132.98562631577195</v>
      </c>
      <c r="I21">
        <f t="shared" si="2"/>
        <v>0.33922087768959364</v>
      </c>
      <c r="J21">
        <f t="shared" si="3"/>
        <v>1.0549282544119145</v>
      </c>
      <c r="K21">
        <f t="shared" si="4"/>
        <v>0.22868262694713562</v>
      </c>
      <c r="L21">
        <f t="shared" si="10"/>
        <v>6.8702420208751808E-2</v>
      </c>
      <c r="M21" s="7">
        <f t="shared" si="5"/>
        <v>4.6277170693240093</v>
      </c>
      <c r="O21">
        <f>'Parte 14'!D$11</f>
        <v>5.3134122357890029E-2</v>
      </c>
      <c r="P21">
        <f>'Parte 14'!F$11</f>
        <v>5.5</v>
      </c>
      <c r="Q21">
        <f t="shared" si="6"/>
        <v>7.6025493720355399</v>
      </c>
      <c r="R21">
        <f>'Parte 14'!E11</f>
        <v>187702.04961767799</v>
      </c>
      <c r="T21">
        <f t="shared" si="11"/>
        <v>0.57671875025449437</v>
      </c>
      <c r="U21">
        <f t="shared" si="7"/>
        <v>49.381530525297755</v>
      </c>
      <c r="V21">
        <f t="shared" si="8"/>
        <v>85.624978385923214</v>
      </c>
      <c r="W21">
        <f>U21/V21</f>
        <v>0.57671875025449471</v>
      </c>
      <c r="X21">
        <f t="shared" si="9"/>
        <v>3.5459387145567103</v>
      </c>
      <c r="Z21">
        <f t="shared" si="12"/>
        <v>349.02725818645479</v>
      </c>
      <c r="AA21">
        <f t="shared" si="13"/>
        <v>25.06259433584998</v>
      </c>
    </row>
    <row r="22" spans="5:28" x14ac:dyDescent="0.3">
      <c r="E22">
        <v>15</v>
      </c>
      <c r="F22">
        <v>0.33750000000000002</v>
      </c>
      <c r="G22">
        <f t="shared" si="0"/>
        <v>3</v>
      </c>
      <c r="H22">
        <f t="shared" si="1"/>
        <v>132.98562631577195</v>
      </c>
      <c r="I22">
        <f t="shared" si="2"/>
        <v>0.33850504337249815</v>
      </c>
      <c r="J22">
        <f t="shared" si="3"/>
        <v>1.0480359586500299</v>
      </c>
      <c r="K22">
        <f t="shared" si="4"/>
        <v>0.21450036959776145</v>
      </c>
      <c r="L22">
        <f t="shared" si="10"/>
        <v>6.4796666660997107E-2</v>
      </c>
      <c r="M22" s="7">
        <f t="shared" si="5"/>
        <v>4.9258738092510059</v>
      </c>
      <c r="O22">
        <f>'Parte 15'!D$11</f>
        <v>5.0074703756566544E-2</v>
      </c>
      <c r="P22">
        <f>'Parte 15'!F$11</f>
        <v>5.5</v>
      </c>
      <c r="Q22">
        <f t="shared" si="6"/>
        <v>6.7899658819480067</v>
      </c>
      <c r="R22">
        <f>'Parte 15'!E11</f>
        <v>188291.35247364437</v>
      </c>
      <c r="T22">
        <f t="shared" si="11"/>
        <v>0.57866735624667964</v>
      </c>
      <c r="U22">
        <f t="shared" si="7"/>
        <v>53.087549862065671</v>
      </c>
      <c r="V22">
        <f t="shared" si="8"/>
        <v>91.741048270632035</v>
      </c>
      <c r="W22">
        <f>U22/V22</f>
        <v>0.57866735624667975</v>
      </c>
      <c r="X22">
        <f t="shared" si="9"/>
        <v>3.8120567814402162</v>
      </c>
      <c r="Z22">
        <f t="shared" si="12"/>
        <v>402.11480804852044</v>
      </c>
      <c r="AA22">
        <f t="shared" si="13"/>
        <v>28.874651117290195</v>
      </c>
    </row>
    <row r="23" spans="5:28" x14ac:dyDescent="0.3">
      <c r="E23">
        <v>16</v>
      </c>
      <c r="F23">
        <v>0.36</v>
      </c>
      <c r="G23">
        <f t="shared" si="0"/>
        <v>3.2</v>
      </c>
      <c r="H23">
        <f t="shared" si="1"/>
        <v>132.98562631577195</v>
      </c>
      <c r="I23">
        <f t="shared" si="2"/>
        <v>0.33791028863642014</v>
      </c>
      <c r="J23">
        <f t="shared" si="3"/>
        <v>1.0423557602569222</v>
      </c>
      <c r="K23">
        <f t="shared" si="4"/>
        <v>0.20192324558331434</v>
      </c>
      <c r="L23">
        <f t="shared" si="10"/>
        <v>6.1275606813194418E-2</v>
      </c>
      <c r="M23" s="7">
        <f t="shared" si="5"/>
        <v>5.2257880627024633</v>
      </c>
      <c r="O23">
        <f>'Parte 16'!D$11</f>
        <v>4.7353637413596925E-2</v>
      </c>
      <c r="P23">
        <f>'Parte 16'!F$11</f>
        <v>5.5</v>
      </c>
      <c r="Q23">
        <f t="shared" si="6"/>
        <v>6.0693497575075526</v>
      </c>
      <c r="R23">
        <f>'Parte 16'!E11</f>
        <v>188900.81917672945</v>
      </c>
      <c r="T23">
        <f t="shared" si="11"/>
        <v>0.58028244409091922</v>
      </c>
      <c r="U23">
        <f t="shared" si="7"/>
        <v>56.784767694875036</v>
      </c>
      <c r="V23">
        <f t="shared" si="8"/>
        <v>97.857118155340814</v>
      </c>
      <c r="W23">
        <f>U23/V23</f>
        <v>0.58028244409091922</v>
      </c>
      <c r="X23">
        <f t="shared" si="9"/>
        <v>4.0775428388800927</v>
      </c>
      <c r="Z23">
        <f t="shared" si="12"/>
        <v>458.89957574339547</v>
      </c>
      <c r="AA23">
        <f t="shared" si="13"/>
        <v>32.952193956170291</v>
      </c>
    </row>
    <row r="24" spans="5:28" x14ac:dyDescent="0.3">
      <c r="E24">
        <v>17</v>
      </c>
      <c r="F24">
        <v>0.38250000000000001</v>
      </c>
      <c r="G24">
        <f t="shared" si="0"/>
        <v>3.4000000000000004</v>
      </c>
      <c r="H24">
        <f t="shared" si="1"/>
        <v>132.98562631577195</v>
      </c>
      <c r="I24">
        <f t="shared" si="2"/>
        <v>0.33741114698807612</v>
      </c>
      <c r="J24">
        <f t="shared" si="3"/>
        <v>1.0376207862273621</v>
      </c>
      <c r="K24">
        <f t="shared" si="4"/>
        <v>0.19070096114487889</v>
      </c>
      <c r="L24">
        <f t="shared" si="10"/>
        <v>5.8091053565507846E-2</v>
      </c>
      <c r="M24" s="7">
        <f t="shared" si="5"/>
        <v>5.5271776516601863</v>
      </c>
      <c r="O24">
        <f>'Parte 17'!D$11</f>
        <v>4.489262253903234E-2</v>
      </c>
      <c r="P24">
        <f>'Parte 17'!F$11</f>
        <v>5.5</v>
      </c>
      <c r="Q24">
        <f t="shared" si="6"/>
        <v>5.4263602226898602</v>
      </c>
      <c r="R24">
        <f>'Parte 17'!E11</f>
        <v>189411.83207798161</v>
      </c>
      <c r="T24">
        <f t="shared" si="11"/>
        <v>0.5816351444092257</v>
      </c>
      <c r="U24">
        <f t="shared" si="7"/>
        <v>60.47446024036185</v>
      </c>
      <c r="V24">
        <f t="shared" si="8"/>
        <v>103.97318804004964</v>
      </c>
      <c r="W24">
        <f t="shared" ref="W24:W27" si="15">U24/V24</f>
        <v>0.5816351444092257</v>
      </c>
      <c r="X24">
        <f t="shared" si="9"/>
        <v>4.3424885281424066</v>
      </c>
      <c r="Z24">
        <f t="shared" si="12"/>
        <v>519.37403598375727</v>
      </c>
      <c r="AA24">
        <f t="shared" si="13"/>
        <v>37.294682484312695</v>
      </c>
    </row>
    <row r="25" spans="5:28" x14ac:dyDescent="0.3">
      <c r="E25">
        <v>18</v>
      </c>
      <c r="F25">
        <v>0.40500000000000003</v>
      </c>
      <c r="G25">
        <f t="shared" si="0"/>
        <v>3.6</v>
      </c>
      <c r="H25">
        <f t="shared" si="1"/>
        <v>132.98562631577195</v>
      </c>
      <c r="I25">
        <f t="shared" si="2"/>
        <v>0.33698842497057407</v>
      </c>
      <c r="J25">
        <f t="shared" si="3"/>
        <v>1.0336334242207663</v>
      </c>
      <c r="K25">
        <f t="shared" si="4"/>
        <v>0.18063123355894717</v>
      </c>
      <c r="L25">
        <f t="shared" si="10"/>
        <v>5.5201156062082576E-2</v>
      </c>
      <c r="M25" s="7">
        <f t="shared" si="5"/>
        <v>5.8298165486160265</v>
      </c>
      <c r="O25">
        <f>'Parte 18'!D$11</f>
        <v>4.2659316894963349E-2</v>
      </c>
      <c r="P25">
        <f>'Parte 18'!F$11</f>
        <v>5.5</v>
      </c>
      <c r="Q25">
        <f t="shared" si="6"/>
        <v>4.8494073311695125</v>
      </c>
      <c r="R25">
        <f>'Parte 18'!E11</f>
        <v>189844.26838695619</v>
      </c>
      <c r="T25">
        <f t="shared" si="11"/>
        <v>0.58277878542375228</v>
      </c>
      <c r="U25">
        <f t="shared" si="7"/>
        <v>64.157684021592928</v>
      </c>
      <c r="V25">
        <f t="shared" si="8"/>
        <v>110.08925792475843</v>
      </c>
      <c r="W25">
        <f t="shared" si="15"/>
        <v>0.58277878542375239</v>
      </c>
      <c r="X25">
        <f t="shared" si="9"/>
        <v>4.6069697149608757</v>
      </c>
      <c r="Z25">
        <f t="shared" si="12"/>
        <v>583.53172000535017</v>
      </c>
      <c r="AA25">
        <f t="shared" si="13"/>
        <v>41.90165219927357</v>
      </c>
    </row>
    <row r="26" spans="5:28" x14ac:dyDescent="0.3">
      <c r="E26">
        <v>19</v>
      </c>
      <c r="F26">
        <v>0.42749999999999999</v>
      </c>
      <c r="G26">
        <f t="shared" si="0"/>
        <v>3.8</v>
      </c>
      <c r="H26">
        <f t="shared" si="1"/>
        <v>132.98562631577198</v>
      </c>
      <c r="I26">
        <f t="shared" si="2"/>
        <v>0.33662745817395906</v>
      </c>
      <c r="J26">
        <f t="shared" si="3"/>
        <v>1.0302449065535124</v>
      </c>
      <c r="K26">
        <f t="shared" si="4"/>
        <v>0.17154914331405913</v>
      </c>
      <c r="L26">
        <f t="shared" si="10"/>
        <v>5.2569821127565926E-2</v>
      </c>
      <c r="M26" s="7">
        <f t="shared" si="5"/>
        <v>6.1335218413700732</v>
      </c>
      <c r="O26">
        <f>'Parte 19'!D$11</f>
        <v>4.0625827764734099E-2</v>
      </c>
      <c r="P26">
        <f>'Parte 19'!F$11</f>
        <v>5.5</v>
      </c>
      <c r="Q26">
        <f t="shared" si="6"/>
        <v>4.3290418909804931</v>
      </c>
      <c r="R26">
        <f>'Parte 19'!E11</f>
        <v>190213.28390743156</v>
      </c>
      <c r="T26">
        <f t="shared" si="11"/>
        <v>0.58375393190112834</v>
      </c>
      <c r="U26">
        <f t="shared" si="7"/>
        <v>67.83531701663604</v>
      </c>
      <c r="V26">
        <f t="shared" si="8"/>
        <v>116.20532780946722</v>
      </c>
      <c r="W26">
        <f t="shared" si="15"/>
        <v>0.58375393190112845</v>
      </c>
      <c r="X26">
        <f t="shared" si="9"/>
        <v>4.8710494442915389</v>
      </c>
      <c r="Z26">
        <f t="shared" si="12"/>
        <v>651.36703702198622</v>
      </c>
      <c r="AA26">
        <f t="shared" si="13"/>
        <v>46.772701643565107</v>
      </c>
    </row>
    <row r="27" spans="5:28" x14ac:dyDescent="0.3">
      <c r="E27">
        <v>20</v>
      </c>
      <c r="F27">
        <v>0.45</v>
      </c>
      <c r="G27">
        <f t="shared" si="0"/>
        <v>4</v>
      </c>
      <c r="H27">
        <f t="shared" si="1"/>
        <v>132.98562631577195</v>
      </c>
      <c r="I27">
        <f t="shared" si="2"/>
        <v>0.3363169010062339</v>
      </c>
      <c r="J27">
        <f t="shared" si="3"/>
        <v>1.0273415614493058</v>
      </c>
      <c r="K27">
        <f t="shared" si="4"/>
        <v>0.16331910875124278</v>
      </c>
      <c r="L27">
        <f t="shared" si="10"/>
        <v>5.0166012050930603E-2</v>
      </c>
      <c r="M27" s="7">
        <f t="shared" si="5"/>
        <v>6.4381440972905084</v>
      </c>
      <c r="O27">
        <f>'Parte 20'!D$11</f>
        <v>3.876817005481499E-2</v>
      </c>
      <c r="P27">
        <f>'Parte 20'!F$11</f>
        <v>5.5</v>
      </c>
      <c r="Q27">
        <f t="shared" si="6"/>
        <v>3.8574956452843203</v>
      </c>
      <c r="R27">
        <f>'Parte 20'!E11</f>
        <v>190530.58412302428</v>
      </c>
      <c r="T27">
        <f t="shared" si="11"/>
        <v>0.58459185063372487</v>
      </c>
      <c r="U27">
        <f t="shared" si="7"/>
        <v>71.508092250142226</v>
      </c>
      <c r="V27">
        <f t="shared" si="8"/>
        <v>122.32139769417604</v>
      </c>
      <c r="W27">
        <f t="shared" si="15"/>
        <v>0.58459185063372499</v>
      </c>
      <c r="X27">
        <f t="shared" si="9"/>
        <v>5.1347803524229283</v>
      </c>
      <c r="Z27">
        <f t="shared" si="12"/>
        <v>722.87512927212845</v>
      </c>
      <c r="AA27">
        <f t="shared" si="13"/>
        <v>51.907481995988036</v>
      </c>
    </row>
    <row r="28" spans="5:28" x14ac:dyDescent="0.3">
      <c r="U28">
        <f>SUM(U8:U27)</f>
        <v>722.87512927212845</v>
      </c>
      <c r="V28">
        <f>SUM(V8:V27)</f>
        <v>1284.3746757888484</v>
      </c>
      <c r="X28" s="14">
        <f>SUM(X8:X27)</f>
        <v>51.907481995988036</v>
      </c>
    </row>
    <row r="31" spans="5:28" x14ac:dyDescent="0.3">
      <c r="AB31">
        <v>722.87512927212845</v>
      </c>
    </row>
    <row r="32" spans="5:28" x14ac:dyDescent="0.3">
      <c r="AB32">
        <v>0.58459185063372499</v>
      </c>
    </row>
    <row r="33" spans="28:28" x14ac:dyDescent="0.3">
      <c r="AB33">
        <v>1284.3746757888484</v>
      </c>
    </row>
  </sheetData>
  <mergeCells count="12">
    <mergeCell ref="R6:R7"/>
    <mergeCell ref="Q6:Q7"/>
    <mergeCell ref="A1:G2"/>
    <mergeCell ref="P6:P7"/>
    <mergeCell ref="H6:H7"/>
    <mergeCell ref="I6:I7"/>
    <mergeCell ref="J6:J7"/>
    <mergeCell ref="K6:K7"/>
    <mergeCell ref="L6:L7"/>
    <mergeCell ref="O6:O7"/>
    <mergeCell ref="M6:M7"/>
    <mergeCell ref="N6:N1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11"/>
  <sheetViews>
    <sheetView workbookViewId="0">
      <selection activeCell="G10" sqref="G10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1'!M16</f>
        <v>3.1800551141570206</v>
      </c>
      <c r="B8" s="2">
        <f>'Metodo 1'!L16</f>
        <v>9.6023072131943901E-2</v>
      </c>
      <c r="C8" s="2">
        <v>1.35</v>
      </c>
      <c r="D8" s="2">
        <f>B$8/C8</f>
        <v>7.1128201579217704E-2</v>
      </c>
      <c r="E8" s="2">
        <f>A$8*D8/A$3</f>
        <v>172665.34442197156</v>
      </c>
      <c r="F8" s="2">
        <v>6</v>
      </c>
      <c r="G8" s="8" t="s">
        <v>22</v>
      </c>
    </row>
    <row r="9" spans="1:7" x14ac:dyDescent="0.3">
      <c r="C9" s="6">
        <v>1.333</v>
      </c>
      <c r="D9" s="2">
        <f>B$8/C9</f>
        <v>7.2035312927189732E-2</v>
      </c>
      <c r="E9" s="2">
        <f>A$8*D9/A$3</f>
        <v>174867.37807176416</v>
      </c>
      <c r="F9" s="2">
        <v>6</v>
      </c>
    </row>
    <row r="10" spans="1:7" x14ac:dyDescent="0.3">
      <c r="C10" s="6">
        <v>1.333</v>
      </c>
      <c r="D10" s="9">
        <f t="shared" ref="D10" si="0">B$8/C10</f>
        <v>7.2035312927189732E-2</v>
      </c>
      <c r="E10" s="9">
        <f t="shared" ref="E10" si="1">A$8*D10/A$3</f>
        <v>174867.37807176416</v>
      </c>
      <c r="F10" s="9">
        <v>6</v>
      </c>
    </row>
    <row r="11" spans="1:7" x14ac:dyDescent="0.3">
      <c r="C11" s="10">
        <v>1.333</v>
      </c>
      <c r="D11" s="11">
        <f t="shared" ref="D11" si="2">B$8/C11</f>
        <v>7.2035312927189732E-2</v>
      </c>
      <c r="E11" s="11">
        <f t="shared" ref="E11" si="3">A$8*D11/A$3</f>
        <v>174867.37807176416</v>
      </c>
      <c r="F11" s="11">
        <v>6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11"/>
  <sheetViews>
    <sheetView workbookViewId="0">
      <selection activeCell="F12" sqref="F12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1'!M17</f>
        <v>3.461492576721132</v>
      </c>
      <c r="B8" s="2">
        <f>'Metodo 1'!L17</f>
        <v>8.9331397298630766E-2</v>
      </c>
      <c r="C8" s="2">
        <v>1.35</v>
      </c>
      <c r="D8" s="2">
        <f>B$8/C8</f>
        <v>6.6171405406393158E-2</v>
      </c>
      <c r="E8" s="2">
        <f>A$8*D8/A$3</f>
        <v>174848.72412628587</v>
      </c>
      <c r="F8" s="2">
        <v>6</v>
      </c>
      <c r="G8" s="8" t="s">
        <v>22</v>
      </c>
    </row>
    <row r="9" spans="1:7" x14ac:dyDescent="0.3">
      <c r="C9" s="6">
        <v>1.333</v>
      </c>
      <c r="D9" s="2">
        <f>B$8/C9</f>
        <v>6.701530179942293E-2</v>
      </c>
      <c r="E9" s="2">
        <f>A$8*D9/A$3</f>
        <v>177078.6028285716</v>
      </c>
      <c r="F9" s="2">
        <v>6</v>
      </c>
    </row>
    <row r="10" spans="1:7" x14ac:dyDescent="0.3">
      <c r="C10" s="6">
        <v>1.3340000000000001</v>
      </c>
      <c r="D10" s="9">
        <f t="shared" ref="D10" si="0">B$8/C10</f>
        <v>6.6965065441252442E-2</v>
      </c>
      <c r="E10" s="9">
        <f t="shared" ref="E10" si="1">A$8*D10/A$3</f>
        <v>176945.86024774055</v>
      </c>
      <c r="F10" s="9">
        <v>6</v>
      </c>
    </row>
    <row r="11" spans="1:7" x14ac:dyDescent="0.3">
      <c r="C11" s="10">
        <v>1.3340000000000001</v>
      </c>
      <c r="D11" s="11">
        <f t="shared" ref="D11" si="2">B$8/C11</f>
        <v>6.6965065441252442E-2</v>
      </c>
      <c r="E11" s="11">
        <f t="shared" ref="E11" si="3">A$8*D11/A$3</f>
        <v>176945.86024774055</v>
      </c>
      <c r="F11" s="11">
        <v>6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G11"/>
  <sheetViews>
    <sheetView workbookViewId="0">
      <selection activeCell="C12" sqref="C12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1'!M18</f>
        <v>3.747882089739095</v>
      </c>
      <c r="B8" s="2">
        <f>'Metodo 1'!L18</f>
        <v>8.3300834677370927E-2</v>
      </c>
      <c r="C8" s="2">
        <v>1.35</v>
      </c>
      <c r="D8" s="2">
        <f>B$8/C8</f>
        <v>6.170432198323772E-2</v>
      </c>
      <c r="E8" s="2">
        <f>A$8*D8/A$3</f>
        <v>176534.75054997785</v>
      </c>
      <c r="F8" s="2">
        <v>6</v>
      </c>
      <c r="G8" s="8" t="s">
        <v>22</v>
      </c>
    </row>
    <row r="9" spans="1:7" x14ac:dyDescent="0.3">
      <c r="C9" s="6">
        <v>1.3340000000000001</v>
      </c>
      <c r="D9" s="2">
        <f>B$8/C9</f>
        <v>6.2444403806125127E-2</v>
      </c>
      <c r="E9" s="2">
        <f>A$8*D9/A$3</f>
        <v>178652.10887741385</v>
      </c>
      <c r="F9" s="2">
        <v>6</v>
      </c>
    </row>
    <row r="10" spans="1:7" x14ac:dyDescent="0.3">
      <c r="C10" s="6">
        <v>1.3340000000000001</v>
      </c>
      <c r="D10" s="9">
        <f t="shared" ref="D10" si="0">B$8/C10</f>
        <v>6.2444403806125127E-2</v>
      </c>
      <c r="E10" s="9">
        <f t="shared" ref="E10" si="1">A$8*D10/A$3</f>
        <v>178652.10887741385</v>
      </c>
      <c r="F10" s="9">
        <v>6</v>
      </c>
    </row>
    <row r="11" spans="1:7" x14ac:dyDescent="0.3">
      <c r="C11" s="10">
        <v>1.3340000000000001</v>
      </c>
      <c r="D11" s="11">
        <f t="shared" ref="D11" si="2">B$8/C11</f>
        <v>6.2444403806125127E-2</v>
      </c>
      <c r="E11" s="11">
        <f t="shared" ref="E11" si="3">A$8*D11/A$3</f>
        <v>178652.10887741385</v>
      </c>
      <c r="F11" s="11">
        <v>6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11"/>
  <sheetViews>
    <sheetView workbookViewId="0">
      <selection activeCell="C12" sqref="C12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1'!M19</f>
        <v>4.0381995747844899</v>
      </c>
      <c r="B8" s="2">
        <f>'Metodo 1'!L19</f>
        <v>7.7892591200937764E-2</v>
      </c>
      <c r="C8" s="2">
        <v>1.35</v>
      </c>
      <c r="D8" s="2">
        <f>B$8/C8</f>
        <v>5.7698215704398342E-2</v>
      </c>
      <c r="E8" s="2">
        <f>A$8*D8/A$3</f>
        <v>177860.23673536273</v>
      </c>
      <c r="F8" s="2">
        <v>5.5</v>
      </c>
      <c r="G8" s="8" t="s">
        <v>22</v>
      </c>
    </row>
    <row r="9" spans="1:7" x14ac:dyDescent="0.3">
      <c r="C9" s="6">
        <v>1.292</v>
      </c>
      <c r="D9" s="2">
        <f>B$8/C9</f>
        <v>6.0288383282459571E-2</v>
      </c>
      <c r="E9" s="2">
        <f>A$8*D9/A$3</f>
        <v>185844.67460738367</v>
      </c>
      <c r="F9" s="2">
        <v>5.5</v>
      </c>
    </row>
    <row r="10" spans="1:7" x14ac:dyDescent="0.3">
      <c r="C10" s="6">
        <v>1.2929999999999999</v>
      </c>
      <c r="D10" s="9">
        <f t="shared" ref="D10" si="0">B$8/C10</f>
        <v>6.0241756535914744E-2</v>
      </c>
      <c r="E10" s="9">
        <f t="shared" ref="E10" si="1">A$8*D10/A$3</f>
        <v>185700.94322717687</v>
      </c>
      <c r="F10" s="9">
        <v>5.5</v>
      </c>
    </row>
    <row r="11" spans="1:7" x14ac:dyDescent="0.3">
      <c r="C11" s="10">
        <v>1.2929999999999999</v>
      </c>
      <c r="D11" s="11">
        <f t="shared" ref="D11" si="2">B$8/C11</f>
        <v>6.0241756535914744E-2</v>
      </c>
      <c r="E11" s="11">
        <f t="shared" ref="E11" si="3">A$8*D11/A$3</f>
        <v>185700.94322717687</v>
      </c>
      <c r="F11" s="11">
        <v>5.5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G11"/>
  <sheetViews>
    <sheetView workbookViewId="0">
      <selection activeCell="E14" sqref="E14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1'!M20</f>
        <v>4.331674019671472</v>
      </c>
      <c r="B8" s="2">
        <f>'Metodo 1'!L20</f>
        <v>7.3047575056991554E-2</v>
      </c>
      <c r="C8" s="2">
        <v>1.35</v>
      </c>
      <c r="D8" s="2">
        <f>B$8/C8</f>
        <v>5.4109314857030778E-2</v>
      </c>
      <c r="E8" s="2">
        <f>A$8*D8/A$3</f>
        <v>178919.01785375865</v>
      </c>
      <c r="F8" s="2">
        <v>6</v>
      </c>
      <c r="G8" s="8" t="s">
        <v>22</v>
      </c>
    </row>
    <row r="9" spans="1:7" x14ac:dyDescent="0.3">
      <c r="C9" s="6">
        <v>1.3340000000000001</v>
      </c>
      <c r="D9" s="2">
        <f>B$8/C9</f>
        <v>5.4758302141672828E-2</v>
      </c>
      <c r="E9" s="2">
        <f>A$8*D9/A$3</f>
        <v>181064.97309038544</v>
      </c>
      <c r="F9" s="2">
        <v>5.5</v>
      </c>
    </row>
    <row r="10" spans="1:7" x14ac:dyDescent="0.3">
      <c r="C10" s="6">
        <v>1.292</v>
      </c>
      <c r="D10" s="9">
        <f t="shared" ref="D10:D11" si="0">B$8/C10</f>
        <v>5.6538370787145166E-2</v>
      </c>
      <c r="E10" s="9">
        <f t="shared" ref="E10:E11" si="1">A$8*D10/A$3</f>
        <v>186950.98614750322</v>
      </c>
      <c r="F10" s="9">
        <v>5.5</v>
      </c>
    </row>
    <row r="11" spans="1:7" x14ac:dyDescent="0.3">
      <c r="C11" s="10">
        <v>1.2929999999999999</v>
      </c>
      <c r="D11" s="11">
        <f t="shared" si="0"/>
        <v>5.6494644282282722E-2</v>
      </c>
      <c r="E11" s="11">
        <f t="shared" si="1"/>
        <v>186806.39915125613</v>
      </c>
      <c r="F11" s="11">
        <v>5.5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11"/>
  <sheetViews>
    <sheetView workbookViewId="0">
      <selection activeCell="C12" sqref="C12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1'!M21</f>
        <v>4.6277170693240093</v>
      </c>
      <c r="B8" s="2">
        <f>'Metodo 1'!L21</f>
        <v>6.8702420208751808E-2</v>
      </c>
      <c r="C8" s="2">
        <v>1.35</v>
      </c>
      <c r="D8" s="2">
        <f>B$8/C8</f>
        <v>5.0890681636112448E-2</v>
      </c>
      <c r="E8" s="2">
        <f>A$8*D8/A$3</f>
        <v>179776.85196715381</v>
      </c>
      <c r="F8" s="2">
        <v>5.5</v>
      </c>
      <c r="G8" s="8" t="s">
        <v>22</v>
      </c>
    </row>
    <row r="9" spans="1:7" x14ac:dyDescent="0.3">
      <c r="C9" s="6">
        <v>1.292</v>
      </c>
      <c r="D9" s="2">
        <f>B$8/C9</f>
        <v>5.3175247839591183E-2</v>
      </c>
      <c r="E9" s="2">
        <f>A$8*D9/A$3</f>
        <v>187847.32984184028</v>
      </c>
      <c r="F9" s="2">
        <v>5.5</v>
      </c>
    </row>
    <row r="10" spans="1:7" x14ac:dyDescent="0.3">
      <c r="C10" s="6">
        <v>1.2929999999999999</v>
      </c>
      <c r="D10" s="9">
        <f t="shared" ref="D10:D11" si="0">B$8/C10</f>
        <v>5.3134122357890029E-2</v>
      </c>
      <c r="E10" s="9">
        <f t="shared" ref="E10:E11" si="1">A$8*D10/A$3</f>
        <v>187702.04961767799</v>
      </c>
      <c r="F10" s="9">
        <v>5.5</v>
      </c>
    </row>
    <row r="11" spans="1:7" x14ac:dyDescent="0.3">
      <c r="C11" s="10">
        <v>1.2929999999999999</v>
      </c>
      <c r="D11" s="11">
        <f t="shared" si="0"/>
        <v>5.3134122357890029E-2</v>
      </c>
      <c r="E11" s="11">
        <f t="shared" si="1"/>
        <v>187702.04961767799</v>
      </c>
      <c r="F11" s="11">
        <v>5.5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G11"/>
  <sheetViews>
    <sheetView workbookViewId="0">
      <selection activeCell="C12" sqref="C12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1'!M22</f>
        <v>4.9258738092510059</v>
      </c>
      <c r="B8" s="2">
        <f>'Metodo 1'!L22</f>
        <v>6.4796666660997107E-2</v>
      </c>
      <c r="C8" s="2">
        <v>1.35</v>
      </c>
      <c r="D8" s="2">
        <f>B$8/C8</f>
        <v>4.7997530859997854E-2</v>
      </c>
      <c r="E8" s="2">
        <f>A$8*D8/A$3</f>
        <v>180480.74822288577</v>
      </c>
      <c r="F8" s="2">
        <v>5.5</v>
      </c>
      <c r="G8" s="8" t="s">
        <v>22</v>
      </c>
    </row>
    <row r="9" spans="1:7" x14ac:dyDescent="0.3">
      <c r="C9" s="6">
        <v>1.292</v>
      </c>
      <c r="D9" s="2">
        <f>B$8/C9</f>
        <v>5.0152218777861537E-2</v>
      </c>
      <c r="E9" s="2">
        <f>A$8*D9/A$3</f>
        <v>188582.82515549212</v>
      </c>
      <c r="F9" s="2">
        <v>5.5</v>
      </c>
    </row>
    <row r="10" spans="1:7" x14ac:dyDescent="0.3">
      <c r="C10" s="6">
        <v>1.294</v>
      </c>
      <c r="D10" s="9">
        <f t="shared" ref="D10:D11" si="0">B$8/C10</f>
        <v>5.0074703756566544E-2</v>
      </c>
      <c r="E10" s="9">
        <f t="shared" ref="E10:E11" si="1">A$8*D10/A$3</f>
        <v>188291.35247364437</v>
      </c>
      <c r="F10" s="9">
        <v>5.5</v>
      </c>
    </row>
    <row r="11" spans="1:7" x14ac:dyDescent="0.3">
      <c r="C11" s="10">
        <v>1.294</v>
      </c>
      <c r="D11" s="11">
        <f t="shared" si="0"/>
        <v>5.0074703756566544E-2</v>
      </c>
      <c r="E11" s="11">
        <f t="shared" si="1"/>
        <v>188291.35247364437</v>
      </c>
      <c r="F11" s="11">
        <v>5.5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G11"/>
  <sheetViews>
    <sheetView workbookViewId="0">
      <selection activeCell="F14" sqref="F14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1'!M23</f>
        <v>5.2257880627024633</v>
      </c>
      <c r="B8" s="2">
        <f>'Metodo 1'!L23</f>
        <v>6.1275606813194418E-2</v>
      </c>
      <c r="C8" s="2">
        <v>1.35</v>
      </c>
      <c r="D8" s="2">
        <f>B$8/C8</f>
        <v>4.5389338380144008E-2</v>
      </c>
      <c r="E8" s="2">
        <f>A$8*D8/A$3</f>
        <v>181064.93334421323</v>
      </c>
      <c r="F8" s="2">
        <v>5.5</v>
      </c>
      <c r="G8" s="8" t="s">
        <v>22</v>
      </c>
    </row>
    <row r="9" spans="1:7" x14ac:dyDescent="0.3">
      <c r="C9" s="6">
        <v>1.292</v>
      </c>
      <c r="D9" s="2">
        <f>B$8/C9</f>
        <v>4.7426940257890418E-2</v>
      </c>
      <c r="E9" s="2">
        <f>A$8*D9/A$3</f>
        <v>189193.23530548599</v>
      </c>
      <c r="F9" s="2">
        <v>5.5</v>
      </c>
    </row>
    <row r="10" spans="1:7" x14ac:dyDescent="0.3">
      <c r="C10" s="6">
        <v>1.294</v>
      </c>
      <c r="D10" s="9">
        <f t="shared" ref="D10:D11" si="0">B$8/C10</f>
        <v>4.7353637413596925E-2</v>
      </c>
      <c r="E10" s="9">
        <f t="shared" ref="E10:E11" si="1">A$8*D10/A$3</f>
        <v>188900.81917672945</v>
      </c>
      <c r="F10" s="9">
        <v>5.5</v>
      </c>
    </row>
    <row r="11" spans="1:7" x14ac:dyDescent="0.3">
      <c r="C11" s="10">
        <v>1.294</v>
      </c>
      <c r="D11" s="11">
        <f t="shared" si="0"/>
        <v>4.7353637413596925E-2</v>
      </c>
      <c r="E11" s="11">
        <f t="shared" si="1"/>
        <v>188900.81917672945</v>
      </c>
      <c r="F11" s="11">
        <v>5.5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G11"/>
  <sheetViews>
    <sheetView workbookViewId="0">
      <selection activeCell="D23" sqref="D23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1'!M24</f>
        <v>5.5271776516601863</v>
      </c>
      <c r="B8" s="2">
        <f>'Metodo 1'!L24</f>
        <v>5.8091053565507846E-2</v>
      </c>
      <c r="C8" s="2">
        <v>1.35</v>
      </c>
      <c r="D8" s="2">
        <f>B$8/C8</f>
        <v>4.3030410048524328E-2</v>
      </c>
      <c r="E8" s="2">
        <f>A$8*D8/A$3</f>
        <v>181554.74867326533</v>
      </c>
      <c r="F8" s="2">
        <v>5.5</v>
      </c>
      <c r="G8" s="8" t="s">
        <v>22</v>
      </c>
    </row>
    <row r="9" spans="1:7" x14ac:dyDescent="0.3">
      <c r="C9" s="6">
        <v>1.292</v>
      </c>
      <c r="D9" s="2">
        <f>B$8/C9</f>
        <v>4.496211576277697E-2</v>
      </c>
      <c r="E9" s="2">
        <f>A$8*D9/A$3</f>
        <v>189705.03924838098</v>
      </c>
      <c r="F9" s="2">
        <v>5.5</v>
      </c>
    </row>
    <row r="10" spans="1:7" x14ac:dyDescent="0.3">
      <c r="C10" s="6">
        <v>1.294</v>
      </c>
      <c r="D10" s="9">
        <f t="shared" ref="D10:D11" si="0">B$8/C10</f>
        <v>4.489262253903234E-2</v>
      </c>
      <c r="E10" s="9">
        <f t="shared" ref="E10:E11" si="1">A$8*D10/A$3</f>
        <v>189411.83207798161</v>
      </c>
      <c r="F10" s="9">
        <v>5.5</v>
      </c>
    </row>
    <row r="11" spans="1:7" x14ac:dyDescent="0.3">
      <c r="C11" s="10">
        <v>1.294</v>
      </c>
      <c r="D11" s="11">
        <f t="shared" si="0"/>
        <v>4.489262253903234E-2</v>
      </c>
      <c r="E11" s="11">
        <f t="shared" si="1"/>
        <v>189411.83207798161</v>
      </c>
      <c r="F11" s="11">
        <v>5.5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G11"/>
  <sheetViews>
    <sheetView workbookViewId="0">
      <selection activeCell="F12" sqref="F12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1'!M25</f>
        <v>5.8298165486160265</v>
      </c>
      <c r="B8" s="2">
        <f>'Metodo 1'!L25</f>
        <v>5.5201156062082576E-2</v>
      </c>
      <c r="C8" s="2">
        <v>1.35</v>
      </c>
      <c r="D8" s="2">
        <f>B$8/C8</f>
        <v>4.0889745231172274E-2</v>
      </c>
      <c r="E8" s="2">
        <f>A$8*D8/A$3</f>
        <v>181969.24688349722</v>
      </c>
      <c r="F8" s="2">
        <v>5.5</v>
      </c>
      <c r="G8" s="8" t="s">
        <v>22</v>
      </c>
    </row>
    <row r="9" spans="1:7" x14ac:dyDescent="0.3">
      <c r="C9" s="6">
        <v>1.292</v>
      </c>
      <c r="D9" s="2">
        <f>B$8/C9</f>
        <v>4.2725352989227999E-2</v>
      </c>
      <c r="E9" s="2">
        <f>A$8*D9/A$3</f>
        <v>190138.14496340658</v>
      </c>
      <c r="F9" s="2">
        <v>5.5</v>
      </c>
    </row>
    <row r="10" spans="1:7" x14ac:dyDescent="0.3">
      <c r="C10" s="6">
        <v>1.294</v>
      </c>
      <c r="D10" s="9">
        <f t="shared" ref="D10:D11" si="0">B$8/C10</f>
        <v>4.2659316894963349E-2</v>
      </c>
      <c r="E10" s="9">
        <f t="shared" ref="E10:E11" si="1">A$8*D10/A$3</f>
        <v>189844.26838695619</v>
      </c>
      <c r="F10" s="9">
        <v>5.5</v>
      </c>
    </row>
    <row r="11" spans="1:7" x14ac:dyDescent="0.3">
      <c r="C11" s="10">
        <v>1.294</v>
      </c>
      <c r="D11" s="11">
        <f t="shared" si="0"/>
        <v>4.2659316894963349E-2</v>
      </c>
      <c r="E11" s="11">
        <f t="shared" si="1"/>
        <v>189844.26838695619</v>
      </c>
      <c r="F11" s="11">
        <v>5.5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1"/>
  <sheetViews>
    <sheetView workbookViewId="0">
      <selection activeCell="C19" sqref="C19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1'!M8</f>
        <v>1.4332038972930197</v>
      </c>
      <c r="B8" s="2">
        <f>'Metodo 1'!L8</f>
        <v>7.3642477516307508E-2</v>
      </c>
      <c r="C8" s="2">
        <v>1</v>
      </c>
      <c r="D8" s="2">
        <f>B$8/C8</f>
        <v>7.3642477516307508E-2</v>
      </c>
      <c r="E8" s="2">
        <f>A$8*D8/A$3</f>
        <v>80568.462429530919</v>
      </c>
      <c r="F8" s="2">
        <v>7.5</v>
      </c>
      <c r="G8" s="8" t="s">
        <v>22</v>
      </c>
    </row>
    <row r="9" spans="1:7" x14ac:dyDescent="0.3">
      <c r="C9" s="6">
        <v>1.4</v>
      </c>
      <c r="D9" s="2">
        <f>B$8/C9</f>
        <v>5.2601769654505366E-2</v>
      </c>
      <c r="E9" s="2">
        <f>A$8*D9/A$3</f>
        <v>57548.901735379222</v>
      </c>
      <c r="F9" s="2">
        <v>8.5</v>
      </c>
    </row>
    <row r="10" spans="1:7" x14ac:dyDescent="0.3">
      <c r="C10" s="6">
        <v>1.431</v>
      </c>
      <c r="D10" s="2">
        <f t="shared" ref="D10:D11" si="0">B$8/C10</f>
        <v>5.1462248439068839E-2</v>
      </c>
      <c r="E10" s="2">
        <f t="shared" ref="E10:E11" si="1">A$8*D10/A$3</f>
        <v>56302.209943767237</v>
      </c>
      <c r="F10" s="2">
        <v>8.5</v>
      </c>
    </row>
    <row r="11" spans="1:7" x14ac:dyDescent="0.3">
      <c r="C11" s="10">
        <v>1.4279999999999999</v>
      </c>
      <c r="D11" s="11">
        <f t="shared" si="0"/>
        <v>5.1570362406377808E-2</v>
      </c>
      <c r="E11" s="11">
        <f t="shared" si="1"/>
        <v>56420.491897430613</v>
      </c>
      <c r="F11" s="11">
        <v>8.5</v>
      </c>
    </row>
  </sheetData>
  <mergeCells count="6">
    <mergeCell ref="F6:F7"/>
    <mergeCell ref="A6:A7"/>
    <mergeCell ref="D6:D7"/>
    <mergeCell ref="C6:C7"/>
    <mergeCell ref="E6:E7"/>
    <mergeCell ref="B6:B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G11"/>
  <sheetViews>
    <sheetView workbookViewId="0">
      <selection activeCell="D18" sqref="D18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1'!M26</f>
        <v>6.1335218413700732</v>
      </c>
      <c r="B8" s="2">
        <f>'Metodo 1'!L26</f>
        <v>5.2569821127565926E-2</v>
      </c>
      <c r="C8" s="2">
        <v>1.35</v>
      </c>
      <c r="D8" s="2">
        <f>B$8/C8</f>
        <v>3.8940608242641422E-2</v>
      </c>
      <c r="E8" s="2">
        <f>A$8*D8/A$3</f>
        <v>182322.95509349366</v>
      </c>
      <c r="F8" s="2">
        <v>5.5</v>
      </c>
      <c r="G8" s="8" t="s">
        <v>22</v>
      </c>
    </row>
    <row r="9" spans="1:7" x14ac:dyDescent="0.3">
      <c r="C9" s="6">
        <v>1.292</v>
      </c>
      <c r="D9" s="2">
        <f>B$8/C9</f>
        <v>4.0688716043007681E-2</v>
      </c>
      <c r="E9" s="2">
        <f>A$8*D9/A$3</f>
        <v>190507.73171533781</v>
      </c>
      <c r="F9" s="2">
        <v>5.5</v>
      </c>
    </row>
    <row r="10" spans="1:7" x14ac:dyDescent="0.3">
      <c r="C10" s="6">
        <v>1.294</v>
      </c>
      <c r="D10" s="9">
        <f t="shared" ref="D10:D11" si="0">B$8/C10</f>
        <v>4.0625827764734099E-2</v>
      </c>
      <c r="E10" s="9">
        <f t="shared" ref="E10:E11" si="1">A$8*D10/A$3</f>
        <v>190213.28390743156</v>
      </c>
      <c r="F10" s="9">
        <v>5.5</v>
      </c>
    </row>
    <row r="11" spans="1:7" x14ac:dyDescent="0.3">
      <c r="C11" s="10">
        <v>1.294</v>
      </c>
      <c r="D11" s="11">
        <f t="shared" si="0"/>
        <v>4.0625827764734099E-2</v>
      </c>
      <c r="E11" s="11">
        <f t="shared" si="1"/>
        <v>190213.28390743156</v>
      </c>
      <c r="F11" s="11">
        <v>5.5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G11"/>
  <sheetViews>
    <sheetView workbookViewId="0">
      <selection activeCell="G23" sqref="G23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1'!M27</f>
        <v>6.4381440972905084</v>
      </c>
      <c r="B8" s="2">
        <f>'Metodo 1'!L27</f>
        <v>5.0166012050930603E-2</v>
      </c>
      <c r="C8" s="2">
        <v>1.35</v>
      </c>
      <c r="D8" s="2">
        <f>B$8/C8</f>
        <v>3.7160008926615258E-2</v>
      </c>
      <c r="E8" s="2">
        <f>A$8*D8/A$3</f>
        <v>182627.09322606918</v>
      </c>
      <c r="F8" s="2">
        <v>5.5</v>
      </c>
      <c r="G8" s="8" t="s">
        <v>22</v>
      </c>
    </row>
    <row r="9" spans="1:7" x14ac:dyDescent="0.3">
      <c r="C9" s="6">
        <v>1.292</v>
      </c>
      <c r="D9" s="2">
        <f>B$8/C9</f>
        <v>3.8828182701958668E-2</v>
      </c>
      <c r="E9" s="2">
        <f>A$8*D9/A$3</f>
        <v>190825.52310773483</v>
      </c>
      <c r="F9" s="2">
        <v>5.5</v>
      </c>
    </row>
    <row r="10" spans="1:7" x14ac:dyDescent="0.3">
      <c r="C10" s="6">
        <v>1.294</v>
      </c>
      <c r="D10" s="9">
        <f t="shared" ref="D10:D11" si="0">B$8/C10</f>
        <v>3.876817005481499E-2</v>
      </c>
      <c r="E10" s="9">
        <f t="shared" ref="E10:E11" si="1">A$8*D10/A$3</f>
        <v>190530.58412302428</v>
      </c>
      <c r="F10" s="9">
        <v>5.5</v>
      </c>
    </row>
    <row r="11" spans="1:7" x14ac:dyDescent="0.3">
      <c r="C11" s="10">
        <v>1.294</v>
      </c>
      <c r="D11" s="11">
        <f t="shared" si="0"/>
        <v>3.876817005481499E-2</v>
      </c>
      <c r="E11" s="11">
        <f t="shared" si="1"/>
        <v>190530.58412302428</v>
      </c>
      <c r="F11" s="11">
        <v>5.5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1"/>
  <sheetViews>
    <sheetView workbookViewId="0">
      <selection activeCell="E13" sqref="E13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1'!M9</f>
        <v>1.5563055244291424</v>
      </c>
      <c r="B8" s="2">
        <f>'Metodo 1'!L9</f>
        <v>0.11259375510630804</v>
      </c>
      <c r="C8" s="2">
        <v>1.35</v>
      </c>
      <c r="D8" s="2">
        <f>B$8/C8</f>
        <v>8.3402781560228165E-2</v>
      </c>
      <c r="E8" s="2">
        <f>A$8*D8/A$3</f>
        <v>99084.129538122215</v>
      </c>
      <c r="F8" s="2">
        <v>7</v>
      </c>
      <c r="G8" s="8" t="s">
        <v>22</v>
      </c>
    </row>
    <row r="9" spans="1:7" x14ac:dyDescent="0.3">
      <c r="C9" s="6">
        <v>1.379</v>
      </c>
      <c r="D9" s="2">
        <f t="shared" ref="D9:D11" si="0">B$8/C9</f>
        <v>8.1648843441847738E-2</v>
      </c>
      <c r="E9" s="2">
        <f t="shared" ref="E9:E11" si="1">A$8*D9/A$3</f>
        <v>97000.416879234966</v>
      </c>
      <c r="F9" s="2">
        <v>7</v>
      </c>
    </row>
    <row r="10" spans="1:7" x14ac:dyDescent="0.3">
      <c r="C10" s="6">
        <v>1.379</v>
      </c>
      <c r="D10" s="9">
        <f t="shared" si="0"/>
        <v>8.1648843441847738E-2</v>
      </c>
      <c r="E10" s="9">
        <f t="shared" si="1"/>
        <v>97000.416879234966</v>
      </c>
      <c r="F10" s="9">
        <v>7</v>
      </c>
    </row>
    <row r="11" spans="1:7" x14ac:dyDescent="0.3">
      <c r="C11" s="10">
        <v>1.379</v>
      </c>
      <c r="D11" s="11">
        <f t="shared" si="0"/>
        <v>8.1648843441847738E-2</v>
      </c>
      <c r="E11" s="11">
        <f t="shared" si="1"/>
        <v>97000.416879234966</v>
      </c>
      <c r="F11" s="11">
        <v>7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1"/>
  <sheetViews>
    <sheetView workbookViewId="0">
      <selection activeCell="C14" sqref="C14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1'!M10</f>
        <v>1.7203613581142314</v>
      </c>
      <c r="B8" s="2">
        <f>'Metodo 1'!L10</f>
        <v>0.12824998653585507</v>
      </c>
      <c r="C8" s="2">
        <v>1.35</v>
      </c>
      <c r="D8" s="2">
        <f>B$8/C8</f>
        <v>9.4999990026559303E-2</v>
      </c>
      <c r="E8" s="2">
        <f>A$8*D8/A$3</f>
        <v>124759.01668925954</v>
      </c>
      <c r="F8" s="2">
        <v>6.5</v>
      </c>
      <c r="G8" s="8" t="s">
        <v>22</v>
      </c>
    </row>
    <row r="9" spans="1:7" x14ac:dyDescent="0.3">
      <c r="C9" s="6">
        <v>1.357</v>
      </c>
      <c r="D9" s="2">
        <f>B$8/C9</f>
        <v>9.4509938493629375E-2</v>
      </c>
      <c r="E9" s="2">
        <f>A$8*D9/A$3</f>
        <v>124115.45507037611</v>
      </c>
      <c r="F9" s="2">
        <v>6.5</v>
      </c>
    </row>
    <row r="10" spans="1:7" x14ac:dyDescent="0.3">
      <c r="C10" s="6">
        <v>1.357</v>
      </c>
      <c r="D10" s="9">
        <f t="shared" ref="D10" si="0">B$8/C10</f>
        <v>9.4509938493629375E-2</v>
      </c>
      <c r="E10" s="9">
        <f t="shared" ref="E10" si="1">A$8*D10/A$3</f>
        <v>124115.45507037611</v>
      </c>
      <c r="F10" s="9">
        <v>6.5</v>
      </c>
    </row>
    <row r="11" spans="1:7" x14ac:dyDescent="0.3">
      <c r="C11" s="10">
        <v>1.357</v>
      </c>
      <c r="D11" s="11">
        <f t="shared" ref="D11" si="2">B$8/C11</f>
        <v>9.4509938493629375E-2</v>
      </c>
      <c r="E11" s="11">
        <f t="shared" ref="E11" si="3">A$8*D11/A$3</f>
        <v>124115.45507037611</v>
      </c>
      <c r="F11" s="11">
        <v>6.5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1"/>
  <sheetViews>
    <sheetView workbookViewId="0">
      <selection activeCell="E15" sqref="E15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1'!M11</f>
        <v>1.9175220470799139</v>
      </c>
      <c r="B8" s="2">
        <f>'Metodo 1'!L11</f>
        <v>0.13057643500330252</v>
      </c>
      <c r="C8" s="2">
        <v>1.35</v>
      </c>
      <c r="D8" s="2">
        <f>B$8/C8</f>
        <v>9.6723285187631486E-2</v>
      </c>
      <c r="E8" s="2">
        <f>A$8*D8/A$3</f>
        <v>141579.41359792478</v>
      </c>
      <c r="F8" s="2">
        <v>6.5</v>
      </c>
      <c r="G8" s="8" t="s">
        <v>22</v>
      </c>
    </row>
    <row r="9" spans="1:7" x14ac:dyDescent="0.3">
      <c r="C9" s="6">
        <v>1.365</v>
      </c>
      <c r="D9" s="2">
        <f>B$8/C9</f>
        <v>9.5660391943811374E-2</v>
      </c>
      <c r="E9" s="2">
        <f>A$8*D9/A$3</f>
        <v>140023.59586607947</v>
      </c>
      <c r="F9" s="2">
        <v>6.5</v>
      </c>
    </row>
    <row r="10" spans="1:7" x14ac:dyDescent="0.3">
      <c r="C10" s="6">
        <v>1.365</v>
      </c>
      <c r="D10" s="9">
        <f t="shared" ref="D10" si="0">B$8/C10</f>
        <v>9.5660391943811374E-2</v>
      </c>
      <c r="E10" s="9">
        <f t="shared" ref="E10" si="1">A$8*D10/A$3</f>
        <v>140023.59586607947</v>
      </c>
      <c r="F10" s="9">
        <v>6.5</v>
      </c>
    </row>
    <row r="11" spans="1:7" x14ac:dyDescent="0.3">
      <c r="C11" s="10">
        <v>1.365</v>
      </c>
      <c r="D11" s="11">
        <f t="shared" ref="D11" si="2">B$8/C11</f>
        <v>9.5660391943811374E-2</v>
      </c>
      <c r="E11" s="11">
        <f t="shared" ref="E11" si="3">A$8*D11/A$3</f>
        <v>140023.59586607947</v>
      </c>
      <c r="F11" s="11">
        <v>6.5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1"/>
  <sheetViews>
    <sheetView workbookViewId="0">
      <selection activeCell="E20" sqref="E20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1'!M12</f>
        <v>2.1401520001090804</v>
      </c>
      <c r="B8" s="2">
        <f>'Metodo 1'!L12</f>
        <v>0.12626808217153987</v>
      </c>
      <c r="C8" s="2">
        <v>1.35</v>
      </c>
      <c r="D8" s="2">
        <f>B$8/C8</f>
        <v>9.353191271965916E-2</v>
      </c>
      <c r="E8" s="2">
        <f>A$8*D8/A$3</f>
        <v>152803.44280992862</v>
      </c>
      <c r="F8" s="2">
        <v>6</v>
      </c>
      <c r="G8" s="8" t="s">
        <v>22</v>
      </c>
    </row>
    <row r="9" spans="1:7" x14ac:dyDescent="0.3">
      <c r="C9" s="6">
        <v>1.331</v>
      </c>
      <c r="D9" s="2">
        <f>B$8/C9</f>
        <v>9.4867079016934544E-2</v>
      </c>
      <c r="E9" s="2">
        <f>A$8*D9/A$3</f>
        <v>154984.70908595316</v>
      </c>
      <c r="F9" s="2">
        <v>6</v>
      </c>
    </row>
    <row r="10" spans="1:7" x14ac:dyDescent="0.3">
      <c r="C10" s="6">
        <v>1.331</v>
      </c>
      <c r="D10" s="9">
        <f t="shared" ref="D10" si="0">B$8/C10</f>
        <v>9.4867079016934544E-2</v>
      </c>
      <c r="E10" s="9">
        <f t="shared" ref="E10" si="1">A$8*D10/A$3</f>
        <v>154984.70908595316</v>
      </c>
      <c r="F10" s="9">
        <v>6</v>
      </c>
    </row>
    <row r="11" spans="1:7" x14ac:dyDescent="0.3">
      <c r="C11" s="10">
        <v>1.331</v>
      </c>
      <c r="D11" s="11">
        <f t="shared" ref="D11" si="2">B$8/C11</f>
        <v>9.4867079016934544E-2</v>
      </c>
      <c r="E11" s="11">
        <f t="shared" ref="E11" si="3">A$8*D11/A$3</f>
        <v>154984.70908595316</v>
      </c>
      <c r="F11" s="11">
        <v>6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1"/>
  <sheetViews>
    <sheetView workbookViewId="0">
      <selection activeCell="C12" sqref="C12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1'!M13</f>
        <v>2.3819341931436351</v>
      </c>
      <c r="B8" s="2">
        <f>'Metodo 1'!L13</f>
        <v>0.11915294747758005</v>
      </c>
      <c r="C8" s="2">
        <v>1.35</v>
      </c>
      <c r="D8" s="2">
        <f>B$8/C8</f>
        <v>8.8261442575985213E-2</v>
      </c>
      <c r="E8" s="2">
        <f>A$8*D8/A$3</f>
        <v>160483.16641826154</v>
      </c>
      <c r="F8" s="2">
        <v>6</v>
      </c>
      <c r="G8" s="8" t="s">
        <v>22</v>
      </c>
    </row>
    <row r="9" spans="1:7" x14ac:dyDescent="0.3">
      <c r="C9" s="6">
        <v>1.331</v>
      </c>
      <c r="D9" s="2">
        <f>B$8/C9</f>
        <v>8.9521373010954211E-2</v>
      </c>
      <c r="E9" s="2">
        <f>A$8*D9/A$3</f>
        <v>162774.06060454779</v>
      </c>
      <c r="F9" s="2">
        <v>6</v>
      </c>
    </row>
    <row r="10" spans="1:7" x14ac:dyDescent="0.3">
      <c r="C10" s="6">
        <v>1.331</v>
      </c>
      <c r="D10" s="9">
        <f t="shared" ref="D10" si="0">B$8/C10</f>
        <v>8.9521373010954211E-2</v>
      </c>
      <c r="E10" s="9">
        <f t="shared" ref="E10" si="1">A$8*D10/A$3</f>
        <v>162774.06060454779</v>
      </c>
      <c r="F10" s="9">
        <v>6</v>
      </c>
    </row>
    <row r="11" spans="1:7" x14ac:dyDescent="0.3">
      <c r="C11" s="10">
        <v>1.331</v>
      </c>
      <c r="D11" s="11">
        <f t="shared" ref="D11" si="2">B$8/C11</f>
        <v>8.9521373010954211E-2</v>
      </c>
      <c r="E11" s="11">
        <f t="shared" ref="E11" si="3">A$8*D11/A$3</f>
        <v>162774.06060454779</v>
      </c>
      <c r="F11" s="11">
        <v>6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"/>
  <sheetViews>
    <sheetView workbookViewId="0">
      <selection activeCell="C12" sqref="C12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1'!M14</f>
        <v>2.6380482949302038</v>
      </c>
      <c r="B8" s="2">
        <f>'Metodo 1'!L14</f>
        <v>0.11120455860401053</v>
      </c>
      <c r="C8" s="2">
        <v>1.35</v>
      </c>
      <c r="D8" s="2">
        <f>B$8/C8</f>
        <v>8.2373747114081866E-2</v>
      </c>
      <c r="E8" s="2">
        <f>A$8*D8/A$3</f>
        <v>165882.38406207287</v>
      </c>
      <c r="F8" s="2">
        <v>6</v>
      </c>
      <c r="G8" s="8" t="s">
        <v>22</v>
      </c>
    </row>
    <row r="9" spans="1:7" x14ac:dyDescent="0.3">
      <c r="C9" s="6">
        <v>1.3320000000000001</v>
      </c>
      <c r="D9" s="2">
        <f>B$8/C9</f>
        <v>8.3486905858866756E-2</v>
      </c>
      <c r="E9" s="2">
        <f>A$8*D9/A$3</f>
        <v>168124.03790074954</v>
      </c>
      <c r="F9" s="2">
        <v>6</v>
      </c>
    </row>
    <row r="10" spans="1:7" x14ac:dyDescent="0.3">
      <c r="C10" s="6">
        <v>1.3320000000000001</v>
      </c>
      <c r="D10" s="9">
        <f t="shared" ref="D10" si="0">B$8/C10</f>
        <v>8.3486905858866756E-2</v>
      </c>
      <c r="E10" s="9">
        <f t="shared" ref="E10" si="1">A$8*D10/A$3</f>
        <v>168124.03790074954</v>
      </c>
      <c r="F10" s="9">
        <v>6</v>
      </c>
    </row>
    <row r="11" spans="1:7" x14ac:dyDescent="0.3">
      <c r="C11" s="10">
        <v>1.3320000000000001</v>
      </c>
      <c r="D11" s="11">
        <f t="shared" ref="D11" si="2">B$8/C11</f>
        <v>8.3486905858866756E-2</v>
      </c>
      <c r="E11" s="11">
        <f t="shared" ref="E11" si="3">A$8*D11/A$3</f>
        <v>168124.03790074954</v>
      </c>
      <c r="F11" s="11">
        <v>6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1"/>
  <sheetViews>
    <sheetView workbookViewId="0">
      <selection activeCell="C14" sqref="C14"/>
    </sheetView>
  </sheetViews>
  <sheetFormatPr baseColWidth="10" defaultRowHeight="14.4" x14ac:dyDescent="0.3"/>
  <cols>
    <col min="1" max="1" width="17.6640625" customWidth="1"/>
    <col min="2" max="2" width="15" customWidth="1"/>
    <col min="3" max="3" width="15.33203125" customWidth="1"/>
    <col min="4" max="4" width="14" customWidth="1"/>
    <col min="5" max="5" width="13.6640625" customWidth="1"/>
  </cols>
  <sheetData>
    <row r="2" spans="1:7" x14ac:dyDescent="0.3">
      <c r="A2" t="s">
        <v>17</v>
      </c>
    </row>
    <row r="3" spans="1:7" x14ac:dyDescent="0.3">
      <c r="A3" s="2">
        <f>1.31*10^-6</f>
        <v>1.31E-6</v>
      </c>
    </row>
    <row r="6" spans="1:7" x14ac:dyDescent="0.3">
      <c r="A6" s="26" t="str">
        <f>'Metodo 1'!M6:M7</f>
        <v>Velocidad Relativa (w)</v>
      </c>
      <c r="B6" s="28" t="s">
        <v>21</v>
      </c>
      <c r="C6" s="28" t="s">
        <v>19</v>
      </c>
      <c r="D6" s="27" t="s">
        <v>18</v>
      </c>
      <c r="E6" s="28" t="s">
        <v>20</v>
      </c>
      <c r="F6" s="21" t="s">
        <v>23</v>
      </c>
    </row>
    <row r="7" spans="1:7" x14ac:dyDescent="0.3">
      <c r="A7" s="26"/>
      <c r="B7" s="28"/>
      <c r="C7" s="28"/>
      <c r="D7" s="27"/>
      <c r="E7" s="28"/>
      <c r="F7" s="21"/>
    </row>
    <row r="8" spans="1:7" x14ac:dyDescent="0.3">
      <c r="A8" s="2">
        <f>'Metodo 1'!M15</f>
        <v>2.9049479882195861</v>
      </c>
      <c r="B8" s="2">
        <f>'Metodo 1'!L15</f>
        <v>0.10336048375265494</v>
      </c>
      <c r="C8" s="2">
        <v>1.35</v>
      </c>
      <c r="D8" s="2">
        <f>B$8/C8</f>
        <v>7.6563321298262918E-2</v>
      </c>
      <c r="E8" s="2">
        <f>A$8*D8/A$3</f>
        <v>169780.50853190737</v>
      </c>
      <c r="F8" s="2">
        <v>6</v>
      </c>
      <c r="G8" s="8" t="s">
        <v>22</v>
      </c>
    </row>
    <row r="9" spans="1:7" x14ac:dyDescent="0.3">
      <c r="C9" s="6">
        <v>1.3320000000000001</v>
      </c>
      <c r="D9" s="2">
        <f>B$8/C9</f>
        <v>7.759796077526647E-2</v>
      </c>
      <c r="E9" s="2">
        <f>A$8*D9/A$3</f>
        <v>172074.83972828451</v>
      </c>
      <c r="F9" s="2">
        <v>6</v>
      </c>
    </row>
    <row r="10" spans="1:7" x14ac:dyDescent="0.3">
      <c r="C10" s="6">
        <v>1.333</v>
      </c>
      <c r="D10" s="9">
        <f t="shared" ref="D10" si="0">B$8/C10</f>
        <v>7.7539747751429064E-2</v>
      </c>
      <c r="E10" s="9">
        <f t="shared" ref="E10" si="1">A$8*D10/A$3</f>
        <v>171945.75132638781</v>
      </c>
      <c r="F10" s="9">
        <v>6</v>
      </c>
    </row>
    <row r="11" spans="1:7" x14ac:dyDescent="0.3">
      <c r="C11" s="10">
        <v>1.333</v>
      </c>
      <c r="D11" s="11">
        <f t="shared" ref="D11" si="2">B$8/C11</f>
        <v>7.7539747751429064E-2</v>
      </c>
      <c r="E11" s="11">
        <f t="shared" ref="E11" si="3">A$8*D11/A$3</f>
        <v>171945.75132638781</v>
      </c>
      <c r="F11" s="11">
        <v>6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Metodo 1</vt:lpstr>
      <vt:lpstr>Parte 1</vt:lpstr>
      <vt:lpstr>Parte 2</vt:lpstr>
      <vt:lpstr>Parte 3</vt:lpstr>
      <vt:lpstr>Parte 4</vt:lpstr>
      <vt:lpstr>Parte 5</vt:lpstr>
      <vt:lpstr>Parte 6</vt:lpstr>
      <vt:lpstr>Parte 7</vt:lpstr>
      <vt:lpstr>Parte 8</vt:lpstr>
      <vt:lpstr>Parte 9</vt:lpstr>
      <vt:lpstr>Parte 10</vt:lpstr>
      <vt:lpstr>Parte 11</vt:lpstr>
      <vt:lpstr>Parte 12</vt:lpstr>
      <vt:lpstr>Parte 13</vt:lpstr>
      <vt:lpstr>Parte 14</vt:lpstr>
      <vt:lpstr>Parte 15</vt:lpstr>
      <vt:lpstr>Parte 16</vt:lpstr>
      <vt:lpstr>Parte 17</vt:lpstr>
      <vt:lpstr>Parte 18</vt:lpstr>
      <vt:lpstr>Parte 19</vt:lpstr>
      <vt:lpstr>Parte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2024-11-07T06:38:50Z</dcterms:modified>
</cp:coreProperties>
</file>